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G:\Workspace\Projects\Personal\MPFi\code\stocks\src\test\resources\com\andreidiego\mpfi\stocks\adapter\spreadsheets\"/>
    </mc:Choice>
  </mc:AlternateContent>
  <xr:revisionPtr revIDLastSave="0" documentId="13_ncr:1_{6B612602-E877-4EC8-8126-EEA65ECF16FE}" xr6:coauthVersionLast="47" xr6:coauthVersionMax="47" xr10:uidLastSave="{00000000-0000-0000-0000-000000000000}"/>
  <bookViews>
    <workbookView xWindow="-38400" yWindow="0" windowWidth="10635" windowHeight="16200" tabRatio="662" firstSheet="3" activeTab="5" xr2:uid="{00000000-000D-0000-FFFF-FFFF00000000}"/>
  </bookViews>
  <sheets>
    <sheet name="Estudo" sheetId="1" r:id="rId1"/>
    <sheet name="Extrato de Bolsa" sheetId="12" r:id="rId2"/>
    <sheet name="(-) Investimento - (+) Retirada" sheetId="8" r:id="rId3"/>
    <sheet name="Horarios Bovespa" sheetId="18" r:id="rId4"/>
    <sheet name="Taxas Bovespa" sheetId="17" r:id="rId5"/>
    <sheet name="Notas de Corretagem" sheetId="5" r:id="rId6"/>
    <sheet name="Negociações" sheetId="14" r:id="rId7"/>
    <sheet name="Apuração de Resultado" sheetId="13" r:id="rId8"/>
    <sheet name="(+) Dividendos" sheetId="7" r:id="rId9"/>
    <sheet name="(+) Receitas Extras" sheetId="16" r:id="rId10"/>
    <sheet name="(-) Taxa de Custódia" sheetId="9" r:id="rId11"/>
    <sheet name="Dízimo-IR" sheetId="10" r:id="rId12"/>
  </sheets>
  <definedNames>
    <definedName name="_xlnm._FilterDatabase" localSheetId="1" hidden="1">'Extrato de Bolsa'!$A$1:$E$199</definedName>
    <definedName name="_xlnm._FilterDatabase" localSheetId="5" hidden="1">'Notas de Corretagem'!$N$2:$O$614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308" i="13" l="1"/>
  <c r="Y160" i="14" l="1"/>
  <c r="C171" i="16"/>
  <c r="C274" i="7"/>
  <c r="D273" i="7"/>
  <c r="D269" i="7"/>
  <c r="D264" i="7"/>
  <c r="D257" i="7"/>
  <c r="D250" i="7"/>
  <c r="D247" i="7"/>
  <c r="V191" i="14"/>
  <c r="R191" i="14"/>
  <c r="V190" i="14"/>
  <c r="R190" i="14"/>
  <c r="S190" i="14" s="1"/>
  <c r="V189" i="14"/>
  <c r="R189" i="14"/>
  <c r="V188" i="14"/>
  <c r="R188" i="14"/>
  <c r="T188" i="14" s="1"/>
  <c r="V187" i="14"/>
  <c r="R187" i="14"/>
  <c r="T187" i="14" s="1"/>
  <c r="V186" i="14"/>
  <c r="R186" i="14"/>
  <c r="T186" i="14" s="1"/>
  <c r="V185" i="14"/>
  <c r="R185" i="14"/>
  <c r="T185" i="14" s="1"/>
  <c r="J191" i="14"/>
  <c r="F191" i="14"/>
  <c r="G191" i="14" s="1"/>
  <c r="J190" i="14"/>
  <c r="F190" i="14"/>
  <c r="G190" i="14" s="1"/>
  <c r="J189" i="14"/>
  <c r="F189" i="14"/>
  <c r="J188" i="14"/>
  <c r="F188" i="14"/>
  <c r="H188" i="14" s="1"/>
  <c r="J187" i="14"/>
  <c r="F187" i="14"/>
  <c r="H187" i="14" s="1"/>
  <c r="J186" i="14"/>
  <c r="F186" i="14"/>
  <c r="J185" i="14"/>
  <c r="F185" i="14"/>
  <c r="G185" i="14" s="1"/>
  <c r="K615" i="5"/>
  <c r="I615" i="5"/>
  <c r="J614" i="5"/>
  <c r="J615" i="5" s="1"/>
  <c r="F614" i="5"/>
  <c r="H614" i="5" s="1"/>
  <c r="O614" i="5" s="1"/>
  <c r="J613" i="5"/>
  <c r="F613" i="5"/>
  <c r="G613" i="5" s="1"/>
  <c r="N613" i="5" s="1"/>
  <c r="J611" i="5"/>
  <c r="F611" i="5"/>
  <c r="J609" i="5"/>
  <c r="F609" i="5"/>
  <c r="J607" i="5"/>
  <c r="F607" i="5"/>
  <c r="I605" i="5"/>
  <c r="K605" i="5"/>
  <c r="J604" i="5"/>
  <c r="F604" i="5"/>
  <c r="H604" i="5" s="1"/>
  <c r="O604" i="5" s="1"/>
  <c r="J603" i="5"/>
  <c r="F603" i="5"/>
  <c r="V313" i="13"/>
  <c r="T313" i="13"/>
  <c r="H313" i="13"/>
  <c r="U312" i="13"/>
  <c r="U313" i="13" s="1"/>
  <c r="Q312" i="13"/>
  <c r="S312" i="13" s="1"/>
  <c r="S313" i="13" s="1"/>
  <c r="I312" i="13"/>
  <c r="I313" i="13" s="1"/>
  <c r="E312" i="13"/>
  <c r="F312" i="13" s="1"/>
  <c r="F313" i="13" s="1"/>
  <c r="V158" i="14"/>
  <c r="R158" i="14"/>
  <c r="J601" i="5"/>
  <c r="F601" i="5"/>
  <c r="H601" i="5" s="1"/>
  <c r="O601" i="5" s="1"/>
  <c r="V309" i="13"/>
  <c r="T309" i="13"/>
  <c r="Q309" i="13"/>
  <c r="Z308" i="13" s="1"/>
  <c r="Z309" i="13" s="1"/>
  <c r="H309" i="13"/>
  <c r="U308" i="13"/>
  <c r="U309" i="13" s="1"/>
  <c r="Q308" i="13"/>
  <c r="S308" i="13" s="1"/>
  <c r="S309" i="13" s="1"/>
  <c r="I308" i="13"/>
  <c r="I309" i="13" s="1"/>
  <c r="E308" i="13"/>
  <c r="E309" i="13" s="1"/>
  <c r="V179" i="14"/>
  <c r="R179" i="14"/>
  <c r="J599" i="5"/>
  <c r="F599" i="5"/>
  <c r="U303" i="13"/>
  <c r="Q303" i="13"/>
  <c r="S303" i="13" s="1"/>
  <c r="U304" i="13"/>
  <c r="Q304" i="13"/>
  <c r="S304" i="13" s="1"/>
  <c r="T305" i="13" s="1"/>
  <c r="I303" i="13"/>
  <c r="I305" i="13" s="1"/>
  <c r="E303" i="13"/>
  <c r="F303" i="13" s="1"/>
  <c r="V305" i="13"/>
  <c r="V160" i="14"/>
  <c r="R160" i="14"/>
  <c r="T160" i="14" s="1"/>
  <c r="V184" i="14"/>
  <c r="R184" i="14"/>
  <c r="J184" i="14"/>
  <c r="F184" i="14"/>
  <c r="X181" i="14"/>
  <c r="J595" i="5"/>
  <c r="F595" i="5"/>
  <c r="H595" i="5" s="1"/>
  <c r="O595" i="5" s="1"/>
  <c r="J597" i="5"/>
  <c r="F597" i="5"/>
  <c r="J593" i="5"/>
  <c r="F593" i="5"/>
  <c r="H593" i="5" s="1"/>
  <c r="O593" i="5" s="1"/>
  <c r="R53" i="14"/>
  <c r="X53" i="14" s="1"/>
  <c r="V159" i="14"/>
  <c r="R159" i="14"/>
  <c r="S159" i="14" s="1"/>
  <c r="D243" i="7"/>
  <c r="D235" i="7"/>
  <c r="D232" i="7"/>
  <c r="D229" i="7"/>
  <c r="U95" i="14"/>
  <c r="V95" i="14" s="1"/>
  <c r="U97" i="14"/>
  <c r="V97" i="14" s="1"/>
  <c r="U172" i="14"/>
  <c r="T298" i="13"/>
  <c r="T299" i="13"/>
  <c r="U299" i="13" s="1"/>
  <c r="T297" i="13"/>
  <c r="U297" i="13" s="1"/>
  <c r="I298" i="13"/>
  <c r="I297" i="13"/>
  <c r="V300" i="13"/>
  <c r="H300" i="13"/>
  <c r="T294" i="13"/>
  <c r="V294" i="13"/>
  <c r="H294" i="13"/>
  <c r="I293" i="13"/>
  <c r="I292" i="13"/>
  <c r="T289" i="13"/>
  <c r="V289" i="13"/>
  <c r="H289" i="13"/>
  <c r="Q299" i="13"/>
  <c r="S299" i="13" s="1"/>
  <c r="I299" i="13"/>
  <c r="E299" i="13"/>
  <c r="G299" i="13" s="1"/>
  <c r="Q298" i="13"/>
  <c r="S298" i="13" s="1"/>
  <c r="E298" i="13"/>
  <c r="Q297" i="13"/>
  <c r="R297" i="13" s="1"/>
  <c r="E297" i="13"/>
  <c r="F297" i="13" s="1"/>
  <c r="U293" i="13"/>
  <c r="Q293" i="13"/>
  <c r="S293" i="13" s="1"/>
  <c r="E293" i="13"/>
  <c r="F293" i="13" s="1"/>
  <c r="U292" i="13"/>
  <c r="Q292" i="13"/>
  <c r="E292" i="13"/>
  <c r="F292" i="13" s="1"/>
  <c r="U288" i="13"/>
  <c r="Q288" i="13"/>
  <c r="I288" i="13"/>
  <c r="E288" i="13"/>
  <c r="G288" i="13" s="1"/>
  <c r="U287" i="13"/>
  <c r="Q287" i="13"/>
  <c r="I287" i="13"/>
  <c r="E287" i="13"/>
  <c r="G287" i="13" s="1"/>
  <c r="J591" i="5"/>
  <c r="F591" i="5"/>
  <c r="H591" i="5" s="1"/>
  <c r="O591" i="5" s="1"/>
  <c r="V124" i="14"/>
  <c r="R124" i="14"/>
  <c r="V113" i="14"/>
  <c r="R113" i="14"/>
  <c r="V174" i="14"/>
  <c r="R174" i="14"/>
  <c r="T174" i="14" s="1"/>
  <c r="V156" i="14"/>
  <c r="R156" i="14"/>
  <c r="S156" i="14" s="1"/>
  <c r="V183" i="14"/>
  <c r="R183" i="14"/>
  <c r="T183" i="14" s="1"/>
  <c r="J183" i="14"/>
  <c r="F183" i="14"/>
  <c r="V182" i="14"/>
  <c r="R182" i="14"/>
  <c r="T182" i="14" s="1"/>
  <c r="J182" i="14"/>
  <c r="F182" i="14"/>
  <c r="J181" i="14"/>
  <c r="F181" i="14"/>
  <c r="G181" i="14" s="1"/>
  <c r="J605" i="5" l="1"/>
  <c r="F605" i="5"/>
  <c r="H603" i="5"/>
  <c r="G603" i="5"/>
  <c r="N603" i="5" s="1"/>
  <c r="G604" i="5"/>
  <c r="E313" i="13"/>
  <c r="Q294" i="13"/>
  <c r="Z292" i="13" s="1"/>
  <c r="Q313" i="13"/>
  <c r="Z312" i="13" s="1"/>
  <c r="Z313" i="13" s="1"/>
  <c r="S186" i="14"/>
  <c r="X186" i="14" s="1"/>
  <c r="S187" i="14"/>
  <c r="X187" i="14" s="1"/>
  <c r="T190" i="14"/>
  <c r="X190" i="14" s="1"/>
  <c r="S185" i="14"/>
  <c r="X185" i="14" s="1"/>
  <c r="S189" i="14"/>
  <c r="T189" i="14"/>
  <c r="S191" i="14"/>
  <c r="S188" i="14"/>
  <c r="X188" i="14" s="1"/>
  <c r="Y188" i="14" s="1"/>
  <c r="T191" i="14"/>
  <c r="G187" i="14"/>
  <c r="K187" i="14" s="1"/>
  <c r="H190" i="14"/>
  <c r="K190" i="14" s="1"/>
  <c r="G189" i="14"/>
  <c r="H189" i="14"/>
  <c r="G188" i="14"/>
  <c r="K188" i="14" s="1"/>
  <c r="H191" i="14"/>
  <c r="K191" i="14" s="1"/>
  <c r="H185" i="14"/>
  <c r="K185" i="14" s="1"/>
  <c r="G186" i="14"/>
  <c r="H186" i="14"/>
  <c r="G614" i="5"/>
  <c r="H613" i="5"/>
  <c r="F615" i="5"/>
  <c r="G611" i="5"/>
  <c r="N611" i="5" s="1"/>
  <c r="H611" i="5"/>
  <c r="O611" i="5" s="1"/>
  <c r="G609" i="5"/>
  <c r="N609" i="5" s="1"/>
  <c r="H609" i="5"/>
  <c r="O609" i="5" s="1"/>
  <c r="G607" i="5"/>
  <c r="N607" i="5" s="1"/>
  <c r="H607" i="5"/>
  <c r="O607" i="5" s="1"/>
  <c r="R312" i="13"/>
  <c r="R313" i="13" s="1"/>
  <c r="G312" i="13"/>
  <c r="G313" i="13" s="1"/>
  <c r="S158" i="14"/>
  <c r="T158" i="14"/>
  <c r="G601" i="5"/>
  <c r="R304" i="13"/>
  <c r="W304" i="13" s="1"/>
  <c r="X304" i="13" s="1"/>
  <c r="Y304" i="13" s="1"/>
  <c r="G308" i="13"/>
  <c r="G309" i="13" s="1"/>
  <c r="F308" i="13"/>
  <c r="F309" i="13" s="1"/>
  <c r="R303" i="13"/>
  <c r="R308" i="13"/>
  <c r="S179" i="14"/>
  <c r="T179" i="14"/>
  <c r="G599" i="5"/>
  <c r="N599" i="5" s="1"/>
  <c r="G595" i="5"/>
  <c r="H599" i="5"/>
  <c r="O599" i="5" s="1"/>
  <c r="Q305" i="13"/>
  <c r="W303" i="13"/>
  <c r="X303" i="13" s="1"/>
  <c r="I294" i="13"/>
  <c r="G303" i="13"/>
  <c r="H305" i="13" s="1"/>
  <c r="F305" i="13"/>
  <c r="T300" i="13"/>
  <c r="S305" i="13"/>
  <c r="E305" i="13"/>
  <c r="U298" i="13"/>
  <c r="U300" i="13" s="1"/>
  <c r="F294" i="13"/>
  <c r="U305" i="13"/>
  <c r="S160" i="14"/>
  <c r="X160" i="14" s="1"/>
  <c r="S184" i="14"/>
  <c r="T184" i="14"/>
  <c r="G184" i="14"/>
  <c r="H184" i="14"/>
  <c r="G593" i="5"/>
  <c r="G597" i="5"/>
  <c r="N597" i="5" s="1"/>
  <c r="H597" i="5"/>
  <c r="O597" i="5" s="1"/>
  <c r="T159" i="14"/>
  <c r="X159" i="14" s="1"/>
  <c r="S297" i="13"/>
  <c r="S300" i="13" s="1"/>
  <c r="U294" i="13"/>
  <c r="E300" i="13"/>
  <c r="Q300" i="13"/>
  <c r="I300" i="13"/>
  <c r="Z293" i="13"/>
  <c r="I289" i="13"/>
  <c r="E294" i="13"/>
  <c r="G289" i="13"/>
  <c r="Q289" i="13"/>
  <c r="U289" i="13"/>
  <c r="E289" i="13"/>
  <c r="F298" i="13"/>
  <c r="G298" i="13"/>
  <c r="R299" i="13"/>
  <c r="W299" i="13" s="1"/>
  <c r="F299" i="13"/>
  <c r="J299" i="13" s="1"/>
  <c r="G297" i="13"/>
  <c r="R298" i="13"/>
  <c r="G293" i="13"/>
  <c r="J293" i="13" s="1"/>
  <c r="G292" i="13"/>
  <c r="R293" i="13"/>
  <c r="W293" i="13" s="1"/>
  <c r="X293" i="13" s="1"/>
  <c r="R292" i="13"/>
  <c r="S292" i="13"/>
  <c r="S294" i="13" s="1"/>
  <c r="R288" i="13"/>
  <c r="S288" i="13"/>
  <c r="F288" i="13"/>
  <c r="J288" i="13" s="1"/>
  <c r="R287" i="13"/>
  <c r="S287" i="13"/>
  <c r="F287" i="13"/>
  <c r="G591" i="5"/>
  <c r="S124" i="14"/>
  <c r="T124" i="14"/>
  <c r="S113" i="14"/>
  <c r="T113" i="14"/>
  <c r="S174" i="14"/>
  <c r="X174" i="14" s="1"/>
  <c r="T156" i="14"/>
  <c r="X156" i="14" s="1"/>
  <c r="S183" i="14"/>
  <c r="X183" i="14" s="1"/>
  <c r="G183" i="14"/>
  <c r="H183" i="14"/>
  <c r="S182" i="14"/>
  <c r="X182" i="14" s="1"/>
  <c r="G182" i="14"/>
  <c r="H182" i="14"/>
  <c r="H181" i="14"/>
  <c r="K181" i="14" s="1"/>
  <c r="J589" i="5"/>
  <c r="F589" i="5"/>
  <c r="H589" i="5" s="1"/>
  <c r="O589" i="5" s="1"/>
  <c r="J587" i="5"/>
  <c r="F587" i="5"/>
  <c r="H587" i="5" s="1"/>
  <c r="O587" i="5" s="1"/>
  <c r="J585" i="5"/>
  <c r="F585" i="5"/>
  <c r="J583" i="5"/>
  <c r="F583" i="5"/>
  <c r="J581" i="5"/>
  <c r="F581" i="5"/>
  <c r="D222" i="7"/>
  <c r="D219" i="7"/>
  <c r="I278" i="13"/>
  <c r="I279" i="13" s="1"/>
  <c r="H615" i="5" l="1"/>
  <c r="O613" i="5"/>
  <c r="H605" i="5"/>
  <c r="O603" i="5"/>
  <c r="L604" i="5"/>
  <c r="N604" i="5"/>
  <c r="L591" i="5"/>
  <c r="N591" i="5"/>
  <c r="L601" i="5"/>
  <c r="N601" i="5"/>
  <c r="L593" i="5"/>
  <c r="N593" i="5"/>
  <c r="L614" i="5"/>
  <c r="N614" i="5"/>
  <c r="L595" i="5"/>
  <c r="N595" i="5"/>
  <c r="G605" i="5"/>
  <c r="G615" i="5"/>
  <c r="L609" i="5"/>
  <c r="L607" i="5"/>
  <c r="X189" i="14"/>
  <c r="Y185" i="14"/>
  <c r="Y187" i="14"/>
  <c r="Y190" i="14"/>
  <c r="X191" i="14"/>
  <c r="Y191" i="14" s="1"/>
  <c r="K189" i="14"/>
  <c r="Y189" i="14" s="1"/>
  <c r="K186" i="14"/>
  <c r="Y186" i="14" s="1"/>
  <c r="X179" i="14"/>
  <c r="L613" i="5"/>
  <c r="L615" i="5" s="1"/>
  <c r="L611" i="5"/>
  <c r="L603" i="5"/>
  <c r="W312" i="13"/>
  <c r="J312" i="13"/>
  <c r="W308" i="13"/>
  <c r="R309" i="13"/>
  <c r="X158" i="14"/>
  <c r="Z294" i="13"/>
  <c r="J308" i="13"/>
  <c r="J309" i="13" s="1"/>
  <c r="Z303" i="13"/>
  <c r="Z304" i="13"/>
  <c r="AA304" i="13" s="1"/>
  <c r="AB304" i="13" s="1"/>
  <c r="Y293" i="13"/>
  <c r="AA293" i="13" s="1"/>
  <c r="AB293" i="13" s="1"/>
  <c r="L599" i="5"/>
  <c r="G305" i="13"/>
  <c r="R294" i="13"/>
  <c r="W297" i="13"/>
  <c r="X297" i="13" s="1"/>
  <c r="J303" i="13"/>
  <c r="Y303" i="13" s="1"/>
  <c r="F300" i="13"/>
  <c r="R300" i="13"/>
  <c r="R305" i="13"/>
  <c r="Z305" i="13"/>
  <c r="K184" i="14"/>
  <c r="X184" i="14"/>
  <c r="L597" i="5"/>
  <c r="X124" i="14"/>
  <c r="K183" i="14"/>
  <c r="Y183" i="14" s="1"/>
  <c r="Y181" i="14"/>
  <c r="K182" i="14"/>
  <c r="Y182" i="14" s="1"/>
  <c r="W298" i="13"/>
  <c r="X298" i="13" s="1"/>
  <c r="J297" i="13"/>
  <c r="G300" i="13"/>
  <c r="Z299" i="13"/>
  <c r="Z298" i="13"/>
  <c r="Z297" i="13"/>
  <c r="J292" i="13"/>
  <c r="J294" i="13" s="1"/>
  <c r="G294" i="13"/>
  <c r="Z288" i="13"/>
  <c r="Z287" i="13"/>
  <c r="J287" i="13"/>
  <c r="J289" i="13" s="1"/>
  <c r="F289" i="13"/>
  <c r="W292" i="13"/>
  <c r="S289" i="13"/>
  <c r="R289" i="13"/>
  <c r="X299" i="13"/>
  <c r="Y299" i="13" s="1"/>
  <c r="J298" i="13"/>
  <c r="W288" i="13"/>
  <c r="X288" i="13" s="1"/>
  <c r="Y288" i="13" s="1"/>
  <c r="W287" i="13"/>
  <c r="X113" i="14"/>
  <c r="G589" i="5"/>
  <c r="G587" i="5"/>
  <c r="H585" i="5"/>
  <c r="O585" i="5" s="1"/>
  <c r="G585" i="5"/>
  <c r="N585" i="5" s="1"/>
  <c r="H583" i="5"/>
  <c r="O583" i="5" s="1"/>
  <c r="G583" i="5"/>
  <c r="N583" i="5" s="1"/>
  <c r="G581" i="5"/>
  <c r="N581" i="5" s="1"/>
  <c r="H581" i="5"/>
  <c r="O581" i="5" s="1"/>
  <c r="I283" i="13"/>
  <c r="I282" i="13"/>
  <c r="U283" i="13"/>
  <c r="U282" i="13"/>
  <c r="U278" i="13"/>
  <c r="U277" i="13"/>
  <c r="W277" i="13" s="1"/>
  <c r="T284" i="13"/>
  <c r="H284" i="13"/>
  <c r="Q283" i="13"/>
  <c r="V283" i="13" s="1"/>
  <c r="E283" i="13"/>
  <c r="G283" i="13" s="1"/>
  <c r="Q282" i="13"/>
  <c r="R282" i="13" s="1"/>
  <c r="E282" i="13"/>
  <c r="Q278" i="13"/>
  <c r="E278" i="13"/>
  <c r="E277" i="13"/>
  <c r="G277" i="13" s="1"/>
  <c r="T279" i="13"/>
  <c r="H279" i="13"/>
  <c r="V180" i="14"/>
  <c r="R180" i="14"/>
  <c r="J180" i="14"/>
  <c r="F180" i="14"/>
  <c r="H180" i="14" s="1"/>
  <c r="J179" i="14"/>
  <c r="F179" i="14"/>
  <c r="H179" i="14" s="1"/>
  <c r="J579" i="5"/>
  <c r="F579" i="5"/>
  <c r="H579" i="5" s="1"/>
  <c r="O579" i="5" s="1"/>
  <c r="J577" i="5"/>
  <c r="F577" i="5"/>
  <c r="I575" i="5"/>
  <c r="J574" i="5"/>
  <c r="F574" i="5"/>
  <c r="H574" i="5" s="1"/>
  <c r="O574" i="5" s="1"/>
  <c r="J573" i="5"/>
  <c r="F573" i="5"/>
  <c r="H573" i="5" s="1"/>
  <c r="O573" i="5" s="1"/>
  <c r="J571" i="5"/>
  <c r="F571" i="5"/>
  <c r="I569" i="5"/>
  <c r="J568" i="5"/>
  <c r="F568" i="5"/>
  <c r="H568" i="5" s="1"/>
  <c r="O568" i="5" s="1"/>
  <c r="J567" i="5"/>
  <c r="F567" i="5"/>
  <c r="J566" i="5"/>
  <c r="F566" i="5"/>
  <c r="J564" i="5"/>
  <c r="F564" i="5"/>
  <c r="V125" i="14"/>
  <c r="R125" i="14"/>
  <c r="S125" i="14" s="1"/>
  <c r="G564" i="5" l="1"/>
  <c r="N564" i="5" s="1"/>
  <c r="O564" i="5"/>
  <c r="L605" i="5"/>
  <c r="L587" i="5"/>
  <c r="N587" i="5"/>
  <c r="L589" i="5"/>
  <c r="N589" i="5"/>
  <c r="Y312" i="13"/>
  <c r="W313" i="13"/>
  <c r="X312" i="13"/>
  <c r="X313" i="13" s="1"/>
  <c r="J313" i="13"/>
  <c r="AA288" i="13"/>
  <c r="AB288" i="13" s="1"/>
  <c r="W309" i="13"/>
  <c r="X308" i="13"/>
  <c r="Y298" i="13"/>
  <c r="AA298" i="13" s="1"/>
  <c r="AB298" i="13" s="1"/>
  <c r="AA303" i="13"/>
  <c r="AB303" i="13" s="1"/>
  <c r="J569" i="5"/>
  <c r="L585" i="5"/>
  <c r="X305" i="13"/>
  <c r="J305" i="13"/>
  <c r="Z300" i="13"/>
  <c r="Z289" i="13"/>
  <c r="W305" i="13"/>
  <c r="Y184" i="14"/>
  <c r="F569" i="5"/>
  <c r="L583" i="5"/>
  <c r="J575" i="5"/>
  <c r="K574" i="5"/>
  <c r="J300" i="13"/>
  <c r="AA299" i="13"/>
  <c r="AB299" i="13" s="1"/>
  <c r="Y297" i="13"/>
  <c r="X300" i="13"/>
  <c r="W300" i="13"/>
  <c r="W294" i="13"/>
  <c r="X292" i="13"/>
  <c r="X287" i="13"/>
  <c r="W289" i="13"/>
  <c r="K573" i="5"/>
  <c r="U284" i="13"/>
  <c r="U279" i="13"/>
  <c r="I284" i="13"/>
  <c r="V282" i="13"/>
  <c r="V284" i="13" s="1"/>
  <c r="F278" i="13"/>
  <c r="L581" i="5"/>
  <c r="E279" i="13"/>
  <c r="Q284" i="13"/>
  <c r="E284" i="13"/>
  <c r="S282" i="13"/>
  <c r="G282" i="13"/>
  <c r="G284" i="13" s="1"/>
  <c r="R283" i="13"/>
  <c r="R284" i="13" s="1"/>
  <c r="F282" i="13"/>
  <c r="S283" i="13"/>
  <c r="F283" i="13"/>
  <c r="J283" i="13" s="1"/>
  <c r="Q279" i="13"/>
  <c r="Z278" i="13" s="1"/>
  <c r="R278" i="13"/>
  <c r="R279" i="13" s="1"/>
  <c r="S278" i="13"/>
  <c r="S279" i="13" s="1"/>
  <c r="G278" i="13"/>
  <c r="F277" i="13"/>
  <c r="J277" i="13" s="1"/>
  <c r="V279" i="13"/>
  <c r="X125" i="14"/>
  <c r="S180" i="14"/>
  <c r="T180" i="14"/>
  <c r="G180" i="14"/>
  <c r="K180" i="14" s="1"/>
  <c r="G179" i="14"/>
  <c r="K179" i="14" s="1"/>
  <c r="G579" i="5"/>
  <c r="G577" i="5"/>
  <c r="N577" i="5" s="1"/>
  <c r="H577" i="5"/>
  <c r="O577" i="5" s="1"/>
  <c r="F575" i="5"/>
  <c r="G574" i="5"/>
  <c r="G573" i="5"/>
  <c r="H575" i="5"/>
  <c r="H571" i="5"/>
  <c r="O571" i="5" s="1"/>
  <c r="G571" i="5"/>
  <c r="N571" i="5" s="1"/>
  <c r="G567" i="5"/>
  <c r="N567" i="5" s="1"/>
  <c r="H567" i="5"/>
  <c r="O567" i="5" s="1"/>
  <c r="G566" i="5"/>
  <c r="N566" i="5" s="1"/>
  <c r="H566" i="5"/>
  <c r="O566" i="5" s="1"/>
  <c r="G568" i="5"/>
  <c r="V178" i="14"/>
  <c r="R178" i="14"/>
  <c r="J178" i="14"/>
  <c r="F178" i="14"/>
  <c r="V177" i="14"/>
  <c r="R177" i="14"/>
  <c r="J177" i="14"/>
  <c r="F177" i="14"/>
  <c r="H177" i="14" s="1"/>
  <c r="V176" i="14"/>
  <c r="R176" i="14"/>
  <c r="T176" i="14" s="1"/>
  <c r="J176" i="14"/>
  <c r="F176" i="14"/>
  <c r="H176" i="14" s="1"/>
  <c r="L564" i="5" l="1"/>
  <c r="L579" i="5"/>
  <c r="N579" i="5"/>
  <c r="G575" i="5"/>
  <c r="N573" i="5"/>
  <c r="L574" i="5"/>
  <c r="N574" i="5"/>
  <c r="L568" i="5"/>
  <c r="N568" i="5"/>
  <c r="Y313" i="13"/>
  <c r="AA312" i="13"/>
  <c r="AA313" i="13" s="1"/>
  <c r="X309" i="13"/>
  <c r="K575" i="5"/>
  <c r="H569" i="5"/>
  <c r="L577" i="5"/>
  <c r="Y300" i="13"/>
  <c r="AA297" i="13"/>
  <c r="AA300" i="13" s="1"/>
  <c r="Y292" i="13"/>
  <c r="X294" i="13"/>
  <c r="Y287" i="13"/>
  <c r="X289" i="13"/>
  <c r="J282" i="13"/>
  <c r="J284" i="13" s="1"/>
  <c r="L567" i="5"/>
  <c r="G569" i="5"/>
  <c r="L566" i="5"/>
  <c r="L573" i="5"/>
  <c r="J278" i="13"/>
  <c r="J279" i="13" s="1"/>
  <c r="W282" i="13"/>
  <c r="X282" i="13" s="1"/>
  <c r="W278" i="13"/>
  <c r="X278" i="13" s="1"/>
  <c r="X180" i="14"/>
  <c r="Y180" i="14" s="1"/>
  <c r="W283" i="13"/>
  <c r="X283" i="13" s="1"/>
  <c r="Y283" i="13" s="1"/>
  <c r="Z283" i="13" s="1"/>
  <c r="S284" i="13"/>
  <c r="F284" i="13"/>
  <c r="Z277" i="13"/>
  <c r="G279" i="13"/>
  <c r="F279" i="13"/>
  <c r="X277" i="13"/>
  <c r="W177" i="14"/>
  <c r="T177" i="14"/>
  <c r="W178" i="14"/>
  <c r="T178" i="14"/>
  <c r="Y179" i="14"/>
  <c r="L571" i="5"/>
  <c r="Y125" i="14"/>
  <c r="H178" i="14"/>
  <c r="G178" i="14"/>
  <c r="S178" i="14"/>
  <c r="S177" i="14"/>
  <c r="G177" i="14"/>
  <c r="K177" i="14" s="1"/>
  <c r="S176" i="14"/>
  <c r="X176" i="14" s="1"/>
  <c r="G176" i="14"/>
  <c r="K176" i="14" s="1"/>
  <c r="L575" i="5" l="1"/>
  <c r="L569" i="5"/>
  <c r="AB312" i="13"/>
  <c r="AB313" i="13" s="1"/>
  <c r="Y309" i="13"/>
  <c r="AA308" i="13"/>
  <c r="AA309" i="13" s="1"/>
  <c r="AB308" i="13"/>
  <c r="AB309" i="13" s="1"/>
  <c r="AA305" i="13"/>
  <c r="Y305" i="13"/>
  <c r="AB297" i="13"/>
  <c r="AB300" i="13" s="1"/>
  <c r="Y294" i="13"/>
  <c r="AA292" i="13"/>
  <c r="AA287" i="13"/>
  <c r="Y289" i="13"/>
  <c r="Y282" i="13"/>
  <c r="Z282" i="13" s="1"/>
  <c r="AA282" i="13" s="1"/>
  <c r="AB282" i="13" s="1"/>
  <c r="Y278" i="13"/>
  <c r="AA278" i="13" s="1"/>
  <c r="AB278" i="13" s="1"/>
  <c r="AA283" i="13"/>
  <c r="AB283" i="13" s="1"/>
  <c r="W284" i="13"/>
  <c r="X284" i="13"/>
  <c r="W279" i="13"/>
  <c r="Z279" i="13"/>
  <c r="X279" i="13"/>
  <c r="Y277" i="13"/>
  <c r="X178" i="14"/>
  <c r="X177" i="14"/>
  <c r="Y177" i="14" s="1"/>
  <c r="K178" i="14"/>
  <c r="Y176" i="14"/>
  <c r="D214" i="7"/>
  <c r="D209" i="7"/>
  <c r="D205" i="7"/>
  <c r="D198" i="7"/>
  <c r="P170" i="14"/>
  <c r="R170" i="14" s="1"/>
  <c r="S170" i="14" s="1"/>
  <c r="P110" i="14"/>
  <c r="V175" i="14"/>
  <c r="R175" i="14"/>
  <c r="V173" i="14"/>
  <c r="R173" i="14"/>
  <c r="V172" i="14"/>
  <c r="R172" i="14"/>
  <c r="T172" i="14" s="1"/>
  <c r="V171" i="14"/>
  <c r="R171" i="14"/>
  <c r="T171" i="14" s="1"/>
  <c r="V170" i="14"/>
  <c r="V169" i="14"/>
  <c r="R169" i="14"/>
  <c r="S169" i="14" s="1"/>
  <c r="J175" i="14"/>
  <c r="F175" i="14"/>
  <c r="J174" i="14"/>
  <c r="F174" i="14"/>
  <c r="H174" i="14" s="1"/>
  <c r="J173" i="14"/>
  <c r="F173" i="14"/>
  <c r="J172" i="14"/>
  <c r="F172" i="14"/>
  <c r="J171" i="14"/>
  <c r="F171" i="14"/>
  <c r="J170" i="14"/>
  <c r="F170" i="14"/>
  <c r="G170" i="14" s="1"/>
  <c r="J169" i="14"/>
  <c r="F169" i="14"/>
  <c r="H169" i="14" s="1"/>
  <c r="J562" i="5"/>
  <c r="F562" i="5"/>
  <c r="I560" i="5"/>
  <c r="J559" i="5"/>
  <c r="F559" i="5"/>
  <c r="H559" i="5" s="1"/>
  <c r="O559" i="5" s="1"/>
  <c r="J558" i="5"/>
  <c r="F558" i="5"/>
  <c r="G558" i="5" s="1"/>
  <c r="N558" i="5" s="1"/>
  <c r="J557" i="5"/>
  <c r="F557" i="5"/>
  <c r="H557" i="5" s="1"/>
  <c r="O557" i="5" s="1"/>
  <c r="J556" i="5"/>
  <c r="F556" i="5"/>
  <c r="H556" i="5" s="1"/>
  <c r="O556" i="5" s="1"/>
  <c r="J553" i="5"/>
  <c r="J552" i="5"/>
  <c r="I554" i="5"/>
  <c r="F553" i="5"/>
  <c r="H553" i="5" s="1"/>
  <c r="O553" i="5" s="1"/>
  <c r="F552" i="5"/>
  <c r="H552" i="5" s="1"/>
  <c r="O552" i="5" s="1"/>
  <c r="V273" i="13"/>
  <c r="Q273" i="13"/>
  <c r="S273" i="13" s="1"/>
  <c r="E273" i="13"/>
  <c r="G273" i="13" s="1"/>
  <c r="H274" i="13"/>
  <c r="J550" i="5"/>
  <c r="F550" i="5"/>
  <c r="H550" i="5" s="1"/>
  <c r="O550" i="5" s="1"/>
  <c r="V152" i="14"/>
  <c r="Y178" i="14" l="1"/>
  <c r="AB305" i="13"/>
  <c r="J560" i="5"/>
  <c r="G550" i="5"/>
  <c r="N550" i="5" s="1"/>
  <c r="J554" i="5"/>
  <c r="AB292" i="13"/>
  <c r="AB294" i="13" s="1"/>
  <c r="AA294" i="13"/>
  <c r="AB287" i="13"/>
  <c r="AB289" i="13" s="1"/>
  <c r="AA289" i="13"/>
  <c r="H558" i="5"/>
  <c r="F554" i="5"/>
  <c r="Y279" i="13"/>
  <c r="AA277" i="13"/>
  <c r="AB277" i="13" s="1"/>
  <c r="T175" i="14"/>
  <c r="T169" i="14"/>
  <c r="X169" i="14" s="1"/>
  <c r="S171" i="14"/>
  <c r="X171" i="14" s="1"/>
  <c r="S173" i="14"/>
  <c r="T173" i="14"/>
  <c r="T170" i="14"/>
  <c r="X170" i="14" s="1"/>
  <c r="S175" i="14"/>
  <c r="S172" i="14"/>
  <c r="X172" i="14" s="1"/>
  <c r="G174" i="14"/>
  <c r="K174" i="14" s="1"/>
  <c r="Y174" i="14" s="1"/>
  <c r="G172" i="14"/>
  <c r="H170" i="14"/>
  <c r="K170" i="14" s="1"/>
  <c r="H172" i="14"/>
  <c r="G169" i="14"/>
  <c r="G171" i="14"/>
  <c r="H171" i="14"/>
  <c r="G173" i="14"/>
  <c r="G175" i="14"/>
  <c r="H173" i="14"/>
  <c r="H175" i="14"/>
  <c r="G562" i="5"/>
  <c r="N562" i="5" s="1"/>
  <c r="H562" i="5"/>
  <c r="O562" i="5" s="1"/>
  <c r="H554" i="5"/>
  <c r="F560" i="5"/>
  <c r="G559" i="5"/>
  <c r="G556" i="5"/>
  <c r="N556" i="5" s="1"/>
  <c r="G557" i="5"/>
  <c r="G552" i="5"/>
  <c r="N552" i="5" s="1"/>
  <c r="G553" i="5"/>
  <c r="E274" i="13"/>
  <c r="R273" i="13"/>
  <c r="W273" i="13" s="1"/>
  <c r="X273" i="13" s="1"/>
  <c r="F273" i="13"/>
  <c r="F274" i="13" s="1"/>
  <c r="S274" i="13"/>
  <c r="G274" i="13"/>
  <c r="Q274" i="13"/>
  <c r="Z273" i="13" s="1"/>
  <c r="L550" i="5"/>
  <c r="L558" i="5" l="1"/>
  <c r="O558" i="5"/>
  <c r="L557" i="5"/>
  <c r="N557" i="5"/>
  <c r="L559" i="5"/>
  <c r="N559" i="5"/>
  <c r="L553" i="5"/>
  <c r="N553" i="5"/>
  <c r="L562" i="5"/>
  <c r="H560" i="5"/>
  <c r="G554" i="5"/>
  <c r="L552" i="5"/>
  <c r="Y170" i="14"/>
  <c r="X175" i="14"/>
  <c r="Y284" i="13"/>
  <c r="Z284" i="13"/>
  <c r="I17" i="10" s="1"/>
  <c r="J273" i="13"/>
  <c r="Y273" i="13" s="1"/>
  <c r="AA273" i="13" s="1"/>
  <c r="AB273" i="13" s="1"/>
  <c r="AB279" i="13"/>
  <c r="AA279" i="13"/>
  <c r="K171" i="14"/>
  <c r="Y171" i="14" s="1"/>
  <c r="K173" i="14"/>
  <c r="X173" i="14"/>
  <c r="K172" i="14"/>
  <c r="Y172" i="14" s="1"/>
  <c r="K175" i="14"/>
  <c r="Y175" i="14" s="1"/>
  <c r="K169" i="14"/>
  <c r="Y169" i="14" s="1"/>
  <c r="G560" i="5"/>
  <c r="L556" i="5"/>
  <c r="R274" i="13"/>
  <c r="T274" i="13"/>
  <c r="V274" i="13"/>
  <c r="S270" i="13"/>
  <c r="T270" i="13"/>
  <c r="H270" i="13"/>
  <c r="Z268" i="13"/>
  <c r="Z269" i="13"/>
  <c r="Q269" i="13"/>
  <c r="R269" i="13" s="1"/>
  <c r="E269" i="13"/>
  <c r="Q268" i="13"/>
  <c r="V268" i="13" s="1"/>
  <c r="E268" i="13"/>
  <c r="F268" i="13" s="1"/>
  <c r="J548" i="5"/>
  <c r="F548" i="5"/>
  <c r="O548" i="5" s="1"/>
  <c r="J546" i="5"/>
  <c r="F546" i="5"/>
  <c r="V155" i="14"/>
  <c r="R155" i="14"/>
  <c r="V131" i="14"/>
  <c r="R131" i="14"/>
  <c r="S131" i="14" s="1"/>
  <c r="D195" i="7"/>
  <c r="D192" i="7"/>
  <c r="D187" i="7"/>
  <c r="D182" i="7"/>
  <c r="D174" i="7"/>
  <c r="L560" i="5" l="1"/>
  <c r="G546" i="5"/>
  <c r="O546" i="5"/>
  <c r="L546" i="5"/>
  <c r="N546" i="5"/>
  <c r="L554" i="5"/>
  <c r="Y173" i="14"/>
  <c r="J274" i="13"/>
  <c r="AA284" i="13"/>
  <c r="Z270" i="13"/>
  <c r="X131" i="14"/>
  <c r="Z274" i="13"/>
  <c r="W274" i="13"/>
  <c r="X274" i="13"/>
  <c r="E270" i="13"/>
  <c r="Q270" i="13"/>
  <c r="V269" i="13"/>
  <c r="W269" i="13" s="1"/>
  <c r="G268" i="13"/>
  <c r="F269" i="13"/>
  <c r="F270" i="13" s="1"/>
  <c r="G269" i="13"/>
  <c r="R268" i="13"/>
  <c r="G548" i="5"/>
  <c r="S155" i="14"/>
  <c r="X155" i="14" s="1"/>
  <c r="L548" i="5" l="1"/>
  <c r="N548" i="5"/>
  <c r="AB284" i="13"/>
  <c r="J268" i="13"/>
  <c r="G270" i="13"/>
  <c r="W268" i="13"/>
  <c r="W270" i="13" s="1"/>
  <c r="R270" i="13"/>
  <c r="V270" i="13"/>
  <c r="X268" i="13"/>
  <c r="X269" i="13"/>
  <c r="J269" i="13"/>
  <c r="Y155" i="14"/>
  <c r="Y131" i="14"/>
  <c r="D164" i="7"/>
  <c r="D172" i="7"/>
  <c r="D167" i="7"/>
  <c r="D162" i="7"/>
  <c r="D158" i="7"/>
  <c r="D155" i="7"/>
  <c r="D149" i="7"/>
  <c r="E264" i="13"/>
  <c r="F264" i="13" s="1"/>
  <c r="Q264" i="13"/>
  <c r="V128" i="14"/>
  <c r="R128" i="14"/>
  <c r="V127" i="14"/>
  <c r="R127" i="14"/>
  <c r="V129" i="14"/>
  <c r="V126" i="14"/>
  <c r="T265" i="13"/>
  <c r="H265" i="13"/>
  <c r="Q263" i="13"/>
  <c r="E263" i="13"/>
  <c r="F263" i="13" s="1"/>
  <c r="T260" i="13"/>
  <c r="H260" i="13"/>
  <c r="Q259" i="13"/>
  <c r="E259" i="13"/>
  <c r="E260" i="13" s="1"/>
  <c r="T256" i="13"/>
  <c r="H256" i="13"/>
  <c r="Q255" i="13"/>
  <c r="E255" i="13"/>
  <c r="G255" i="13" s="1"/>
  <c r="Q254" i="13"/>
  <c r="V254" i="13" s="1"/>
  <c r="E254" i="13"/>
  <c r="G254" i="13" s="1"/>
  <c r="K538" i="5"/>
  <c r="I538" i="5"/>
  <c r="J537" i="5"/>
  <c r="F537" i="5"/>
  <c r="H537" i="5" s="1"/>
  <c r="O537" i="5" s="1"/>
  <c r="J536" i="5"/>
  <c r="F536" i="5"/>
  <c r="H536" i="5" s="1"/>
  <c r="O536" i="5" s="1"/>
  <c r="J544" i="5"/>
  <c r="F544" i="5"/>
  <c r="G544" i="5" s="1"/>
  <c r="N544" i="5" s="1"/>
  <c r="J542" i="5"/>
  <c r="F542" i="5"/>
  <c r="J540" i="5"/>
  <c r="F540" i="5"/>
  <c r="H540" i="5" s="1"/>
  <c r="O540" i="5" s="1"/>
  <c r="Y269" i="13" l="1"/>
  <c r="AA269" i="13" s="1"/>
  <c r="AB269" i="13" s="1"/>
  <c r="Y274" i="13"/>
  <c r="AA274" i="13"/>
  <c r="Y268" i="13"/>
  <c r="X270" i="13"/>
  <c r="H538" i="5"/>
  <c r="J538" i="5"/>
  <c r="J270" i="13"/>
  <c r="Q265" i="13"/>
  <c r="V264" i="13"/>
  <c r="G264" i="13"/>
  <c r="J264" i="13" s="1"/>
  <c r="R264" i="13"/>
  <c r="E265" i="13"/>
  <c r="R254" i="13"/>
  <c r="R263" i="13"/>
  <c r="F259" i="13"/>
  <c r="G259" i="13"/>
  <c r="G260" i="13" s="1"/>
  <c r="F255" i="13"/>
  <c r="J255" i="13" s="1"/>
  <c r="E256" i="13"/>
  <c r="F254" i="13"/>
  <c r="G263" i="13"/>
  <c r="J263" i="13" s="1"/>
  <c r="T128" i="14"/>
  <c r="S128" i="14"/>
  <c r="S127" i="14"/>
  <c r="T127" i="14"/>
  <c r="V263" i="13"/>
  <c r="R259" i="13"/>
  <c r="R260" i="13" s="1"/>
  <c r="V259" i="13"/>
  <c r="Q260" i="13"/>
  <c r="S260" i="13"/>
  <c r="R255" i="13"/>
  <c r="V255" i="13"/>
  <c r="V256" i="13" s="1"/>
  <c r="G256" i="13"/>
  <c r="Q256" i="13"/>
  <c r="F538" i="5"/>
  <c r="G536" i="5"/>
  <c r="N536" i="5" s="1"/>
  <c r="G537" i="5"/>
  <c r="H544" i="5"/>
  <c r="G542" i="5"/>
  <c r="N542" i="5" s="1"/>
  <c r="H542" i="5"/>
  <c r="O542" i="5" s="1"/>
  <c r="G540" i="5"/>
  <c r="L544" i="5" l="1"/>
  <c r="O544" i="5"/>
  <c r="L537" i="5"/>
  <c r="N537" i="5"/>
  <c r="L540" i="5"/>
  <c r="N540" i="5"/>
  <c r="L542" i="5"/>
  <c r="X128" i="14"/>
  <c r="Y128" i="14" s="1"/>
  <c r="AB274" i="13"/>
  <c r="AA268" i="13"/>
  <c r="Y270" i="13"/>
  <c r="W264" i="13"/>
  <c r="G265" i="13"/>
  <c r="J259" i="13"/>
  <c r="J260" i="13" s="1"/>
  <c r="S256" i="13"/>
  <c r="R256" i="13"/>
  <c r="F265" i="13"/>
  <c r="R265" i="13"/>
  <c r="S265" i="13"/>
  <c r="F256" i="13"/>
  <c r="J254" i="13"/>
  <c r="J256" i="13" s="1"/>
  <c r="X127" i="14"/>
  <c r="Y127" i="14" s="1"/>
  <c r="W263" i="13"/>
  <c r="J265" i="13"/>
  <c r="V265" i="13"/>
  <c r="W259" i="13"/>
  <c r="F260" i="13"/>
  <c r="V260" i="13"/>
  <c r="W255" i="13"/>
  <c r="W254" i="13"/>
  <c r="G538" i="5"/>
  <c r="L536" i="5"/>
  <c r="L538" i="5" s="1"/>
  <c r="D144" i="7"/>
  <c r="D140" i="7"/>
  <c r="D142" i="7"/>
  <c r="D135" i="7"/>
  <c r="T251" i="13"/>
  <c r="H251" i="13"/>
  <c r="Q250" i="13"/>
  <c r="R250" i="13" s="1"/>
  <c r="Q249" i="13"/>
  <c r="S249" i="13" s="1"/>
  <c r="E250" i="13"/>
  <c r="G250" i="13" s="1"/>
  <c r="E249" i="13"/>
  <c r="F249" i="13" s="1"/>
  <c r="Q248" i="13"/>
  <c r="S248" i="13" s="1"/>
  <c r="E248" i="13"/>
  <c r="I534" i="5"/>
  <c r="J533" i="5"/>
  <c r="F533" i="5"/>
  <c r="H533" i="5" s="1"/>
  <c r="O533" i="5" s="1"/>
  <c r="J532" i="5"/>
  <c r="F532" i="5"/>
  <c r="G532" i="5" s="1"/>
  <c r="N532" i="5" s="1"/>
  <c r="J530" i="5"/>
  <c r="F530" i="5"/>
  <c r="G530" i="5" s="1"/>
  <c r="N530" i="5" s="1"/>
  <c r="J528" i="5"/>
  <c r="F528" i="5"/>
  <c r="H528" i="5" s="1"/>
  <c r="O528" i="5" s="1"/>
  <c r="V249" i="13" l="1"/>
  <c r="J534" i="5"/>
  <c r="AB268" i="13"/>
  <c r="AB270" i="13" s="1"/>
  <c r="AA270" i="13"/>
  <c r="X264" i="13"/>
  <c r="Y264" i="13" s="1"/>
  <c r="V248" i="13"/>
  <c r="E251" i="13"/>
  <c r="V250" i="13"/>
  <c r="Q251" i="13"/>
  <c r="X263" i="13"/>
  <c r="W265" i="13"/>
  <c r="X259" i="13"/>
  <c r="Y259" i="13" s="1"/>
  <c r="W260" i="13"/>
  <c r="X255" i="13"/>
  <c r="Y255" i="13" s="1"/>
  <c r="X254" i="13"/>
  <c r="W256" i="13"/>
  <c r="S250" i="13"/>
  <c r="R249" i="13"/>
  <c r="F250" i="13"/>
  <c r="J250" i="13" s="1"/>
  <c r="G249" i="13"/>
  <c r="J249" i="13" s="1"/>
  <c r="R248" i="13"/>
  <c r="F248" i="13"/>
  <c r="G248" i="13"/>
  <c r="H532" i="5"/>
  <c r="K534" i="5"/>
  <c r="F534" i="5"/>
  <c r="H530" i="5"/>
  <c r="G533" i="5"/>
  <c r="G528" i="5"/>
  <c r="Q243" i="13"/>
  <c r="R243" i="13" s="1"/>
  <c r="E243" i="13"/>
  <c r="H534" i="5" l="1"/>
  <c r="O532" i="5"/>
  <c r="L530" i="5"/>
  <c r="O530" i="5"/>
  <c r="L528" i="5"/>
  <c r="N528" i="5"/>
  <c r="L533" i="5"/>
  <c r="N533" i="5"/>
  <c r="L532" i="5"/>
  <c r="L534" i="5" s="1"/>
  <c r="W249" i="13"/>
  <c r="V251" i="13"/>
  <c r="G251" i="13"/>
  <c r="Z264" i="13"/>
  <c r="W248" i="13"/>
  <c r="R251" i="13"/>
  <c r="J248" i="13"/>
  <c r="J251" i="13" s="1"/>
  <c r="F251" i="13"/>
  <c r="W250" i="13"/>
  <c r="S251" i="13"/>
  <c r="X265" i="13"/>
  <c r="Y263" i="13"/>
  <c r="Y260" i="13"/>
  <c r="Z259" i="13"/>
  <c r="X260" i="13"/>
  <c r="Z255" i="13"/>
  <c r="AA255" i="13" s="1"/>
  <c r="X256" i="13"/>
  <c r="Y254" i="13"/>
  <c r="G534" i="5"/>
  <c r="S243" i="13"/>
  <c r="W243" i="13" s="1"/>
  <c r="F243" i="13"/>
  <c r="G243" i="13"/>
  <c r="E241" i="13"/>
  <c r="AA264" i="13" l="1"/>
  <c r="AB264" i="13" s="1"/>
  <c r="X248" i="13"/>
  <c r="Y248" i="13" s="1"/>
  <c r="Z248" i="13" s="1"/>
  <c r="AA248" i="13" s="1"/>
  <c r="AB248" i="13" s="1"/>
  <c r="W251" i="13"/>
  <c r="X250" i="13"/>
  <c r="Y250" i="13" s="1"/>
  <c r="X249" i="13"/>
  <c r="Y249" i="13" s="1"/>
  <c r="Y265" i="13"/>
  <c r="Z263" i="13"/>
  <c r="Z265" i="13" s="1"/>
  <c r="Z260" i="13"/>
  <c r="AA259" i="13"/>
  <c r="AA260" i="13" s="1"/>
  <c r="Y256" i="13"/>
  <c r="Z254" i="13"/>
  <c r="Z256" i="13" s="1"/>
  <c r="AB255" i="13"/>
  <c r="J243" i="13"/>
  <c r="V245" i="13"/>
  <c r="T245" i="13"/>
  <c r="H245" i="13"/>
  <c r="Q244" i="13"/>
  <c r="E244" i="13"/>
  <c r="Q242" i="13"/>
  <c r="E242" i="13"/>
  <c r="F242" i="13" s="1"/>
  <c r="Q241" i="13"/>
  <c r="S241" i="13" s="1"/>
  <c r="V238" i="13"/>
  <c r="T238" i="13"/>
  <c r="H238" i="13"/>
  <c r="Q237" i="13"/>
  <c r="R237" i="13" s="1"/>
  <c r="E237" i="13"/>
  <c r="G237" i="13" s="1"/>
  <c r="Q236" i="13"/>
  <c r="R236" i="13" s="1"/>
  <c r="E236" i="13"/>
  <c r="G236" i="13" s="1"/>
  <c r="Z250" i="13" l="1"/>
  <c r="AA250" i="13" s="1"/>
  <c r="Z249" i="13"/>
  <c r="AA263" i="13"/>
  <c r="AA265" i="13" s="1"/>
  <c r="AB259" i="13"/>
  <c r="AB260" i="13" s="1"/>
  <c r="AA254" i="13"/>
  <c r="AA256" i="13" s="1"/>
  <c r="X251" i="13"/>
  <c r="Y251" i="13"/>
  <c r="E245" i="13"/>
  <c r="S244" i="13"/>
  <c r="Z243" i="13"/>
  <c r="Q238" i="13"/>
  <c r="R244" i="13"/>
  <c r="S237" i="13"/>
  <c r="W237" i="13" s="1"/>
  <c r="G242" i="13"/>
  <c r="J242" i="13" s="1"/>
  <c r="S236" i="13"/>
  <c r="W236" i="13" s="1"/>
  <c r="G238" i="13"/>
  <c r="G241" i="13"/>
  <c r="R242" i="13"/>
  <c r="F244" i="13"/>
  <c r="F241" i="13"/>
  <c r="S242" i="13"/>
  <c r="G244" i="13"/>
  <c r="Q245" i="13"/>
  <c r="R241" i="13"/>
  <c r="R238" i="13"/>
  <c r="E238" i="13"/>
  <c r="F236" i="13"/>
  <c r="J236" i="13" s="1"/>
  <c r="F237" i="13"/>
  <c r="J237" i="13" s="1"/>
  <c r="AB254" i="13" l="1"/>
  <c r="AB256" i="13" s="1"/>
  <c r="Z251" i="13"/>
  <c r="I16" i="10" s="1"/>
  <c r="AA249" i="13"/>
  <c r="AA251" i="13" s="1"/>
  <c r="W244" i="13"/>
  <c r="AB250" i="13"/>
  <c r="AB263" i="13"/>
  <c r="AB265" i="13" s="1"/>
  <c r="S245" i="13"/>
  <c r="G245" i="13"/>
  <c r="S238" i="13"/>
  <c r="J244" i="13"/>
  <c r="W242" i="13"/>
  <c r="J238" i="13"/>
  <c r="R245" i="13"/>
  <c r="W241" i="13"/>
  <c r="J241" i="13"/>
  <c r="F245" i="13"/>
  <c r="X237" i="13"/>
  <c r="Y237" i="13" s="1"/>
  <c r="W238" i="13"/>
  <c r="X236" i="13"/>
  <c r="Y236" i="13" s="1"/>
  <c r="F238" i="13"/>
  <c r="K16" i="10" l="1"/>
  <c r="L16" i="10" s="1"/>
  <c r="AB249" i="13"/>
  <c r="AB251" i="13" s="1"/>
  <c r="X243" i="13"/>
  <c r="Y243" i="13" s="1"/>
  <c r="J245" i="13"/>
  <c r="W245" i="13"/>
  <c r="X242" i="13"/>
  <c r="Y242" i="13" s="1"/>
  <c r="X244" i="13"/>
  <c r="Y244" i="13" s="1"/>
  <c r="X241" i="13"/>
  <c r="Z237" i="13"/>
  <c r="Y238" i="13"/>
  <c r="Z236" i="13"/>
  <c r="X238" i="13"/>
  <c r="AA243" i="13" l="1"/>
  <c r="AB243" i="13" s="1"/>
  <c r="X245" i="13"/>
  <c r="Z242" i="13"/>
  <c r="Y241" i="13"/>
  <c r="Z244" i="13"/>
  <c r="AA244" i="13" s="1"/>
  <c r="AB244" i="13" s="1"/>
  <c r="Z238" i="13"/>
  <c r="AA236" i="13"/>
  <c r="AB236" i="13" s="1"/>
  <c r="AA237" i="13"/>
  <c r="AB237" i="13" s="1"/>
  <c r="Y245" i="13" l="1"/>
  <c r="Z241" i="13"/>
  <c r="Z245" i="13" s="1"/>
  <c r="AA242" i="13"/>
  <c r="AB242" i="13" s="1"/>
  <c r="AB238" i="13"/>
  <c r="AA238" i="13"/>
  <c r="AA241" i="13" l="1"/>
  <c r="AA245" i="13" s="1"/>
  <c r="AB241" i="13" l="1"/>
  <c r="AB245" i="13" s="1"/>
  <c r="V68" i="14"/>
  <c r="R68" i="14"/>
  <c r="V81" i="14"/>
  <c r="R81" i="14"/>
  <c r="T81" i="14" s="1"/>
  <c r="S68" i="14" l="1"/>
  <c r="T68" i="14"/>
  <c r="S81" i="14"/>
  <c r="X68" i="14" l="1"/>
  <c r="Y68" i="14" s="1"/>
  <c r="X81" i="14"/>
  <c r="Y81" i="14" s="1"/>
  <c r="I526" i="5" l="1"/>
  <c r="J525" i="5"/>
  <c r="F525" i="5"/>
  <c r="K525" i="5" s="1"/>
  <c r="J524" i="5"/>
  <c r="F524" i="5"/>
  <c r="H524" i="5" s="1"/>
  <c r="O524" i="5" s="1"/>
  <c r="J522" i="5"/>
  <c r="F522" i="5"/>
  <c r="H522" i="5" s="1"/>
  <c r="O522" i="5" s="1"/>
  <c r="J520" i="5"/>
  <c r="F520" i="5"/>
  <c r="J526" i="5" l="1"/>
  <c r="K524" i="5"/>
  <c r="G524" i="5"/>
  <c r="N524" i="5" s="1"/>
  <c r="F526" i="5"/>
  <c r="G525" i="5"/>
  <c r="N525" i="5" s="1"/>
  <c r="H525" i="5"/>
  <c r="G522" i="5"/>
  <c r="G520" i="5"/>
  <c r="N520" i="5" s="1"/>
  <c r="H520" i="5"/>
  <c r="O520" i="5" s="1"/>
  <c r="R166" i="14"/>
  <c r="S166" i="14" s="1"/>
  <c r="V166" i="14"/>
  <c r="R167" i="14"/>
  <c r="T167" i="14" s="1"/>
  <c r="V167" i="14"/>
  <c r="R168" i="14"/>
  <c r="S168" i="14" s="1"/>
  <c r="V168" i="14"/>
  <c r="F166" i="14"/>
  <c r="G166" i="14" s="1"/>
  <c r="J166" i="14"/>
  <c r="F167" i="14"/>
  <c r="H167" i="14" s="1"/>
  <c r="J167" i="14"/>
  <c r="F168" i="14"/>
  <c r="G168" i="14" s="1"/>
  <c r="J168" i="14"/>
  <c r="J518" i="5"/>
  <c r="F518" i="5"/>
  <c r="J516" i="5"/>
  <c r="F516" i="5"/>
  <c r="I514" i="5"/>
  <c r="J513" i="5"/>
  <c r="F513" i="5"/>
  <c r="G513" i="5" s="1"/>
  <c r="N513" i="5" s="1"/>
  <c r="J512" i="5"/>
  <c r="J514" i="5" s="1"/>
  <c r="F512" i="5"/>
  <c r="F514" i="5" s="1"/>
  <c r="H526" i="5" l="1"/>
  <c r="O525" i="5"/>
  <c r="L522" i="5"/>
  <c r="N522" i="5"/>
  <c r="H166" i="14"/>
  <c r="K166" i="14" s="1"/>
  <c r="L524" i="5"/>
  <c r="K526" i="5"/>
  <c r="G526" i="5"/>
  <c r="L525" i="5"/>
  <c r="L520" i="5"/>
  <c r="T168" i="14"/>
  <c r="X168" i="14" s="1"/>
  <c r="S167" i="14"/>
  <c r="X167" i="14" s="1"/>
  <c r="T166" i="14"/>
  <c r="X166" i="14" s="1"/>
  <c r="G167" i="14"/>
  <c r="K167" i="14" s="1"/>
  <c r="H168" i="14"/>
  <c r="K168" i="14" s="1"/>
  <c r="G518" i="5"/>
  <c r="N518" i="5" s="1"/>
  <c r="H518" i="5"/>
  <c r="O518" i="5" s="1"/>
  <c r="G516" i="5"/>
  <c r="N516" i="5" s="1"/>
  <c r="H516" i="5"/>
  <c r="O516" i="5" s="1"/>
  <c r="H513" i="5"/>
  <c r="G512" i="5"/>
  <c r="H512" i="5"/>
  <c r="O512" i="5" s="1"/>
  <c r="D130" i="7"/>
  <c r="Q232" i="13"/>
  <c r="R232" i="13" s="1"/>
  <c r="E232" i="13"/>
  <c r="Q231" i="13"/>
  <c r="S231" i="13" s="1"/>
  <c r="E231" i="13"/>
  <c r="J231" i="13" s="1"/>
  <c r="Q230" i="13"/>
  <c r="S230" i="13" s="1"/>
  <c r="E230" i="13"/>
  <c r="G230" i="13" s="1"/>
  <c r="L513" i="5" l="1"/>
  <c r="O513" i="5"/>
  <c r="G514" i="5"/>
  <c r="N512" i="5"/>
  <c r="H514" i="5"/>
  <c r="Y167" i="14"/>
  <c r="Y168" i="14"/>
  <c r="Y166" i="14"/>
  <c r="L518" i="5"/>
  <c r="L526" i="5"/>
  <c r="L516" i="5"/>
  <c r="L512" i="5"/>
  <c r="S232" i="13"/>
  <c r="W232" i="13" s="1"/>
  <c r="Q233" i="13"/>
  <c r="F230" i="13"/>
  <c r="J230" i="13" s="1"/>
  <c r="H233" i="13"/>
  <c r="F232" i="13"/>
  <c r="G232" i="13"/>
  <c r="V233" i="13"/>
  <c r="R231" i="13"/>
  <c r="W231" i="13" s="1"/>
  <c r="R230" i="13"/>
  <c r="W230" i="13" s="1"/>
  <c r="E233" i="13"/>
  <c r="L514" i="5" l="1"/>
  <c r="S233" i="13"/>
  <c r="F233" i="13"/>
  <c r="X231" i="13"/>
  <c r="Y231" i="13" s="1"/>
  <c r="X232" i="13"/>
  <c r="X230" i="13"/>
  <c r="J232" i="13"/>
  <c r="J233" i="13" s="1"/>
  <c r="T233" i="13"/>
  <c r="R233" i="13"/>
  <c r="G233" i="13"/>
  <c r="Y232" i="13" l="1"/>
  <c r="Z232" i="13" s="1"/>
  <c r="AA232" i="13" s="1"/>
  <c r="AB232" i="13" s="1"/>
  <c r="Z231" i="13"/>
  <c r="AA231" i="13" s="1"/>
  <c r="AB231" i="13" s="1"/>
  <c r="W233" i="13"/>
  <c r="J510" i="5" l="1"/>
  <c r="F510" i="5"/>
  <c r="J508" i="5"/>
  <c r="F508" i="5"/>
  <c r="H508" i="5" s="1"/>
  <c r="O508" i="5" s="1"/>
  <c r="J506" i="5"/>
  <c r="F506" i="5"/>
  <c r="H506" i="5" s="1"/>
  <c r="O506" i="5" s="1"/>
  <c r="I504" i="5"/>
  <c r="J503" i="5"/>
  <c r="F503" i="5"/>
  <c r="G503" i="5" s="1"/>
  <c r="N503" i="5" s="1"/>
  <c r="J502" i="5"/>
  <c r="F502" i="5"/>
  <c r="J500" i="5"/>
  <c r="F500" i="5"/>
  <c r="H500" i="5" s="1"/>
  <c r="O500" i="5" s="1"/>
  <c r="J498" i="5"/>
  <c r="F498" i="5"/>
  <c r="G498" i="5" s="1"/>
  <c r="N498" i="5" s="1"/>
  <c r="I496" i="5"/>
  <c r="J495" i="5"/>
  <c r="F495" i="5"/>
  <c r="J494" i="5"/>
  <c r="F494" i="5"/>
  <c r="H494" i="5" s="1"/>
  <c r="O494" i="5" s="1"/>
  <c r="F504" i="5" l="1"/>
  <c r="J504" i="5"/>
  <c r="J496" i="5"/>
  <c r="G510" i="5"/>
  <c r="N510" i="5" s="1"/>
  <c r="H510" i="5"/>
  <c r="O510" i="5" s="1"/>
  <c r="G508" i="5"/>
  <c r="G506" i="5"/>
  <c r="H503" i="5"/>
  <c r="G502" i="5"/>
  <c r="H502" i="5"/>
  <c r="O502" i="5" s="1"/>
  <c r="G500" i="5"/>
  <c r="H498" i="5"/>
  <c r="F496" i="5"/>
  <c r="G495" i="5"/>
  <c r="N495" i="5" s="1"/>
  <c r="H495" i="5"/>
  <c r="G494" i="5"/>
  <c r="N494" i="5" s="1"/>
  <c r="V49" i="14"/>
  <c r="L503" i="5" l="1"/>
  <c r="O503" i="5"/>
  <c r="L498" i="5"/>
  <c r="O498" i="5"/>
  <c r="H496" i="5"/>
  <c r="O495" i="5"/>
  <c r="L506" i="5"/>
  <c r="N506" i="5"/>
  <c r="L508" i="5"/>
  <c r="N508" i="5"/>
  <c r="L500" i="5"/>
  <c r="N500" i="5"/>
  <c r="G504" i="5"/>
  <c r="N502" i="5"/>
  <c r="H504" i="5"/>
  <c r="L510" i="5"/>
  <c r="L495" i="5"/>
  <c r="L502" i="5"/>
  <c r="G496" i="5"/>
  <c r="L494" i="5"/>
  <c r="V163" i="14"/>
  <c r="R163" i="14"/>
  <c r="J163" i="14"/>
  <c r="F163" i="14"/>
  <c r="H163" i="14" s="1"/>
  <c r="V164" i="14"/>
  <c r="R164" i="14"/>
  <c r="T164" i="14" s="1"/>
  <c r="J164" i="14"/>
  <c r="F164" i="14"/>
  <c r="V162" i="14"/>
  <c r="R162" i="14"/>
  <c r="S162" i="14" s="1"/>
  <c r="J162" i="14"/>
  <c r="F162" i="14"/>
  <c r="L504" i="5" l="1"/>
  <c r="L496" i="5"/>
  <c r="G163" i="14"/>
  <c r="K163" i="14" s="1"/>
  <c r="S163" i="14"/>
  <c r="T163" i="14"/>
  <c r="G164" i="14"/>
  <c r="H164" i="14"/>
  <c r="S164" i="14"/>
  <c r="X164" i="14" s="1"/>
  <c r="T162" i="14"/>
  <c r="X162" i="14" s="1"/>
  <c r="G162" i="14"/>
  <c r="H162" i="14"/>
  <c r="Q226" i="13"/>
  <c r="E226" i="13"/>
  <c r="F226" i="13" s="1"/>
  <c r="Q225" i="13"/>
  <c r="S225" i="13" s="1"/>
  <c r="E225" i="13"/>
  <c r="G225" i="13" s="1"/>
  <c r="K162" i="14" l="1"/>
  <c r="Y162" i="14" s="1"/>
  <c r="R225" i="13"/>
  <c r="W225" i="13" s="1"/>
  <c r="X163" i="14"/>
  <c r="Y163" i="14" s="1"/>
  <c r="K164" i="14"/>
  <c r="Y164" i="14" s="1"/>
  <c r="G226" i="13"/>
  <c r="J226" i="13" s="1"/>
  <c r="R226" i="13"/>
  <c r="S226" i="13"/>
  <c r="F225" i="13"/>
  <c r="J225" i="13" s="1"/>
  <c r="V161" i="14"/>
  <c r="R161" i="14"/>
  <c r="J161" i="14"/>
  <c r="F161" i="14"/>
  <c r="H161" i="14" s="1"/>
  <c r="W226" i="13" l="1"/>
  <c r="S161" i="14"/>
  <c r="T161" i="14"/>
  <c r="G161" i="14"/>
  <c r="K161" i="14" s="1"/>
  <c r="D127" i="7"/>
  <c r="D125" i="7"/>
  <c r="X161" i="14" l="1"/>
  <c r="Y161" i="14" s="1"/>
  <c r="Q223" i="13"/>
  <c r="Q222" i="13"/>
  <c r="R222" i="13" s="1"/>
  <c r="X218" i="13"/>
  <c r="X217" i="13"/>
  <c r="X215" i="13"/>
  <c r="X214" i="13"/>
  <c r="X213" i="13"/>
  <c r="X212" i="13"/>
  <c r="X211" i="13"/>
  <c r="X210" i="13"/>
  <c r="X205" i="13"/>
  <c r="X204" i="13"/>
  <c r="X203" i="13"/>
  <c r="V219" i="13"/>
  <c r="T219" i="13"/>
  <c r="H219" i="13"/>
  <c r="Q218" i="13"/>
  <c r="R218" i="13" s="1"/>
  <c r="E218" i="13"/>
  <c r="J218" i="13" s="1"/>
  <c r="T227" i="13"/>
  <c r="H227" i="13"/>
  <c r="S218" i="13" l="1"/>
  <c r="W218" i="13" s="1"/>
  <c r="Y218" i="13" s="1"/>
  <c r="S222" i="13"/>
  <c r="W222" i="13" s="1"/>
  <c r="R223" i="13"/>
  <c r="S223" i="13"/>
  <c r="X219" i="13"/>
  <c r="Q224" i="13"/>
  <c r="E224" i="13"/>
  <c r="G224" i="13" s="1"/>
  <c r="V227" i="13"/>
  <c r="E222" i="13"/>
  <c r="J222" i="13" s="1"/>
  <c r="J492" i="5"/>
  <c r="F492" i="5"/>
  <c r="H492" i="5" s="1"/>
  <c r="O492" i="5" s="1"/>
  <c r="J489" i="5"/>
  <c r="J488" i="5"/>
  <c r="J487" i="5"/>
  <c r="I490" i="5"/>
  <c r="F489" i="5"/>
  <c r="G489" i="5" s="1"/>
  <c r="N489" i="5" s="1"/>
  <c r="F488" i="5"/>
  <c r="H488" i="5" s="1"/>
  <c r="O488" i="5" s="1"/>
  <c r="F487" i="5"/>
  <c r="H487" i="5" s="1"/>
  <c r="O487" i="5" s="1"/>
  <c r="J485" i="5"/>
  <c r="F485" i="5"/>
  <c r="H485" i="5" s="1"/>
  <c r="O485" i="5" s="1"/>
  <c r="I483" i="5"/>
  <c r="J482" i="5"/>
  <c r="F482" i="5"/>
  <c r="H482" i="5" s="1"/>
  <c r="O482" i="5" s="1"/>
  <c r="J481" i="5"/>
  <c r="F481" i="5"/>
  <c r="H481" i="5" s="1"/>
  <c r="O481" i="5" s="1"/>
  <c r="I479" i="5"/>
  <c r="J478" i="5"/>
  <c r="F478" i="5"/>
  <c r="H478" i="5" s="1"/>
  <c r="O478" i="5" s="1"/>
  <c r="J477" i="5"/>
  <c r="F477" i="5"/>
  <c r="J158" i="14"/>
  <c r="F158" i="14"/>
  <c r="H158" i="14" s="1"/>
  <c r="V157" i="14"/>
  <c r="R157" i="14"/>
  <c r="J157" i="14"/>
  <c r="F157" i="14"/>
  <c r="G157" i="14" s="1"/>
  <c r="V71" i="14"/>
  <c r="V70" i="14"/>
  <c r="V69" i="14"/>
  <c r="R71" i="14"/>
  <c r="S71" i="14" s="1"/>
  <c r="R70" i="14"/>
  <c r="T70" i="14" s="1"/>
  <c r="T71" i="14" l="1"/>
  <c r="H483" i="5"/>
  <c r="W223" i="13"/>
  <c r="G158" i="14"/>
  <c r="K158" i="14" s="1"/>
  <c r="Y159" i="14" s="1"/>
  <c r="S70" i="14"/>
  <c r="X70" i="14" s="1"/>
  <c r="H157" i="14"/>
  <c r="J490" i="5"/>
  <c r="E227" i="13"/>
  <c r="Q227" i="13"/>
  <c r="G227" i="13"/>
  <c r="S224" i="13"/>
  <c r="R224" i="13"/>
  <c r="F224" i="13"/>
  <c r="J224" i="13" s="1"/>
  <c r="G492" i="5"/>
  <c r="H489" i="5"/>
  <c r="G487" i="5"/>
  <c r="F490" i="5"/>
  <c r="G488" i="5"/>
  <c r="N488" i="5" s="1"/>
  <c r="G485" i="5"/>
  <c r="J483" i="5"/>
  <c r="G481" i="5"/>
  <c r="F483" i="5"/>
  <c r="G482" i="5"/>
  <c r="J479" i="5"/>
  <c r="G478" i="5"/>
  <c r="F479" i="5"/>
  <c r="G477" i="5"/>
  <c r="N477" i="5" s="1"/>
  <c r="H477" i="5"/>
  <c r="T157" i="14"/>
  <c r="S157" i="14"/>
  <c r="Y158" i="14"/>
  <c r="K157" i="14"/>
  <c r="X71" i="14"/>
  <c r="V165" i="14"/>
  <c r="R165" i="14"/>
  <c r="J165" i="14"/>
  <c r="F165" i="14"/>
  <c r="H165" i="14" s="1"/>
  <c r="V154" i="14"/>
  <c r="R154" i="14"/>
  <c r="J154" i="14"/>
  <c r="F154" i="14"/>
  <c r="H154" i="14" s="1"/>
  <c r="F156" i="14"/>
  <c r="G156" i="14" s="1"/>
  <c r="J156" i="14"/>
  <c r="H479" i="5" l="1"/>
  <c r="O477" i="5"/>
  <c r="L489" i="5"/>
  <c r="O489" i="5"/>
  <c r="L492" i="5"/>
  <c r="N492" i="5"/>
  <c r="L481" i="5"/>
  <c r="N481" i="5"/>
  <c r="L485" i="5"/>
  <c r="N485" i="5"/>
  <c r="L487" i="5"/>
  <c r="N487" i="5"/>
  <c r="L482" i="5"/>
  <c r="N482" i="5"/>
  <c r="L478" i="5"/>
  <c r="N478" i="5"/>
  <c r="X157" i="14"/>
  <c r="Y157" i="14" s="1"/>
  <c r="L477" i="5"/>
  <c r="G490" i="5"/>
  <c r="W224" i="13"/>
  <c r="W227" i="13" s="1"/>
  <c r="S227" i="13"/>
  <c r="J227" i="13"/>
  <c r="R227" i="13"/>
  <c r="F227" i="13"/>
  <c r="H490" i="5"/>
  <c r="L488" i="5"/>
  <c r="G483" i="5"/>
  <c r="G479" i="5"/>
  <c r="G165" i="14"/>
  <c r="K165" i="14" s="1"/>
  <c r="S165" i="14"/>
  <c r="T165" i="14"/>
  <c r="H156" i="14"/>
  <c r="K156" i="14" s="1"/>
  <c r="S154" i="14"/>
  <c r="T154" i="14"/>
  <c r="G154" i="14"/>
  <c r="K154" i="14" s="1"/>
  <c r="V153" i="14"/>
  <c r="R153" i="14"/>
  <c r="T153" i="14" s="1"/>
  <c r="R152" i="14"/>
  <c r="J153" i="14"/>
  <c r="F153" i="14"/>
  <c r="J152" i="14"/>
  <c r="F152" i="14"/>
  <c r="G152" i="14" s="1"/>
  <c r="L483" i="5" l="1"/>
  <c r="L490" i="5"/>
  <c r="L479" i="5"/>
  <c r="S152" i="14"/>
  <c r="T152" i="14"/>
  <c r="X224" i="13"/>
  <c r="Y224" i="13" s="1"/>
  <c r="Z224" i="13" s="1"/>
  <c r="Y230" i="13"/>
  <c r="Z230" i="13" s="1"/>
  <c r="Z233" i="13" s="1"/>
  <c r="I15" i="10" s="1"/>
  <c r="L15" i="10" s="1"/>
  <c r="X233" i="13"/>
  <c r="X223" i="13"/>
  <c r="Y223" i="13" s="1"/>
  <c r="Z223" i="13" s="1"/>
  <c r="X226" i="13"/>
  <c r="Y226" i="13" s="1"/>
  <c r="X222" i="13"/>
  <c r="Y222" i="13" s="1"/>
  <c r="Z222" i="13" s="1"/>
  <c r="X225" i="13"/>
  <c r="Y225" i="13" s="1"/>
  <c r="X154" i="14"/>
  <c r="Y154" i="14" s="1"/>
  <c r="X165" i="14"/>
  <c r="Y165" i="14" s="1"/>
  <c r="Y156" i="14"/>
  <c r="S153" i="14"/>
  <c r="H152" i="14"/>
  <c r="K152" i="14" s="1"/>
  <c r="G153" i="14"/>
  <c r="H153" i="14"/>
  <c r="X152" i="14" l="1"/>
  <c r="Y152" i="14" s="1"/>
  <c r="Z225" i="13"/>
  <c r="AA225" i="13" s="1"/>
  <c r="AB225" i="13" s="1"/>
  <c r="Z226" i="13"/>
  <c r="AA230" i="13"/>
  <c r="Y233" i="13"/>
  <c r="AA223" i="13"/>
  <c r="AB223" i="13" s="1"/>
  <c r="X227" i="13"/>
  <c r="AA222" i="13"/>
  <c r="AB222" i="13" s="1"/>
  <c r="AA224" i="13"/>
  <c r="AB224" i="13" s="1"/>
  <c r="Y227" i="13"/>
  <c r="X153" i="14"/>
  <c r="K153" i="14"/>
  <c r="Z227" i="13" l="1"/>
  <c r="I14" i="10" s="1"/>
  <c r="L14" i="10" s="1"/>
  <c r="Y153" i="14"/>
  <c r="AA226" i="13"/>
  <c r="AB226" i="13" s="1"/>
  <c r="AB230" i="13"/>
  <c r="AB233" i="13" s="1"/>
  <c r="AA233" i="13"/>
  <c r="I475" i="5"/>
  <c r="J474" i="5"/>
  <c r="F474" i="5"/>
  <c r="H474" i="5" s="1"/>
  <c r="O474" i="5" s="1"/>
  <c r="J473" i="5"/>
  <c r="F473" i="5"/>
  <c r="H473" i="5" s="1"/>
  <c r="O473" i="5" s="1"/>
  <c r="J471" i="5"/>
  <c r="F471" i="5"/>
  <c r="J469" i="5"/>
  <c r="F469" i="5"/>
  <c r="J467" i="5"/>
  <c r="F467" i="5"/>
  <c r="H467" i="5" s="1"/>
  <c r="O467" i="5" s="1"/>
  <c r="J465" i="5"/>
  <c r="F465" i="5"/>
  <c r="H465" i="5" s="1"/>
  <c r="O465" i="5" s="1"/>
  <c r="J463" i="5"/>
  <c r="F463" i="5"/>
  <c r="H463" i="5" s="1"/>
  <c r="O463" i="5" s="1"/>
  <c r="J460" i="5"/>
  <c r="J459" i="5"/>
  <c r="I461" i="5"/>
  <c r="F460" i="5"/>
  <c r="F459" i="5"/>
  <c r="J457" i="5"/>
  <c r="F457" i="5"/>
  <c r="I455" i="5"/>
  <c r="J454" i="5"/>
  <c r="F454" i="5"/>
  <c r="H454" i="5" s="1"/>
  <c r="O454" i="5" s="1"/>
  <c r="J453" i="5"/>
  <c r="F453" i="5"/>
  <c r="J451" i="5"/>
  <c r="F451" i="5"/>
  <c r="H451" i="5" s="1"/>
  <c r="O451" i="5" s="1"/>
  <c r="K473" i="5" l="1"/>
  <c r="K474" i="5"/>
  <c r="H475" i="5"/>
  <c r="J461" i="5"/>
  <c r="J455" i="5"/>
  <c r="AB227" i="13"/>
  <c r="AA227" i="13"/>
  <c r="J475" i="5"/>
  <c r="F475" i="5"/>
  <c r="G473" i="5"/>
  <c r="N473" i="5" s="1"/>
  <c r="G474" i="5"/>
  <c r="N474" i="5" s="1"/>
  <c r="G471" i="5"/>
  <c r="N471" i="5" s="1"/>
  <c r="H471" i="5"/>
  <c r="O471" i="5" s="1"/>
  <c r="G469" i="5"/>
  <c r="N469" i="5" s="1"/>
  <c r="H469" i="5"/>
  <c r="O469" i="5" s="1"/>
  <c r="G467" i="5"/>
  <c r="G465" i="5"/>
  <c r="G463" i="5"/>
  <c r="K461" i="5"/>
  <c r="F461" i="5"/>
  <c r="G459" i="5"/>
  <c r="N459" i="5" s="1"/>
  <c r="H459" i="5"/>
  <c r="O459" i="5" s="1"/>
  <c r="G460" i="5"/>
  <c r="N460" i="5" s="1"/>
  <c r="H460" i="5"/>
  <c r="G457" i="5"/>
  <c r="N457" i="5" s="1"/>
  <c r="H457" i="5"/>
  <c r="O457" i="5" s="1"/>
  <c r="G453" i="5"/>
  <c r="N453" i="5" s="1"/>
  <c r="H453" i="5"/>
  <c r="F455" i="5"/>
  <c r="G454" i="5"/>
  <c r="G451" i="5"/>
  <c r="Q216" i="13"/>
  <c r="S216" i="13" s="1"/>
  <c r="E216" i="13"/>
  <c r="F216" i="13" s="1"/>
  <c r="Q217" i="13"/>
  <c r="E217" i="13"/>
  <c r="F217" i="13" s="1"/>
  <c r="Q215" i="13"/>
  <c r="E215" i="13"/>
  <c r="G215" i="13" s="1"/>
  <c r="Q214" i="13"/>
  <c r="S214" i="13" s="1"/>
  <c r="E214" i="13"/>
  <c r="H461" i="5" l="1"/>
  <c r="O460" i="5"/>
  <c r="H455" i="5"/>
  <c r="O453" i="5"/>
  <c r="L454" i="5"/>
  <c r="N454" i="5"/>
  <c r="L467" i="5"/>
  <c r="N467" i="5"/>
  <c r="L451" i="5"/>
  <c r="N451" i="5"/>
  <c r="L463" i="5"/>
  <c r="N463" i="5"/>
  <c r="L465" i="5"/>
  <c r="N465" i="5"/>
  <c r="L473" i="5"/>
  <c r="K475" i="5"/>
  <c r="L474" i="5"/>
  <c r="L471" i="5"/>
  <c r="L469" i="5"/>
  <c r="G217" i="13"/>
  <c r="J217" i="13" s="1"/>
  <c r="G475" i="5"/>
  <c r="L459" i="5"/>
  <c r="L460" i="5"/>
  <c r="G461" i="5"/>
  <c r="L457" i="5"/>
  <c r="G455" i="5"/>
  <c r="L453" i="5"/>
  <c r="R214" i="13"/>
  <c r="W214" i="13" s="1"/>
  <c r="G216" i="13"/>
  <c r="J216" i="13" s="1"/>
  <c r="R216" i="13"/>
  <c r="W216" i="13" s="1"/>
  <c r="F215" i="13"/>
  <c r="J215" i="13" s="1"/>
  <c r="R217" i="13"/>
  <c r="S217" i="13"/>
  <c r="R215" i="13"/>
  <c r="S215" i="13"/>
  <c r="F214" i="13"/>
  <c r="G214" i="13"/>
  <c r="Q213" i="13"/>
  <c r="S213" i="13" s="1"/>
  <c r="E213" i="13"/>
  <c r="L455" i="5" l="1"/>
  <c r="L475" i="5"/>
  <c r="W217" i="13"/>
  <c r="Y217" i="13" s="1"/>
  <c r="W215" i="13"/>
  <c r="L461" i="5"/>
  <c r="J214" i="13"/>
  <c r="F213" i="13"/>
  <c r="G213" i="13"/>
  <c r="R213" i="13"/>
  <c r="W213" i="13" s="1"/>
  <c r="Q212" i="13"/>
  <c r="E212" i="13"/>
  <c r="G212" i="13" s="1"/>
  <c r="Q211" i="13"/>
  <c r="R211" i="13" s="1"/>
  <c r="E211" i="13"/>
  <c r="J211" i="13" s="1"/>
  <c r="J213" i="13" l="1"/>
  <c r="R212" i="13"/>
  <c r="S212" i="13"/>
  <c r="F212" i="13"/>
  <c r="J212" i="13" s="1"/>
  <c r="S211" i="13"/>
  <c r="W211" i="13" s="1"/>
  <c r="V79" i="14"/>
  <c r="V73" i="14"/>
  <c r="Q204" i="13"/>
  <c r="E204" i="13"/>
  <c r="G204" i="13" s="1"/>
  <c r="E210" i="13"/>
  <c r="E209" i="13"/>
  <c r="E208" i="13"/>
  <c r="J208" i="13" s="1"/>
  <c r="E207" i="13"/>
  <c r="J207" i="13" s="1"/>
  <c r="Q210" i="13"/>
  <c r="S210" i="13" s="1"/>
  <c r="E206" i="13"/>
  <c r="J206" i="13" s="1"/>
  <c r="Q205" i="13"/>
  <c r="E205" i="13"/>
  <c r="F205" i="13" s="1"/>
  <c r="W212" i="13" l="1"/>
  <c r="R210" i="13"/>
  <c r="W210" i="13" s="1"/>
  <c r="G205" i="13"/>
  <c r="J205" i="13" s="1"/>
  <c r="R204" i="13"/>
  <c r="S204" i="13"/>
  <c r="F204" i="13"/>
  <c r="J204" i="13" s="1"/>
  <c r="G210" i="13"/>
  <c r="J210" i="13" s="1"/>
  <c r="G209" i="13"/>
  <c r="J209" i="13" s="1"/>
  <c r="R205" i="13"/>
  <c r="S205" i="13"/>
  <c r="K9" i="10"/>
  <c r="W204" i="13" l="1"/>
  <c r="W205" i="13"/>
  <c r="V151" i="14"/>
  <c r="R151" i="14"/>
  <c r="J151" i="14"/>
  <c r="F151" i="14"/>
  <c r="F150" i="14"/>
  <c r="G150" i="14" s="1"/>
  <c r="J150" i="14"/>
  <c r="R150" i="14"/>
  <c r="V150" i="14"/>
  <c r="S151" i="14" l="1"/>
  <c r="T151" i="14"/>
  <c r="H151" i="14"/>
  <c r="G151" i="14"/>
  <c r="T150" i="14"/>
  <c r="S150" i="14"/>
  <c r="H150" i="14"/>
  <c r="K150" i="14" s="1"/>
  <c r="Q203" i="13"/>
  <c r="Q219" i="13" s="1"/>
  <c r="E203" i="13"/>
  <c r="Q199" i="13"/>
  <c r="S199" i="13" s="1"/>
  <c r="E199" i="13"/>
  <c r="F199" i="13" s="1"/>
  <c r="Q198" i="13"/>
  <c r="R198" i="13" s="1"/>
  <c r="E198" i="13"/>
  <c r="F198" i="13" s="1"/>
  <c r="E197" i="13"/>
  <c r="Q197" i="13"/>
  <c r="S197" i="13" s="1"/>
  <c r="Q196" i="13"/>
  <c r="E196" i="13"/>
  <c r="V193" i="13"/>
  <c r="T193" i="13"/>
  <c r="H193" i="13"/>
  <c r="Q192" i="13"/>
  <c r="S192" i="13" s="1"/>
  <c r="E192" i="13"/>
  <c r="Q191" i="13"/>
  <c r="E191" i="13"/>
  <c r="F191" i="13" s="1"/>
  <c r="Q190" i="13"/>
  <c r="E190" i="13"/>
  <c r="V149" i="14"/>
  <c r="R149" i="14"/>
  <c r="V148" i="14"/>
  <c r="R148" i="14"/>
  <c r="S148" i="14" s="1"/>
  <c r="V147" i="14"/>
  <c r="R147" i="14"/>
  <c r="S147" i="14" s="1"/>
  <c r="V146" i="14"/>
  <c r="R146" i="14"/>
  <c r="T146" i="14" s="1"/>
  <c r="J149" i="14"/>
  <c r="F149" i="14"/>
  <c r="H149" i="14" s="1"/>
  <c r="J148" i="14"/>
  <c r="F148" i="14"/>
  <c r="J147" i="14"/>
  <c r="F147" i="14"/>
  <c r="J146" i="14"/>
  <c r="F146" i="14"/>
  <c r="H146" i="14" s="1"/>
  <c r="V136" i="14"/>
  <c r="V137" i="14"/>
  <c r="V138" i="14"/>
  <c r="V139" i="14"/>
  <c r="V140" i="14"/>
  <c r="V141" i="14"/>
  <c r="V142" i="14"/>
  <c r="V143" i="14"/>
  <c r="V144" i="14"/>
  <c r="V145" i="14"/>
  <c r="V135" i="14"/>
  <c r="K151" i="14" l="1"/>
  <c r="G203" i="13"/>
  <c r="G219" i="13" s="1"/>
  <c r="E219" i="13"/>
  <c r="G146" i="14"/>
  <c r="K146" i="14" s="1"/>
  <c r="X151" i="14"/>
  <c r="R197" i="13"/>
  <c r="W197" i="13" s="1"/>
  <c r="Q193" i="13"/>
  <c r="X150" i="14"/>
  <c r="Y150" i="14" s="1"/>
  <c r="F203" i="13"/>
  <c r="R203" i="13"/>
  <c r="R219" i="13" s="1"/>
  <c r="S203" i="13"/>
  <c r="S219" i="13" s="1"/>
  <c r="S198" i="13"/>
  <c r="W198" i="13" s="1"/>
  <c r="G199" i="13"/>
  <c r="J199" i="13" s="1"/>
  <c r="G198" i="13"/>
  <c r="J198" i="13" s="1"/>
  <c r="R199" i="13"/>
  <c r="W199" i="13" s="1"/>
  <c r="F197" i="13"/>
  <c r="G197" i="13"/>
  <c r="Q200" i="13"/>
  <c r="H200" i="13"/>
  <c r="F196" i="13"/>
  <c r="G196" i="13"/>
  <c r="R196" i="13"/>
  <c r="T200" i="13" s="1"/>
  <c r="S196" i="13"/>
  <c r="V200" i="13" s="1"/>
  <c r="E200" i="13"/>
  <c r="R192" i="13"/>
  <c r="W192" i="13" s="1"/>
  <c r="G191" i="13"/>
  <c r="J191" i="13" s="1"/>
  <c r="R190" i="13"/>
  <c r="S190" i="13"/>
  <c r="E193" i="13"/>
  <c r="G190" i="13"/>
  <c r="S191" i="13"/>
  <c r="G192" i="13"/>
  <c r="F190" i="13"/>
  <c r="R191" i="13"/>
  <c r="F192" i="13"/>
  <c r="T148" i="14"/>
  <c r="X148" i="14" s="1"/>
  <c r="T147" i="14"/>
  <c r="X147" i="14" s="1"/>
  <c r="S149" i="14"/>
  <c r="S146" i="14"/>
  <c r="X146" i="14" s="1"/>
  <c r="Y146" i="14" s="1"/>
  <c r="T149" i="14"/>
  <c r="G148" i="14"/>
  <c r="H148" i="14"/>
  <c r="G147" i="14"/>
  <c r="G149" i="14"/>
  <c r="K149" i="14" s="1"/>
  <c r="H147" i="14"/>
  <c r="Y151" i="14" l="1"/>
  <c r="K148" i="14"/>
  <c r="Y148" i="14" s="1"/>
  <c r="K147" i="14"/>
  <c r="Y147" i="14" s="1"/>
  <c r="J203" i="13"/>
  <c r="J219" i="13" s="1"/>
  <c r="F219" i="13"/>
  <c r="J197" i="13"/>
  <c r="W203" i="13"/>
  <c r="W219" i="13" s="1"/>
  <c r="R193" i="13"/>
  <c r="S193" i="13"/>
  <c r="W190" i="13"/>
  <c r="W196" i="13"/>
  <c r="X196" i="13" s="1"/>
  <c r="J190" i="13"/>
  <c r="J196" i="13"/>
  <c r="G200" i="13"/>
  <c r="F200" i="13"/>
  <c r="S200" i="13"/>
  <c r="R200" i="13"/>
  <c r="J192" i="13"/>
  <c r="W191" i="13"/>
  <c r="F193" i="13"/>
  <c r="G193" i="13"/>
  <c r="X149" i="14"/>
  <c r="Y149" i="14" s="1"/>
  <c r="J200" i="13" l="1"/>
  <c r="Y213" i="13"/>
  <c r="Y211" i="13"/>
  <c r="Y214" i="13"/>
  <c r="Y210" i="13"/>
  <c r="Y203" i="13"/>
  <c r="X190" i="13"/>
  <c r="Y190" i="13" s="1"/>
  <c r="Z190" i="13" s="1"/>
  <c r="X197" i="13"/>
  <c r="Y197" i="13" s="1"/>
  <c r="Z197" i="13" s="1"/>
  <c r="AA197" i="13" s="1"/>
  <c r="AB197" i="13" s="1"/>
  <c r="X198" i="13"/>
  <c r="Y198" i="13" s="1"/>
  <c r="Z198" i="13" s="1"/>
  <c r="AA198" i="13" s="1"/>
  <c r="AB198" i="13" s="1"/>
  <c r="X199" i="13"/>
  <c r="Y199" i="13" s="1"/>
  <c r="Z199" i="13" s="1"/>
  <c r="AA199" i="13" s="1"/>
  <c r="AB199" i="13" s="1"/>
  <c r="Y196" i="13"/>
  <c r="X191" i="13"/>
  <c r="Y191" i="13" s="1"/>
  <c r="Z191" i="13" s="1"/>
  <c r="AA191" i="13" s="1"/>
  <c r="AB191" i="13" s="1"/>
  <c r="X192" i="13"/>
  <c r="Y192" i="13" s="1"/>
  <c r="W200" i="13"/>
  <c r="J193" i="13"/>
  <c r="W193" i="13"/>
  <c r="X200" i="13" l="1"/>
  <c r="Z196" i="13"/>
  <c r="AA196" i="13" s="1"/>
  <c r="AB196" i="13" s="1"/>
  <c r="Z192" i="13"/>
  <c r="Z193" i="13" s="1"/>
  <c r="I11" i="10" s="1"/>
  <c r="L11" i="10" s="1"/>
  <c r="X193" i="13"/>
  <c r="Y193" i="13"/>
  <c r="Y200" i="13"/>
  <c r="AA190" i="13"/>
  <c r="AA192" i="13" l="1"/>
  <c r="AB192" i="13" s="1"/>
  <c r="AB190" i="13"/>
  <c r="AA200" i="13"/>
  <c r="AA193" i="13" l="1"/>
  <c r="AB193" i="13"/>
  <c r="AB200" i="13"/>
  <c r="Z200" i="13"/>
  <c r="I12" i="10" s="1"/>
  <c r="L12" i="10" s="1"/>
  <c r="J449" i="5" l="1"/>
  <c r="F449" i="5"/>
  <c r="J446" i="5"/>
  <c r="J445" i="5"/>
  <c r="J447" i="5" s="1"/>
  <c r="I447" i="5"/>
  <c r="F446" i="5"/>
  <c r="H446" i="5" s="1"/>
  <c r="O446" i="5" s="1"/>
  <c r="F445" i="5"/>
  <c r="J441" i="5"/>
  <c r="J442" i="5"/>
  <c r="I443" i="5"/>
  <c r="F442" i="5"/>
  <c r="H442" i="5" s="1"/>
  <c r="O442" i="5" s="1"/>
  <c r="F441" i="5"/>
  <c r="F443" i="5" s="1"/>
  <c r="J439" i="5"/>
  <c r="F439" i="5"/>
  <c r="J437" i="5"/>
  <c r="F437" i="5"/>
  <c r="G437" i="5" s="1"/>
  <c r="N437" i="5" s="1"/>
  <c r="J427" i="5"/>
  <c r="F427" i="5"/>
  <c r="J425" i="5"/>
  <c r="F425" i="5"/>
  <c r="H425" i="5" s="1"/>
  <c r="O425" i="5" s="1"/>
  <c r="J435" i="5"/>
  <c r="F435" i="5"/>
  <c r="H435" i="5" s="1"/>
  <c r="O435" i="5" s="1"/>
  <c r="J433" i="5"/>
  <c r="F433" i="5"/>
  <c r="G433" i="5" s="1"/>
  <c r="N433" i="5" s="1"/>
  <c r="J431" i="5"/>
  <c r="F431" i="5"/>
  <c r="J429" i="5"/>
  <c r="F429" i="5"/>
  <c r="J443" i="5" l="1"/>
  <c r="G449" i="5"/>
  <c r="N449" i="5" s="1"/>
  <c r="H449" i="5"/>
  <c r="O449" i="5" s="1"/>
  <c r="G446" i="5"/>
  <c r="F447" i="5"/>
  <c r="G445" i="5"/>
  <c r="N445" i="5" s="1"/>
  <c r="H445" i="5"/>
  <c r="G442" i="5"/>
  <c r="H441" i="5"/>
  <c r="G441" i="5"/>
  <c r="N441" i="5" s="1"/>
  <c r="G439" i="5"/>
  <c r="N439" i="5" s="1"/>
  <c r="H439" i="5"/>
  <c r="O439" i="5" s="1"/>
  <c r="H437" i="5"/>
  <c r="H427" i="5"/>
  <c r="O427" i="5" s="1"/>
  <c r="G427" i="5"/>
  <c r="G425" i="5"/>
  <c r="G435" i="5"/>
  <c r="H433" i="5"/>
  <c r="G431" i="5"/>
  <c r="N431" i="5" s="1"/>
  <c r="H431" i="5"/>
  <c r="O431" i="5" s="1"/>
  <c r="G429" i="5"/>
  <c r="N429" i="5" s="1"/>
  <c r="H429" i="5"/>
  <c r="O429" i="5" s="1"/>
  <c r="R143" i="14"/>
  <c r="R142" i="14"/>
  <c r="S142" i="14" s="1"/>
  <c r="F142" i="14"/>
  <c r="R144" i="14"/>
  <c r="F144" i="14"/>
  <c r="H447" i="5" l="1"/>
  <c r="O445" i="5"/>
  <c r="L433" i="5"/>
  <c r="O433" i="5"/>
  <c r="L437" i="5"/>
  <c r="O437" i="5"/>
  <c r="H443" i="5"/>
  <c r="O441" i="5"/>
  <c r="L425" i="5"/>
  <c r="N425" i="5"/>
  <c r="L427" i="5"/>
  <c r="N427" i="5"/>
  <c r="L442" i="5"/>
  <c r="N442" i="5"/>
  <c r="L446" i="5"/>
  <c r="N446" i="5"/>
  <c r="L435" i="5"/>
  <c r="N435" i="5"/>
  <c r="L449" i="5"/>
  <c r="G447" i="5"/>
  <c r="L445" i="5"/>
  <c r="G443" i="5"/>
  <c r="L441" i="5"/>
  <c r="L443" i="5" s="1"/>
  <c r="L439" i="5"/>
  <c r="L431" i="5"/>
  <c r="L429" i="5"/>
  <c r="T142" i="14"/>
  <c r="X142" i="14" s="1"/>
  <c r="G142" i="14"/>
  <c r="H142" i="14"/>
  <c r="S144" i="14"/>
  <c r="T144" i="14"/>
  <c r="G144" i="14"/>
  <c r="H144" i="14"/>
  <c r="L447" i="5" l="1"/>
  <c r="K144" i="14"/>
  <c r="K142" i="14"/>
  <c r="Y142" i="14" s="1"/>
  <c r="X144" i="14"/>
  <c r="D122" i="7"/>
  <c r="D116" i="7"/>
  <c r="D111" i="7"/>
  <c r="D108" i="7"/>
  <c r="Y144" i="14" l="1"/>
  <c r="Z214" i="13" l="1"/>
  <c r="AA214" i="13" s="1"/>
  <c r="AB214" i="13" s="1"/>
  <c r="Z213" i="13"/>
  <c r="AA213" i="13" s="1"/>
  <c r="AB213" i="13" s="1"/>
  <c r="Z211" i="13"/>
  <c r="AA211" i="13" s="1"/>
  <c r="AB211" i="13" s="1"/>
  <c r="Z210" i="13"/>
  <c r="Z203" i="13"/>
  <c r="S143" i="14"/>
  <c r="T143" i="14"/>
  <c r="AA203" i="13" l="1"/>
  <c r="AB203" i="13" s="1"/>
  <c r="X143" i="14"/>
  <c r="Y143" i="14" s="1"/>
  <c r="Q186" i="13"/>
  <c r="E186" i="13"/>
  <c r="G186" i="13" s="1"/>
  <c r="Q185" i="13"/>
  <c r="E185" i="13"/>
  <c r="R141" i="14"/>
  <c r="T141" i="14" s="1"/>
  <c r="F141" i="14"/>
  <c r="G141" i="14" s="1"/>
  <c r="J423" i="5"/>
  <c r="I423" i="5"/>
  <c r="F422" i="5"/>
  <c r="G422" i="5" s="1"/>
  <c r="N422" i="5" s="1"/>
  <c r="F421" i="5"/>
  <c r="H421" i="5" s="1"/>
  <c r="O421" i="5" s="1"/>
  <c r="F419" i="5"/>
  <c r="J417" i="5"/>
  <c r="I417" i="5"/>
  <c r="F416" i="5"/>
  <c r="H416" i="5" s="1"/>
  <c r="O416" i="5" s="1"/>
  <c r="F415" i="5"/>
  <c r="F411" i="5"/>
  <c r="G411" i="5" s="1"/>
  <c r="N411" i="5" s="1"/>
  <c r="J413" i="5"/>
  <c r="I413" i="5"/>
  <c r="F412" i="5"/>
  <c r="G412" i="5" s="1"/>
  <c r="N412" i="5" s="1"/>
  <c r="F410" i="5"/>
  <c r="H410" i="5" s="1"/>
  <c r="O410" i="5" s="1"/>
  <c r="F406" i="5"/>
  <c r="J408" i="5"/>
  <c r="I408" i="5"/>
  <c r="F407" i="5"/>
  <c r="F405" i="5"/>
  <c r="H405" i="5" s="1"/>
  <c r="O405" i="5" s="1"/>
  <c r="H422" i="5" l="1"/>
  <c r="F413" i="5"/>
  <c r="H411" i="5"/>
  <c r="O411" i="5" s="1"/>
  <c r="Z217" i="13"/>
  <c r="AA217" i="13" s="1"/>
  <c r="AB217" i="13" s="1"/>
  <c r="Z218" i="13"/>
  <c r="Y215" i="13"/>
  <c r="Y216" i="13"/>
  <c r="Z216" i="13" s="1"/>
  <c r="Y205" i="13"/>
  <c r="Z205" i="13" s="1"/>
  <c r="Y204" i="13"/>
  <c r="F186" i="13"/>
  <c r="J186" i="13" s="1"/>
  <c r="R186" i="13"/>
  <c r="S186" i="13"/>
  <c r="R185" i="13"/>
  <c r="S185" i="13"/>
  <c r="F185" i="13"/>
  <c r="G185" i="13"/>
  <c r="H141" i="14"/>
  <c r="K141" i="14" s="1"/>
  <c r="S141" i="14"/>
  <c r="X141" i="14" s="1"/>
  <c r="F423" i="5"/>
  <c r="G421" i="5"/>
  <c r="H419" i="5"/>
  <c r="O419" i="5" s="1"/>
  <c r="G419" i="5"/>
  <c r="N419" i="5" s="1"/>
  <c r="G416" i="5"/>
  <c r="F417" i="5"/>
  <c r="G415" i="5"/>
  <c r="N415" i="5" s="1"/>
  <c r="H415" i="5"/>
  <c r="H412" i="5"/>
  <c r="L411" i="5"/>
  <c r="G410" i="5"/>
  <c r="G406" i="5"/>
  <c r="N406" i="5" s="1"/>
  <c r="H406" i="5"/>
  <c r="O406" i="5" s="1"/>
  <c r="H407" i="5"/>
  <c r="O407" i="5" s="1"/>
  <c r="G407" i="5"/>
  <c r="N407" i="5" s="1"/>
  <c r="F408" i="5"/>
  <c r="G405" i="5"/>
  <c r="N405" i="5" s="1"/>
  <c r="R145" i="14"/>
  <c r="F145" i="14"/>
  <c r="H145" i="14" s="1"/>
  <c r="Q184" i="13"/>
  <c r="S184" i="13" s="1"/>
  <c r="E184" i="13"/>
  <c r="G184" i="13" s="1"/>
  <c r="H417" i="5" l="1"/>
  <c r="O415" i="5"/>
  <c r="L412" i="5"/>
  <c r="O412" i="5"/>
  <c r="L422" i="5"/>
  <c r="O422" i="5"/>
  <c r="L416" i="5"/>
  <c r="N416" i="5"/>
  <c r="G413" i="5"/>
  <c r="N410" i="5"/>
  <c r="G423" i="5"/>
  <c r="N421" i="5"/>
  <c r="L407" i="5"/>
  <c r="AA218" i="13"/>
  <c r="Z215" i="13"/>
  <c r="AA215" i="13" s="1"/>
  <c r="AB215" i="13" s="1"/>
  <c r="AA216" i="13"/>
  <c r="AB216" i="13" s="1"/>
  <c r="W186" i="13"/>
  <c r="Z204" i="13"/>
  <c r="AA205" i="13"/>
  <c r="AB205" i="13" s="1"/>
  <c r="J185" i="13"/>
  <c r="W185" i="13"/>
  <c r="F184" i="13"/>
  <c r="J184" i="13" s="1"/>
  <c r="R184" i="13"/>
  <c r="W184" i="13" s="1"/>
  <c r="Y141" i="14"/>
  <c r="H423" i="5"/>
  <c r="L421" i="5"/>
  <c r="L419" i="5"/>
  <c r="G417" i="5"/>
  <c r="L415" i="5"/>
  <c r="H413" i="5"/>
  <c r="L410" i="5"/>
  <c r="L413" i="5" s="1"/>
  <c r="H408" i="5"/>
  <c r="L406" i="5"/>
  <c r="G408" i="5"/>
  <c r="L405" i="5"/>
  <c r="G145" i="14"/>
  <c r="K145" i="14" s="1"/>
  <c r="S145" i="14"/>
  <c r="T145" i="14"/>
  <c r="R140" i="14"/>
  <c r="T140" i="14" s="1"/>
  <c r="F140" i="14"/>
  <c r="L423" i="5" l="1"/>
  <c r="L417" i="5"/>
  <c r="AB218" i="13"/>
  <c r="AA204" i="13"/>
  <c r="L408" i="5"/>
  <c r="X145" i="14"/>
  <c r="Y145" i="14" s="1"/>
  <c r="G140" i="14"/>
  <c r="H140" i="14"/>
  <c r="S140" i="14"/>
  <c r="X140" i="14" s="1"/>
  <c r="AB204" i="13" l="1"/>
  <c r="K140" i="14"/>
  <c r="Y140" i="14" s="1"/>
  <c r="Q183" i="13" l="1"/>
  <c r="E183" i="13"/>
  <c r="G183" i="13" s="1"/>
  <c r="R139" i="14"/>
  <c r="T139" i="14" s="1"/>
  <c r="F139" i="14"/>
  <c r="R183" i="13" l="1"/>
  <c r="S183" i="13"/>
  <c r="F183" i="13"/>
  <c r="J183" i="13" s="1"/>
  <c r="S139" i="14"/>
  <c r="X139" i="14" s="1"/>
  <c r="G139" i="14"/>
  <c r="H139" i="14"/>
  <c r="Q182" i="13"/>
  <c r="E182" i="13"/>
  <c r="G182" i="13" s="1"/>
  <c r="Q181" i="13"/>
  <c r="V181" i="13" s="1"/>
  <c r="E181" i="13"/>
  <c r="S181" i="13" l="1"/>
  <c r="W183" i="13"/>
  <c r="R181" i="13"/>
  <c r="K139" i="14"/>
  <c r="Y139" i="14" s="1"/>
  <c r="R182" i="13"/>
  <c r="S182" i="13"/>
  <c r="F182" i="13"/>
  <c r="J182" i="13" s="1"/>
  <c r="F181" i="13"/>
  <c r="G181" i="13"/>
  <c r="R138" i="14"/>
  <c r="T138" i="14" s="1"/>
  <c r="F138" i="14"/>
  <c r="H138" i="14" s="1"/>
  <c r="R137" i="14"/>
  <c r="T137" i="14" s="1"/>
  <c r="F137" i="14"/>
  <c r="G137" i="14" s="1"/>
  <c r="G138" i="14" l="1"/>
  <c r="K138" i="14" s="1"/>
  <c r="W182" i="13"/>
  <c r="H137" i="14"/>
  <c r="K137" i="14" s="1"/>
  <c r="W181" i="13"/>
  <c r="J181" i="13"/>
  <c r="S138" i="14"/>
  <c r="X138" i="14" s="1"/>
  <c r="S137" i="14"/>
  <c r="X137" i="14" s="1"/>
  <c r="R136" i="14"/>
  <c r="S136" i="14" s="1"/>
  <c r="F136" i="14"/>
  <c r="G136" i="14" s="1"/>
  <c r="Y137" i="14" l="1"/>
  <c r="Y138" i="14"/>
  <c r="T136" i="14"/>
  <c r="X136" i="14" s="1"/>
  <c r="H136" i="14"/>
  <c r="K136" i="14" s="1"/>
  <c r="Y136" i="14" l="1"/>
  <c r="T137" i="13"/>
  <c r="T133" i="13"/>
  <c r="T129" i="13"/>
  <c r="T124" i="13"/>
  <c r="T120" i="13"/>
  <c r="T116" i="13"/>
  <c r="T112" i="13"/>
  <c r="T106" i="13"/>
  <c r="T102" i="13"/>
  <c r="T98" i="13"/>
  <c r="T92" i="13"/>
  <c r="T83" i="13" l="1"/>
  <c r="S83" i="13"/>
  <c r="R83" i="13"/>
  <c r="T78" i="13"/>
  <c r="T74" i="13"/>
  <c r="T70" i="13"/>
  <c r="T66" i="13"/>
  <c r="T62" i="13"/>
  <c r="T56" i="13"/>
  <c r="T48" i="13"/>
  <c r="T42" i="13"/>
  <c r="S42" i="13"/>
  <c r="R42" i="13"/>
  <c r="T38" i="13"/>
  <c r="S38" i="13"/>
  <c r="R38" i="13"/>
  <c r="T33" i="13"/>
  <c r="S33" i="13"/>
  <c r="R33" i="13"/>
  <c r="T28" i="13"/>
  <c r="T7" i="13"/>
  <c r="S7" i="13"/>
  <c r="R7" i="13"/>
  <c r="H137" i="13"/>
  <c r="H133" i="13"/>
  <c r="H129" i="13"/>
  <c r="H124" i="13"/>
  <c r="H120" i="13"/>
  <c r="H116" i="13"/>
  <c r="H112" i="13"/>
  <c r="H106" i="13"/>
  <c r="H102" i="13"/>
  <c r="H98" i="13"/>
  <c r="H92" i="13"/>
  <c r="H83" i="13"/>
  <c r="H78" i="13"/>
  <c r="H74" i="13"/>
  <c r="H70" i="13"/>
  <c r="H66" i="13"/>
  <c r="G66" i="13"/>
  <c r="F66" i="13"/>
  <c r="H62" i="13"/>
  <c r="G62" i="13"/>
  <c r="F62" i="13"/>
  <c r="H56" i="13"/>
  <c r="G56" i="13"/>
  <c r="F56" i="13"/>
  <c r="H48" i="13"/>
  <c r="G48" i="13"/>
  <c r="F48" i="13"/>
  <c r="H42" i="13"/>
  <c r="G42" i="13"/>
  <c r="F42" i="13"/>
  <c r="H38" i="13"/>
  <c r="G38" i="13"/>
  <c r="F38" i="13"/>
  <c r="H33" i="13"/>
  <c r="G33" i="13"/>
  <c r="F33" i="13"/>
  <c r="H28" i="13"/>
  <c r="G28" i="13"/>
  <c r="F28" i="13"/>
  <c r="H20" i="13"/>
  <c r="G20" i="13"/>
  <c r="F20" i="13"/>
  <c r="H12" i="13"/>
  <c r="G12" i="13"/>
  <c r="F12" i="13"/>
  <c r="H7" i="13"/>
  <c r="E6" i="13"/>
  <c r="E5" i="13"/>
  <c r="E4" i="13"/>
  <c r="E7" i="13" l="1"/>
  <c r="F4" i="13"/>
  <c r="G4" i="13"/>
  <c r="G5" i="13"/>
  <c r="F6" i="13"/>
  <c r="G6" i="13"/>
  <c r="F5" i="13"/>
  <c r="J5" i="13" l="1"/>
  <c r="J4" i="13"/>
  <c r="J6" i="13"/>
  <c r="F7" i="13"/>
  <c r="G7" i="13"/>
  <c r="J7" i="13" l="1"/>
  <c r="Q180" i="13"/>
  <c r="Q179" i="13"/>
  <c r="Q178" i="13"/>
  <c r="Q177" i="13"/>
  <c r="R177" i="13" l="1"/>
  <c r="S178" i="13"/>
  <c r="R179" i="13"/>
  <c r="R180" i="13"/>
  <c r="S180" i="13"/>
  <c r="S179" i="13"/>
  <c r="V180" i="13"/>
  <c r="R178" i="13"/>
  <c r="S177" i="13"/>
  <c r="W179" i="13" l="1"/>
  <c r="W177" i="13"/>
  <c r="W180" i="13"/>
  <c r="W178" i="13"/>
  <c r="R135" i="14"/>
  <c r="S135" i="14" s="1"/>
  <c r="K402" i="5"/>
  <c r="K401" i="5"/>
  <c r="J403" i="5"/>
  <c r="I403" i="5"/>
  <c r="F402" i="5"/>
  <c r="H402" i="5" s="1"/>
  <c r="O402" i="5" s="1"/>
  <c r="F401" i="5"/>
  <c r="H401" i="5" s="1"/>
  <c r="F399" i="5"/>
  <c r="H399" i="5" s="1"/>
  <c r="O399" i="5" s="1"/>
  <c r="F395" i="5"/>
  <c r="G395" i="5" s="1"/>
  <c r="N395" i="5" s="1"/>
  <c r="J393" i="5"/>
  <c r="I393" i="5"/>
  <c r="F389" i="5"/>
  <c r="H389" i="5" s="1"/>
  <c r="O389" i="5" s="1"/>
  <c r="F397" i="5"/>
  <c r="H397" i="5" s="1"/>
  <c r="O397" i="5" s="1"/>
  <c r="F391" i="5"/>
  <c r="H391" i="5" s="1"/>
  <c r="O391" i="5" s="1"/>
  <c r="F392" i="5"/>
  <c r="H392" i="5" s="1"/>
  <c r="O392" i="5" s="1"/>
  <c r="T187" i="13"/>
  <c r="S187" i="13"/>
  <c r="R187" i="13"/>
  <c r="Q187" i="13"/>
  <c r="H187" i="13"/>
  <c r="V187" i="13"/>
  <c r="E180" i="13"/>
  <c r="F180" i="13" s="1"/>
  <c r="E178" i="13"/>
  <c r="G178" i="13" s="1"/>
  <c r="E177" i="13"/>
  <c r="G177" i="13" s="1"/>
  <c r="E173" i="13"/>
  <c r="G173" i="13" s="1"/>
  <c r="E172" i="13"/>
  <c r="Q173" i="13"/>
  <c r="Q172" i="13"/>
  <c r="V174" i="13"/>
  <c r="T174" i="13"/>
  <c r="H174" i="13"/>
  <c r="T148" i="13"/>
  <c r="H148" i="13"/>
  <c r="H403" i="5" l="1"/>
  <c r="O401" i="5"/>
  <c r="K403" i="5"/>
  <c r="F403" i="5"/>
  <c r="H393" i="5"/>
  <c r="X184" i="13"/>
  <c r="Y184" i="13" s="1"/>
  <c r="Z184" i="13" s="1"/>
  <c r="AA184" i="13" s="1"/>
  <c r="AB184" i="13" s="1"/>
  <c r="X183" i="13"/>
  <c r="Y183" i="13" s="1"/>
  <c r="Z183" i="13" s="1"/>
  <c r="AA183" i="13" s="1"/>
  <c r="AB183" i="13" s="1"/>
  <c r="X182" i="13"/>
  <c r="Y182" i="13" s="1"/>
  <c r="Z182" i="13" s="1"/>
  <c r="AA182" i="13" s="1"/>
  <c r="AB182" i="13" s="1"/>
  <c r="X179" i="13"/>
  <c r="X181" i="13"/>
  <c r="Y181" i="13" s="1"/>
  <c r="Z181" i="13" s="1"/>
  <c r="AA181" i="13" s="1"/>
  <c r="AB181" i="13" s="1"/>
  <c r="X178" i="13"/>
  <c r="X177" i="13"/>
  <c r="X180" i="13"/>
  <c r="X186" i="13"/>
  <c r="Y186" i="13" s="1"/>
  <c r="Z186" i="13" s="1"/>
  <c r="X185" i="13"/>
  <c r="Y185" i="13" s="1"/>
  <c r="Z185" i="13" s="1"/>
  <c r="AA185" i="13" s="1"/>
  <c r="AB185" i="13" s="1"/>
  <c r="F393" i="5"/>
  <c r="E174" i="13"/>
  <c r="W187" i="13"/>
  <c r="T135" i="14"/>
  <c r="X135" i="14" s="1"/>
  <c r="R172" i="13"/>
  <c r="E187" i="13"/>
  <c r="G402" i="5"/>
  <c r="G401" i="5"/>
  <c r="N401" i="5" s="1"/>
  <c r="G399" i="5"/>
  <c r="H395" i="5"/>
  <c r="G389" i="5"/>
  <c r="G391" i="5"/>
  <c r="N391" i="5" s="1"/>
  <c r="G392" i="5"/>
  <c r="G397" i="5"/>
  <c r="G180" i="13"/>
  <c r="G187" i="13" s="1"/>
  <c r="F178" i="13"/>
  <c r="J178" i="13" s="1"/>
  <c r="F177" i="13"/>
  <c r="Q174" i="13"/>
  <c r="S173" i="13"/>
  <c r="F173" i="13"/>
  <c r="F172" i="13"/>
  <c r="G172" i="13"/>
  <c r="R173" i="13"/>
  <c r="S172" i="13"/>
  <c r="L395" i="5" l="1"/>
  <c r="O395" i="5"/>
  <c r="L399" i="5"/>
  <c r="N399" i="5"/>
  <c r="L389" i="5"/>
  <c r="N389" i="5"/>
  <c r="L402" i="5"/>
  <c r="N402" i="5"/>
  <c r="L397" i="5"/>
  <c r="N397" i="5"/>
  <c r="L392" i="5"/>
  <c r="N392" i="5"/>
  <c r="G393" i="5"/>
  <c r="X187" i="13"/>
  <c r="Y179" i="13"/>
  <c r="Z179" i="13" s="1"/>
  <c r="AA179" i="13" s="1"/>
  <c r="AB179" i="13" s="1"/>
  <c r="AA186" i="13"/>
  <c r="AB186" i="13" s="1"/>
  <c r="L401" i="5"/>
  <c r="G403" i="5"/>
  <c r="F174" i="13"/>
  <c r="W173" i="13"/>
  <c r="W172" i="13"/>
  <c r="J177" i="13"/>
  <c r="Y177" i="13" s="1"/>
  <c r="F187" i="13"/>
  <c r="L391" i="5"/>
  <c r="J172" i="13"/>
  <c r="R174" i="13"/>
  <c r="J180" i="13"/>
  <c r="Y180" i="13" s="1"/>
  <c r="G174" i="13"/>
  <c r="S174" i="13"/>
  <c r="J173" i="13"/>
  <c r="L403" i="5" l="1"/>
  <c r="L393" i="5"/>
  <c r="W174" i="13"/>
  <c r="X173" i="13"/>
  <c r="Y173" i="13" s="1"/>
  <c r="Z173" i="13" s="1"/>
  <c r="AA173" i="13" s="1"/>
  <c r="AB173" i="13" s="1"/>
  <c r="X172" i="13"/>
  <c r="Z180" i="13"/>
  <c r="J187" i="13"/>
  <c r="J174" i="13"/>
  <c r="X174" i="13" l="1"/>
  <c r="Y172" i="13"/>
  <c r="Z172" i="13" s="1"/>
  <c r="Z174" i="13" s="1"/>
  <c r="I9" i="10" s="1"/>
  <c r="L9" i="10" s="1"/>
  <c r="Z177" i="13"/>
  <c r="Z187" i="13" s="1"/>
  <c r="Y187" i="13"/>
  <c r="AA180" i="13"/>
  <c r="Y174" i="13" l="1"/>
  <c r="I10" i="10"/>
  <c r="L10" i="10" s="1"/>
  <c r="AA177" i="13"/>
  <c r="AB177" i="13" s="1"/>
  <c r="AB180" i="13"/>
  <c r="AA172" i="13"/>
  <c r="AA174" i="13" s="1"/>
  <c r="AB187" i="13" l="1"/>
  <c r="AA187" i="13"/>
  <c r="AB172" i="13"/>
  <c r="AB174" i="13" s="1"/>
  <c r="H169" i="13" l="1"/>
  <c r="Q146" i="13"/>
  <c r="E146" i="13"/>
  <c r="Q147" i="13"/>
  <c r="E147" i="13"/>
  <c r="G147" i="13" s="1"/>
  <c r="Q145" i="13"/>
  <c r="E145" i="13"/>
  <c r="F145" i="13" s="1"/>
  <c r="Q144" i="13"/>
  <c r="E144" i="13"/>
  <c r="G144" i="13" s="1"/>
  <c r="Q143" i="13"/>
  <c r="E143" i="13"/>
  <c r="F143" i="13" s="1"/>
  <c r="Q142" i="13"/>
  <c r="E142" i="13"/>
  <c r="F142" i="13" s="1"/>
  <c r="Q141" i="13"/>
  <c r="E141" i="13"/>
  <c r="G141" i="13" s="1"/>
  <c r="T169" i="13"/>
  <c r="Q168" i="13"/>
  <c r="E168" i="13"/>
  <c r="Q167" i="13"/>
  <c r="E167" i="13"/>
  <c r="F167" i="13" s="1"/>
  <c r="Q166" i="13"/>
  <c r="E166" i="13"/>
  <c r="T163" i="13"/>
  <c r="H163" i="13"/>
  <c r="Q162" i="13"/>
  <c r="E162" i="13"/>
  <c r="Q161" i="13"/>
  <c r="E161" i="13"/>
  <c r="F161" i="13" s="1"/>
  <c r="Q160" i="13"/>
  <c r="E160" i="13"/>
  <c r="Q159" i="13"/>
  <c r="E159" i="13"/>
  <c r="G159" i="13" s="1"/>
  <c r="Q158" i="13"/>
  <c r="E158" i="13"/>
  <c r="F158" i="13" s="1"/>
  <c r="Q157" i="13"/>
  <c r="E157" i="13"/>
  <c r="Q156" i="13"/>
  <c r="E156" i="13"/>
  <c r="Q155" i="13"/>
  <c r="E155" i="13"/>
  <c r="G155" i="13" s="1"/>
  <c r="Q154" i="13"/>
  <c r="E154" i="13"/>
  <c r="G154" i="13" s="1"/>
  <c r="Q153" i="13"/>
  <c r="E153" i="13"/>
  <c r="F153" i="13" s="1"/>
  <c r="Q152" i="13"/>
  <c r="E152" i="13"/>
  <c r="F152" i="13" s="1"/>
  <c r="Q151" i="13"/>
  <c r="E151" i="13"/>
  <c r="G151" i="13" s="1"/>
  <c r="R122" i="14"/>
  <c r="T122" i="14" s="1"/>
  <c r="F135" i="14"/>
  <c r="S154" i="13" l="1"/>
  <c r="R162" i="13"/>
  <c r="S168" i="13"/>
  <c r="V151" i="13"/>
  <c r="S155" i="13"/>
  <c r="V159" i="13"/>
  <c r="S152" i="13"/>
  <c r="V152" i="13"/>
  <c r="S160" i="13"/>
  <c r="V160" i="13"/>
  <c r="R157" i="13"/>
  <c r="V157" i="13"/>
  <c r="S158" i="13"/>
  <c r="V158" i="13"/>
  <c r="S166" i="13"/>
  <c r="F141" i="13"/>
  <c r="J141" i="13" s="1"/>
  <c r="G142" i="13"/>
  <c r="J142" i="13" s="1"/>
  <c r="F144" i="13"/>
  <c r="J144" i="13" s="1"/>
  <c r="Q148" i="13"/>
  <c r="X141" i="13" s="1"/>
  <c r="E169" i="13"/>
  <c r="F147" i="13"/>
  <c r="J147" i="13" s="1"/>
  <c r="S147" i="13"/>
  <c r="R147" i="13"/>
  <c r="G143" i="13"/>
  <c r="J143" i="13" s="1"/>
  <c r="S143" i="13"/>
  <c r="R143" i="13"/>
  <c r="R146" i="13"/>
  <c r="S146" i="13"/>
  <c r="R144" i="13"/>
  <c r="S144" i="13"/>
  <c r="G145" i="13"/>
  <c r="J145" i="13" s="1"/>
  <c r="R142" i="13"/>
  <c r="S142" i="13"/>
  <c r="E148" i="13"/>
  <c r="S141" i="13"/>
  <c r="R141" i="13"/>
  <c r="S145" i="13"/>
  <c r="R145" i="13"/>
  <c r="G146" i="13"/>
  <c r="F146" i="13"/>
  <c r="R168" i="13"/>
  <c r="G158" i="13"/>
  <c r="J158" i="13" s="1"/>
  <c r="R160" i="13"/>
  <c r="Q169" i="13"/>
  <c r="G167" i="13"/>
  <c r="J167" i="13" s="1"/>
  <c r="V169" i="13"/>
  <c r="F166" i="13"/>
  <c r="G166" i="13"/>
  <c r="R167" i="13"/>
  <c r="S167" i="13"/>
  <c r="F168" i="13"/>
  <c r="G168" i="13"/>
  <c r="S162" i="13"/>
  <c r="R166" i="13"/>
  <c r="R152" i="13"/>
  <c r="G156" i="13"/>
  <c r="G161" i="13"/>
  <c r="J161" i="13" s="1"/>
  <c r="F156" i="13"/>
  <c r="G153" i="13"/>
  <c r="J153" i="13" s="1"/>
  <c r="S157" i="13"/>
  <c r="R154" i="13"/>
  <c r="Q163" i="13"/>
  <c r="E163" i="13"/>
  <c r="R151" i="13"/>
  <c r="R159" i="13"/>
  <c r="S151" i="13"/>
  <c r="R156" i="13"/>
  <c r="S159" i="13"/>
  <c r="F160" i="13"/>
  <c r="G152" i="13"/>
  <c r="S156" i="13"/>
  <c r="F157" i="13"/>
  <c r="G160" i="13"/>
  <c r="R161" i="13"/>
  <c r="S153" i="13"/>
  <c r="F154" i="13"/>
  <c r="J154" i="13" s="1"/>
  <c r="G157" i="13"/>
  <c r="R158" i="13"/>
  <c r="S161" i="13"/>
  <c r="F162" i="13"/>
  <c r="F155" i="13"/>
  <c r="J155" i="13" s="1"/>
  <c r="R153" i="13"/>
  <c r="F151" i="13"/>
  <c r="R155" i="13"/>
  <c r="F159" i="13"/>
  <c r="J159" i="13" s="1"/>
  <c r="G162" i="13"/>
  <c r="S122" i="14"/>
  <c r="X122" i="14" s="1"/>
  <c r="G135" i="14"/>
  <c r="H135" i="14"/>
  <c r="W147" i="13" l="1"/>
  <c r="W155" i="13"/>
  <c r="W158" i="13"/>
  <c r="W145" i="13"/>
  <c r="W141" i="13"/>
  <c r="W160" i="13"/>
  <c r="W166" i="13"/>
  <c r="W146" i="13"/>
  <c r="W153" i="13"/>
  <c r="W156" i="13"/>
  <c r="W157" i="13"/>
  <c r="W161" i="13"/>
  <c r="W151" i="13"/>
  <c r="W143" i="13"/>
  <c r="W162" i="13"/>
  <c r="W154" i="13"/>
  <c r="W144" i="13"/>
  <c r="W159" i="13"/>
  <c r="W167" i="13"/>
  <c r="W152" i="13"/>
  <c r="W142" i="13"/>
  <c r="W168" i="13"/>
  <c r="S169" i="13"/>
  <c r="J146" i="13"/>
  <c r="J148" i="13" s="1"/>
  <c r="G169" i="13"/>
  <c r="F169" i="13"/>
  <c r="R148" i="13"/>
  <c r="F148" i="13"/>
  <c r="S148" i="13"/>
  <c r="G148" i="13"/>
  <c r="V148" i="13"/>
  <c r="J156" i="13"/>
  <c r="J166" i="13"/>
  <c r="R169" i="13"/>
  <c r="J157" i="13"/>
  <c r="J168" i="13"/>
  <c r="J162" i="13"/>
  <c r="F163" i="13"/>
  <c r="J160" i="13"/>
  <c r="G163" i="13"/>
  <c r="S163" i="13"/>
  <c r="J151" i="13"/>
  <c r="J152" i="13"/>
  <c r="R163" i="13"/>
  <c r="K135" i="14"/>
  <c r="Y135" i="14" s="1"/>
  <c r="R134" i="14"/>
  <c r="T134" i="14" s="1"/>
  <c r="R133" i="14"/>
  <c r="T133" i="14" s="1"/>
  <c r="F134" i="14"/>
  <c r="H134" i="14" s="1"/>
  <c r="F133" i="14"/>
  <c r="H133" i="14" s="1"/>
  <c r="X159" i="13" l="1"/>
  <c r="Y159" i="13" s="1"/>
  <c r="Z159" i="13" s="1"/>
  <c r="AA159" i="13" s="1"/>
  <c r="X151" i="13"/>
  <c r="X158" i="13"/>
  <c r="Y158" i="13" s="1"/>
  <c r="Z158" i="13" s="1"/>
  <c r="AA158" i="13" s="1"/>
  <c r="X157" i="13"/>
  <c r="Y157" i="13" s="1"/>
  <c r="Z157" i="13" s="1"/>
  <c r="AA157" i="13" s="1"/>
  <c r="AB157" i="13" s="1"/>
  <c r="X162" i="13"/>
  <c r="Y162" i="13" s="1"/>
  <c r="Z162" i="13" s="1"/>
  <c r="AA162" i="13" s="1"/>
  <c r="AB162" i="13" s="1"/>
  <c r="X161" i="13"/>
  <c r="Y161" i="13" s="1"/>
  <c r="Z161" i="13" s="1"/>
  <c r="X153" i="13"/>
  <c r="Y153" i="13" s="1"/>
  <c r="Z153" i="13" s="1"/>
  <c r="AA153" i="13" s="1"/>
  <c r="X152" i="13"/>
  <c r="Y152" i="13" s="1"/>
  <c r="Z152" i="13" s="1"/>
  <c r="X156" i="13"/>
  <c r="Y156" i="13" s="1"/>
  <c r="Z156" i="13" s="1"/>
  <c r="AA156" i="13" s="1"/>
  <c r="X160" i="13"/>
  <c r="Y160" i="13" s="1"/>
  <c r="X155" i="13"/>
  <c r="Y155" i="13" s="1"/>
  <c r="Z155" i="13" s="1"/>
  <c r="AA155" i="13" s="1"/>
  <c r="X154" i="13"/>
  <c r="Y154" i="13" s="1"/>
  <c r="X167" i="13"/>
  <c r="Y167" i="13" s="1"/>
  <c r="Z167" i="13" s="1"/>
  <c r="AA167" i="13" s="1"/>
  <c r="AB167" i="13" s="1"/>
  <c r="X168" i="13"/>
  <c r="Y168" i="13" s="1"/>
  <c r="X166" i="13"/>
  <c r="Y166" i="13" s="1"/>
  <c r="G133" i="14"/>
  <c r="K133" i="14" s="1"/>
  <c r="G134" i="14"/>
  <c r="K134" i="14" s="1"/>
  <c r="W148" i="13"/>
  <c r="W163" i="13"/>
  <c r="W169" i="13"/>
  <c r="J169" i="13"/>
  <c r="V163" i="13"/>
  <c r="J163" i="13"/>
  <c r="S133" i="14"/>
  <c r="X133" i="14" s="1"/>
  <c r="S134" i="14"/>
  <c r="X134" i="14" s="1"/>
  <c r="Y169" i="13" l="1"/>
  <c r="Z154" i="13"/>
  <c r="AA154" i="13" s="1"/>
  <c r="AB154" i="13" s="1"/>
  <c r="X169" i="13"/>
  <c r="X163" i="13"/>
  <c r="Y151" i="13"/>
  <c r="Y163" i="13" s="1"/>
  <c r="Y133" i="14"/>
  <c r="Y134" i="14"/>
  <c r="Z168" i="13"/>
  <c r="AA168" i="13" s="1"/>
  <c r="AB168" i="13" s="1"/>
  <c r="Z166" i="13"/>
  <c r="AA166" i="13" s="1"/>
  <c r="AB166" i="13" s="1"/>
  <c r="Z160" i="13"/>
  <c r="AA160" i="13" s="1"/>
  <c r="AB160" i="13" s="1"/>
  <c r="AB158" i="13"/>
  <c r="AA161" i="13"/>
  <c r="AB161" i="13" s="1"/>
  <c r="AA152" i="13"/>
  <c r="AB153" i="13"/>
  <c r="AB155" i="13"/>
  <c r="AB156" i="13"/>
  <c r="AB159" i="13"/>
  <c r="Z151" i="13" l="1"/>
  <c r="AA151" i="13" s="1"/>
  <c r="AA163" i="13" s="1"/>
  <c r="Z169" i="13"/>
  <c r="AA169" i="13"/>
  <c r="AB169" i="13"/>
  <c r="AB152" i="13"/>
  <c r="Q136" i="13"/>
  <c r="Q132" i="13"/>
  <c r="E132" i="13"/>
  <c r="AB151" i="13" l="1"/>
  <c r="AB163" i="13" s="1"/>
  <c r="Z163" i="13"/>
  <c r="I7" i="10" s="1"/>
  <c r="L7" i="10" s="1"/>
  <c r="I8" i="10"/>
  <c r="L8" i="10" s="1"/>
  <c r="F132" i="13"/>
  <c r="F133" i="13" s="1"/>
  <c r="E133" i="13"/>
  <c r="S132" i="13"/>
  <c r="S133" i="13" s="1"/>
  <c r="S136" i="13"/>
  <c r="S137" i="13" s="1"/>
  <c r="R136" i="13"/>
  <c r="R137" i="13" s="1"/>
  <c r="R132" i="13"/>
  <c r="R133" i="13" s="1"/>
  <c r="G132" i="13"/>
  <c r="G133" i="13" s="1"/>
  <c r="J363" i="5"/>
  <c r="I363" i="5"/>
  <c r="J349" i="5"/>
  <c r="I349" i="5"/>
  <c r="J314" i="5"/>
  <c r="I314" i="5"/>
  <c r="J285" i="5"/>
  <c r="I285" i="5"/>
  <c r="J276" i="5"/>
  <c r="I276" i="5"/>
  <c r="J385" i="5"/>
  <c r="I385" i="5"/>
  <c r="J379" i="5"/>
  <c r="I379" i="5"/>
  <c r="J371" i="5"/>
  <c r="I371" i="5"/>
  <c r="J367" i="5"/>
  <c r="I367" i="5"/>
  <c r="J353" i="5"/>
  <c r="I353" i="5"/>
  <c r="J342" i="5"/>
  <c r="I342" i="5"/>
  <c r="J332" i="5"/>
  <c r="I332" i="5"/>
  <c r="J324" i="5"/>
  <c r="I324" i="5"/>
  <c r="J309" i="5"/>
  <c r="I309" i="5"/>
  <c r="J289" i="5"/>
  <c r="I289" i="5"/>
  <c r="J271" i="5"/>
  <c r="I271" i="5"/>
  <c r="J267" i="5"/>
  <c r="I267" i="5"/>
  <c r="J259" i="5"/>
  <c r="I259" i="5"/>
  <c r="J163" i="5"/>
  <c r="I163" i="5"/>
  <c r="J158" i="5"/>
  <c r="I158" i="5"/>
  <c r="J132" i="5"/>
  <c r="I132" i="5"/>
  <c r="J128" i="5"/>
  <c r="I128" i="5"/>
  <c r="J104" i="5"/>
  <c r="I104" i="5"/>
  <c r="J100" i="5"/>
  <c r="I100" i="5"/>
  <c r="J88" i="5"/>
  <c r="I88" i="5"/>
  <c r="J75" i="5"/>
  <c r="I75" i="5"/>
  <c r="J67" i="5"/>
  <c r="I67" i="5"/>
  <c r="J57" i="5"/>
  <c r="I57" i="5"/>
  <c r="J49" i="5"/>
  <c r="I49" i="5"/>
  <c r="J39" i="5"/>
  <c r="I39" i="5"/>
  <c r="J35" i="5"/>
  <c r="I35" i="5"/>
  <c r="J23" i="5"/>
  <c r="I23" i="5"/>
  <c r="J18" i="5"/>
  <c r="I18" i="5"/>
  <c r="J10" i="5"/>
  <c r="I10" i="5"/>
  <c r="I5" i="5"/>
  <c r="J5" i="5"/>
  <c r="R132" i="14"/>
  <c r="F132" i="14"/>
  <c r="R130" i="14"/>
  <c r="F130" i="14"/>
  <c r="R129" i="14"/>
  <c r="F129" i="14"/>
  <c r="R126" i="14"/>
  <c r="F126" i="14"/>
  <c r="F124" i="14"/>
  <c r="R123" i="14"/>
  <c r="F123" i="14"/>
  <c r="R121" i="14"/>
  <c r="F121" i="14"/>
  <c r="R120" i="14"/>
  <c r="F120" i="14"/>
  <c r="R119" i="14"/>
  <c r="F119" i="14"/>
  <c r="R118" i="14"/>
  <c r="F118" i="14"/>
  <c r="R117" i="14"/>
  <c r="F117" i="14"/>
  <c r="R116" i="14"/>
  <c r="F116" i="14"/>
  <c r="R115" i="14"/>
  <c r="F115" i="14"/>
  <c r="R114" i="14"/>
  <c r="W114" i="14" s="1"/>
  <c r="F114" i="14"/>
  <c r="F113" i="14"/>
  <c r="R112" i="14"/>
  <c r="F112" i="14"/>
  <c r="R111" i="14"/>
  <c r="W111" i="14" s="1"/>
  <c r="F111" i="14"/>
  <c r="R110" i="14"/>
  <c r="F110" i="14"/>
  <c r="R109" i="14"/>
  <c r="W109" i="14" s="1"/>
  <c r="F109" i="14"/>
  <c r="R108" i="14"/>
  <c r="F108" i="14"/>
  <c r="R107" i="14"/>
  <c r="F107" i="14"/>
  <c r="R106" i="14"/>
  <c r="F106" i="14"/>
  <c r="R105" i="14"/>
  <c r="F105" i="14"/>
  <c r="R104" i="14"/>
  <c r="F104" i="14"/>
  <c r="R103" i="14"/>
  <c r="F103" i="14"/>
  <c r="R102" i="14"/>
  <c r="F102" i="14"/>
  <c r="R101" i="14"/>
  <c r="F101" i="14"/>
  <c r="R100" i="14"/>
  <c r="F100" i="14"/>
  <c r="R99" i="14"/>
  <c r="F99" i="14"/>
  <c r="R98" i="14"/>
  <c r="F98" i="14"/>
  <c r="R97" i="14"/>
  <c r="F97" i="14"/>
  <c r="R96" i="14"/>
  <c r="T96" i="14" s="1"/>
  <c r="F96" i="14"/>
  <c r="R95" i="14"/>
  <c r="F95" i="14"/>
  <c r="R94" i="14"/>
  <c r="F94" i="14"/>
  <c r="R93" i="14"/>
  <c r="F93" i="14"/>
  <c r="R92" i="14"/>
  <c r="F92" i="14"/>
  <c r="R91" i="14"/>
  <c r="F91" i="14"/>
  <c r="R90" i="14"/>
  <c r="F90" i="14"/>
  <c r="R89" i="14"/>
  <c r="F89" i="14"/>
  <c r="R88" i="14"/>
  <c r="T88" i="14" s="1"/>
  <c r="F88" i="14"/>
  <c r="R87" i="14"/>
  <c r="F87" i="14"/>
  <c r="R86" i="14"/>
  <c r="F86" i="14"/>
  <c r="R85" i="14"/>
  <c r="X85" i="14" s="1"/>
  <c r="R84" i="14"/>
  <c r="X84" i="14" s="1"/>
  <c r="F84" i="14"/>
  <c r="K84" i="14" s="1"/>
  <c r="R83" i="14"/>
  <c r="T83" i="14" s="1"/>
  <c r="F83" i="14"/>
  <c r="K83" i="14" s="1"/>
  <c r="R82" i="14"/>
  <c r="F82" i="14"/>
  <c r="R80" i="14"/>
  <c r="X80" i="14" s="1"/>
  <c r="F80" i="14"/>
  <c r="K80" i="14" s="1"/>
  <c r="R79" i="14"/>
  <c r="F79" i="14"/>
  <c r="K79" i="14" s="1"/>
  <c r="F78" i="14"/>
  <c r="F77" i="14"/>
  <c r="F76" i="14"/>
  <c r="K76" i="14" s="1"/>
  <c r="F75" i="14"/>
  <c r="K75" i="14" s="1"/>
  <c r="R74" i="14"/>
  <c r="X74" i="14" s="1"/>
  <c r="F74" i="14"/>
  <c r="K74" i="14" s="1"/>
  <c r="R73" i="14"/>
  <c r="F73" i="14"/>
  <c r="K73" i="14" s="1"/>
  <c r="R72" i="14"/>
  <c r="X72" i="14" s="1"/>
  <c r="F72" i="14"/>
  <c r="K72" i="14" s="1"/>
  <c r="R69" i="14"/>
  <c r="F69" i="14"/>
  <c r="K69" i="14" s="1"/>
  <c r="R67" i="14"/>
  <c r="X67" i="14" s="1"/>
  <c r="F67" i="14"/>
  <c r="R66" i="14"/>
  <c r="X66" i="14" s="1"/>
  <c r="F66" i="14"/>
  <c r="F65" i="14"/>
  <c r="K65" i="14" s="1"/>
  <c r="R64" i="14"/>
  <c r="X64" i="14" s="1"/>
  <c r="F64" i="14"/>
  <c r="K64" i="14" s="1"/>
  <c r="F63" i="14"/>
  <c r="K63" i="14" s="1"/>
  <c r="F62" i="14"/>
  <c r="K62" i="14" s="1"/>
  <c r="R61" i="14"/>
  <c r="X61" i="14" s="1"/>
  <c r="F61" i="14"/>
  <c r="K61" i="14" s="1"/>
  <c r="R60" i="14"/>
  <c r="X60" i="14" s="1"/>
  <c r="F60" i="14"/>
  <c r="K60" i="14" s="1"/>
  <c r="R59" i="14"/>
  <c r="X59" i="14" s="1"/>
  <c r="F59" i="14"/>
  <c r="K59" i="14" s="1"/>
  <c r="R58" i="14"/>
  <c r="X58" i="14" s="1"/>
  <c r="F58" i="14"/>
  <c r="K58" i="14" s="1"/>
  <c r="R57" i="14"/>
  <c r="X57" i="14" s="1"/>
  <c r="F57" i="14"/>
  <c r="R56" i="14"/>
  <c r="X56" i="14" s="1"/>
  <c r="F56" i="14"/>
  <c r="R55" i="14"/>
  <c r="X55" i="14" s="1"/>
  <c r="F55" i="14"/>
  <c r="K55" i="14" s="1"/>
  <c r="R54" i="14"/>
  <c r="X54" i="14" s="1"/>
  <c r="F54" i="14"/>
  <c r="K54" i="14" s="1"/>
  <c r="R52" i="14"/>
  <c r="X52" i="14" s="1"/>
  <c r="F52" i="14"/>
  <c r="K52" i="14" s="1"/>
  <c r="Y53" i="14" s="1"/>
  <c r="R51" i="14"/>
  <c r="X51" i="14" s="1"/>
  <c r="F51" i="14"/>
  <c r="K51" i="14" s="1"/>
  <c r="R50" i="14"/>
  <c r="X50" i="14" s="1"/>
  <c r="F50" i="14"/>
  <c r="K50" i="14" s="1"/>
  <c r="R49" i="14"/>
  <c r="F49" i="14"/>
  <c r="K49" i="14" s="1"/>
  <c r="R48" i="14"/>
  <c r="X48" i="14" s="1"/>
  <c r="F48" i="14"/>
  <c r="R47" i="14"/>
  <c r="X47" i="14" s="1"/>
  <c r="F47" i="14"/>
  <c r="R46" i="14"/>
  <c r="X46" i="14" s="1"/>
  <c r="F46" i="14"/>
  <c r="K46" i="14" s="1"/>
  <c r="R45" i="14"/>
  <c r="X45" i="14" s="1"/>
  <c r="F45" i="14"/>
  <c r="K45" i="14" s="1"/>
  <c r="R44" i="14"/>
  <c r="X44" i="14" s="1"/>
  <c r="F44" i="14"/>
  <c r="K44" i="14" s="1"/>
  <c r="R43" i="14"/>
  <c r="X43" i="14" s="1"/>
  <c r="F43" i="14"/>
  <c r="K43" i="14" s="1"/>
  <c r="R42" i="14"/>
  <c r="X42" i="14" s="1"/>
  <c r="F42" i="14"/>
  <c r="K42" i="14" s="1"/>
  <c r="R41" i="14"/>
  <c r="X41" i="14" s="1"/>
  <c r="F41" i="14"/>
  <c r="K41" i="14" s="1"/>
  <c r="R40" i="14"/>
  <c r="X40" i="14" s="1"/>
  <c r="F40" i="14"/>
  <c r="K40" i="14" s="1"/>
  <c r="R39" i="14"/>
  <c r="X39" i="14" s="1"/>
  <c r="F39" i="14"/>
  <c r="K39" i="14" s="1"/>
  <c r="R38" i="14"/>
  <c r="X38" i="14" s="1"/>
  <c r="F38" i="14"/>
  <c r="R37" i="14"/>
  <c r="X37" i="14" s="1"/>
  <c r="F37" i="14"/>
  <c r="R36" i="14"/>
  <c r="X36" i="14" s="1"/>
  <c r="F36" i="14"/>
  <c r="K36" i="14" s="1"/>
  <c r="R35" i="14"/>
  <c r="X35" i="14" s="1"/>
  <c r="F35" i="14"/>
  <c r="K35" i="14" s="1"/>
  <c r="R34" i="14"/>
  <c r="X34" i="14" s="1"/>
  <c r="F34" i="14"/>
  <c r="R33" i="14"/>
  <c r="X33" i="14" s="1"/>
  <c r="F33" i="14"/>
  <c r="R32" i="14"/>
  <c r="X32" i="14" s="1"/>
  <c r="F32" i="14"/>
  <c r="K32" i="14" s="1"/>
  <c r="R31" i="14"/>
  <c r="X31" i="14" s="1"/>
  <c r="F31" i="14"/>
  <c r="K31" i="14" s="1"/>
  <c r="R30" i="14"/>
  <c r="X30" i="14" s="1"/>
  <c r="F30" i="14"/>
  <c r="K30" i="14" s="1"/>
  <c r="R29" i="14"/>
  <c r="X29" i="14" s="1"/>
  <c r="F29" i="14"/>
  <c r="K29" i="14" s="1"/>
  <c r="R28" i="14"/>
  <c r="X28" i="14" s="1"/>
  <c r="F28" i="14"/>
  <c r="K28" i="14" s="1"/>
  <c r="R27" i="14"/>
  <c r="X27" i="14" s="1"/>
  <c r="F27" i="14"/>
  <c r="K27" i="14" s="1"/>
  <c r="R26" i="14"/>
  <c r="X26" i="14" s="1"/>
  <c r="F26" i="14"/>
  <c r="K26" i="14" s="1"/>
  <c r="R25" i="14"/>
  <c r="X25" i="14" s="1"/>
  <c r="F25" i="14"/>
  <c r="K25" i="14" s="1"/>
  <c r="R24" i="14"/>
  <c r="X24" i="14" s="1"/>
  <c r="F24" i="14"/>
  <c r="K24" i="14" s="1"/>
  <c r="R23" i="14"/>
  <c r="X23" i="14" s="1"/>
  <c r="F23" i="14"/>
  <c r="K23" i="14" s="1"/>
  <c r="R22" i="14"/>
  <c r="X22" i="14" s="1"/>
  <c r="F22" i="14"/>
  <c r="K22" i="14" s="1"/>
  <c r="R21" i="14"/>
  <c r="X21" i="14" s="1"/>
  <c r="F21" i="14"/>
  <c r="K21" i="14" s="1"/>
  <c r="R20" i="14"/>
  <c r="X20" i="14" s="1"/>
  <c r="F20" i="14"/>
  <c r="K20" i="14" s="1"/>
  <c r="R19" i="14"/>
  <c r="X19" i="14" s="1"/>
  <c r="F19" i="14"/>
  <c r="K19" i="14" s="1"/>
  <c r="R18" i="14"/>
  <c r="X18" i="14" s="1"/>
  <c r="F18" i="14"/>
  <c r="K18" i="14" s="1"/>
  <c r="R17" i="14"/>
  <c r="X17" i="14" s="1"/>
  <c r="F17" i="14"/>
  <c r="K17" i="14" s="1"/>
  <c r="R16" i="14"/>
  <c r="X16" i="14" s="1"/>
  <c r="F16" i="14"/>
  <c r="K16" i="14" s="1"/>
  <c r="R15" i="14"/>
  <c r="X15" i="14" s="1"/>
  <c r="F15" i="14"/>
  <c r="K15" i="14" s="1"/>
  <c r="R14" i="14"/>
  <c r="X14" i="14" s="1"/>
  <c r="F14" i="14"/>
  <c r="K14" i="14" s="1"/>
  <c r="R13" i="14"/>
  <c r="X13" i="14" s="1"/>
  <c r="F13" i="14"/>
  <c r="K13" i="14" s="1"/>
  <c r="R12" i="14"/>
  <c r="X12" i="14" s="1"/>
  <c r="F12" i="14"/>
  <c r="K12" i="14" s="1"/>
  <c r="R11" i="14"/>
  <c r="X11" i="14" s="1"/>
  <c r="F11" i="14"/>
  <c r="R10" i="14"/>
  <c r="X10" i="14" s="1"/>
  <c r="F10" i="14"/>
  <c r="R9" i="14"/>
  <c r="X9" i="14" s="1"/>
  <c r="F9" i="14"/>
  <c r="R8" i="14"/>
  <c r="X8" i="14" s="1"/>
  <c r="F8" i="14"/>
  <c r="R7" i="14"/>
  <c r="X7" i="14" s="1"/>
  <c r="F7" i="14"/>
  <c r="R6" i="14"/>
  <c r="X6" i="14" s="1"/>
  <c r="F6" i="14"/>
  <c r="R5" i="14"/>
  <c r="X5" i="14" s="1"/>
  <c r="F5" i="14"/>
  <c r="R4" i="14"/>
  <c r="X4" i="14" s="1"/>
  <c r="F4" i="14"/>
  <c r="R3" i="14"/>
  <c r="F3" i="14"/>
  <c r="R2" i="14"/>
  <c r="X2" i="14" s="1"/>
  <c r="F2" i="14"/>
  <c r="F22" i="5"/>
  <c r="F12" i="5"/>
  <c r="O12" i="5" s="1"/>
  <c r="F51" i="5"/>
  <c r="O51" i="5" s="1"/>
  <c r="F31" i="5"/>
  <c r="O31" i="5" s="1"/>
  <c r="F45" i="5"/>
  <c r="O45" i="5" s="1"/>
  <c r="F33" i="5"/>
  <c r="F25" i="5"/>
  <c r="O25" i="5" s="1"/>
  <c r="F34" i="5"/>
  <c r="F27" i="5"/>
  <c r="O27" i="5" s="1"/>
  <c r="F38" i="5"/>
  <c r="F61" i="5"/>
  <c r="O61" i="5" s="1"/>
  <c r="F47" i="5"/>
  <c r="F48" i="5"/>
  <c r="F85" i="5"/>
  <c r="F79" i="5"/>
  <c r="O79" i="5" s="1"/>
  <c r="F59" i="5"/>
  <c r="O59" i="5" s="1"/>
  <c r="F81" i="5"/>
  <c r="O81" i="5" s="1"/>
  <c r="F77" i="5"/>
  <c r="O77" i="5" s="1"/>
  <c r="F69" i="5"/>
  <c r="O69" i="5" s="1"/>
  <c r="F74" i="5"/>
  <c r="F86" i="5"/>
  <c r="F87" i="5"/>
  <c r="F92" i="5"/>
  <c r="O92" i="5" s="1"/>
  <c r="F102" i="5"/>
  <c r="F99" i="5"/>
  <c r="F103" i="5"/>
  <c r="F114" i="5"/>
  <c r="G114" i="5" s="1"/>
  <c r="N114" i="5" s="1"/>
  <c r="F118" i="5"/>
  <c r="H118" i="5" s="1"/>
  <c r="O118" i="5" s="1"/>
  <c r="F112" i="5"/>
  <c r="G112" i="5" s="1"/>
  <c r="N112" i="5" s="1"/>
  <c r="F122" i="5"/>
  <c r="O122" i="5" s="1"/>
  <c r="F127" i="5"/>
  <c r="F237" i="5"/>
  <c r="F140" i="5"/>
  <c r="F134" i="5"/>
  <c r="F138" i="5"/>
  <c r="G138" i="5" s="1"/>
  <c r="N138" i="5" s="1"/>
  <c r="F154" i="5"/>
  <c r="H154" i="5" s="1"/>
  <c r="O154" i="5" s="1"/>
  <c r="F146" i="5"/>
  <c r="H146" i="5" s="1"/>
  <c r="O146" i="5" s="1"/>
  <c r="F160" i="5"/>
  <c r="F165" i="5"/>
  <c r="G165" i="5" s="1"/>
  <c r="N165" i="5" s="1"/>
  <c r="F195" i="5"/>
  <c r="F161" i="5"/>
  <c r="H161" i="5" s="1"/>
  <c r="O161" i="5" s="1"/>
  <c r="F162" i="5"/>
  <c r="F203" i="5"/>
  <c r="F181" i="5"/>
  <c r="F215" i="5"/>
  <c r="F183" i="5"/>
  <c r="F197" i="5"/>
  <c r="F201" i="5"/>
  <c r="F205" i="5"/>
  <c r="F213" i="5"/>
  <c r="F211" i="5"/>
  <c r="F225" i="5"/>
  <c r="F255" i="5"/>
  <c r="H255" i="5" s="1"/>
  <c r="O255" i="5" s="1"/>
  <c r="F313" i="5"/>
  <c r="F261" i="5"/>
  <c r="H261" i="5" s="1"/>
  <c r="O261" i="5" s="1"/>
  <c r="F263" i="5"/>
  <c r="F270" i="5"/>
  <c r="G270" i="5" s="1"/>
  <c r="N270" i="5" s="1"/>
  <c r="F345" i="5"/>
  <c r="K345" i="5" s="1"/>
  <c r="F308" i="5"/>
  <c r="H308" i="5" s="1"/>
  <c r="O308" i="5" s="1"/>
  <c r="F322" i="5"/>
  <c r="G322" i="5" s="1"/>
  <c r="N322" i="5" s="1"/>
  <c r="F295" i="5"/>
  <c r="G295" i="5" s="1"/>
  <c r="N295" i="5" s="1"/>
  <c r="F328" i="5"/>
  <c r="H328" i="5" s="1"/>
  <c r="O328" i="5" s="1"/>
  <c r="F323" i="5"/>
  <c r="G323" i="5" s="1"/>
  <c r="N323" i="5" s="1"/>
  <c r="F336" i="5"/>
  <c r="H336" i="5" s="1"/>
  <c r="O336" i="5" s="1"/>
  <c r="F293" i="5"/>
  <c r="F346" i="5"/>
  <c r="H346" i="5" s="1"/>
  <c r="O346" i="5" s="1"/>
  <c r="F297" i="5"/>
  <c r="H297" i="5" s="1"/>
  <c r="O297" i="5" s="1"/>
  <c r="F303" i="5"/>
  <c r="F305" i="5"/>
  <c r="H305" i="5" s="1"/>
  <c r="O305" i="5" s="1"/>
  <c r="F326" i="5"/>
  <c r="H326" i="5" s="1"/>
  <c r="O326" i="5" s="1"/>
  <c r="F352" i="5"/>
  <c r="F318" i="5"/>
  <c r="F387" i="5"/>
  <c r="H387" i="5" s="1"/>
  <c r="O387" i="5" s="1"/>
  <c r="F338" i="5"/>
  <c r="G338" i="5" s="1"/>
  <c r="N338" i="5" s="1"/>
  <c r="F347" i="5"/>
  <c r="K347" i="5" s="1"/>
  <c r="F348" i="5"/>
  <c r="H348" i="5" s="1"/>
  <c r="O348" i="5" s="1"/>
  <c r="F381" i="5"/>
  <c r="G381" i="5" s="1"/>
  <c r="N381" i="5" s="1"/>
  <c r="F366" i="5"/>
  <c r="F378" i="5"/>
  <c r="G378" i="5" s="1"/>
  <c r="N378" i="5" s="1"/>
  <c r="F373" i="5"/>
  <c r="H373" i="5" s="1"/>
  <c r="O373" i="5" s="1"/>
  <c r="F384" i="5"/>
  <c r="H384" i="5" s="1"/>
  <c r="O384" i="5" s="1"/>
  <c r="F14" i="5"/>
  <c r="O14" i="5" s="1"/>
  <c r="F3" i="5"/>
  <c r="F4" i="5"/>
  <c r="F7" i="5"/>
  <c r="F8" i="5"/>
  <c r="F9" i="5"/>
  <c r="F16" i="5"/>
  <c r="F17" i="5"/>
  <c r="F20" i="5"/>
  <c r="F21" i="5"/>
  <c r="F29" i="5"/>
  <c r="O29" i="5" s="1"/>
  <c r="F37" i="5"/>
  <c r="F41" i="5"/>
  <c r="O41" i="5" s="1"/>
  <c r="F43" i="5"/>
  <c r="O43" i="5" s="1"/>
  <c r="F53" i="5"/>
  <c r="O53" i="5" s="1"/>
  <c r="F55" i="5"/>
  <c r="F56" i="5"/>
  <c r="F63" i="5"/>
  <c r="O63" i="5" s="1"/>
  <c r="F65" i="5"/>
  <c r="F66" i="5"/>
  <c r="F71" i="5"/>
  <c r="O71" i="5" s="1"/>
  <c r="F73" i="5"/>
  <c r="F83" i="5"/>
  <c r="O83" i="5" s="1"/>
  <c r="F90" i="5"/>
  <c r="O90" i="5" s="1"/>
  <c r="F94" i="5"/>
  <c r="O94" i="5" s="1"/>
  <c r="F96" i="5"/>
  <c r="O96" i="5" s="1"/>
  <c r="F98" i="5"/>
  <c r="F106" i="5"/>
  <c r="O106" i="5" s="1"/>
  <c r="F108" i="5"/>
  <c r="O108" i="5" s="1"/>
  <c r="F110" i="5"/>
  <c r="O110" i="5" s="1"/>
  <c r="F116" i="5"/>
  <c r="O116" i="5" s="1"/>
  <c r="F120" i="5"/>
  <c r="O120" i="5" s="1"/>
  <c r="F124" i="5"/>
  <c r="O124" i="5" s="1"/>
  <c r="F126" i="5"/>
  <c r="H126" i="5" s="1"/>
  <c r="O126" i="5" s="1"/>
  <c r="F130" i="5"/>
  <c r="H130" i="5" s="1"/>
  <c r="O130" i="5" s="1"/>
  <c r="F131" i="5"/>
  <c r="F136" i="5"/>
  <c r="G136" i="5" s="1"/>
  <c r="N136" i="5" s="1"/>
  <c r="F142" i="5"/>
  <c r="H142" i="5" s="1"/>
  <c r="O142" i="5" s="1"/>
  <c r="F144" i="5"/>
  <c r="H144" i="5" s="1"/>
  <c r="O144" i="5" s="1"/>
  <c r="F148" i="5"/>
  <c r="F150" i="5"/>
  <c r="F152" i="5"/>
  <c r="H152" i="5" s="1"/>
  <c r="O152" i="5" s="1"/>
  <c r="F156" i="5"/>
  <c r="G156" i="5" s="1"/>
  <c r="N156" i="5" s="1"/>
  <c r="F157" i="5"/>
  <c r="H157" i="5" s="1"/>
  <c r="O157" i="5" s="1"/>
  <c r="F167" i="5"/>
  <c r="F169" i="5"/>
  <c r="F171" i="5"/>
  <c r="F173" i="5"/>
  <c r="F175" i="5"/>
  <c r="F177" i="5"/>
  <c r="F179" i="5"/>
  <c r="F185" i="5"/>
  <c r="F187" i="5"/>
  <c r="F189" i="5"/>
  <c r="F191" i="5"/>
  <c r="F193" i="5"/>
  <c r="F199" i="5"/>
  <c r="F207" i="5"/>
  <c r="F209" i="5"/>
  <c r="F217" i="5"/>
  <c r="F221" i="5"/>
  <c r="F223" i="5"/>
  <c r="F219" i="5"/>
  <c r="F227" i="5"/>
  <c r="F229" i="5"/>
  <c r="F231" i="5"/>
  <c r="F233" i="5"/>
  <c r="F235" i="5"/>
  <c r="F239" i="5"/>
  <c r="F241" i="5"/>
  <c r="G241" i="5" s="1"/>
  <c r="N241" i="5" s="1"/>
  <c r="F243" i="5"/>
  <c r="H243" i="5" s="1"/>
  <c r="O243" i="5" s="1"/>
  <c r="F245" i="5"/>
  <c r="H245" i="5" s="1"/>
  <c r="O245" i="5" s="1"/>
  <c r="F247" i="5"/>
  <c r="F249" i="5"/>
  <c r="H249" i="5" s="1"/>
  <c r="O249" i="5" s="1"/>
  <c r="F251" i="5"/>
  <c r="G251" i="5" s="1"/>
  <c r="N251" i="5" s="1"/>
  <c r="F253" i="5"/>
  <c r="F257" i="5"/>
  <c r="H257" i="5" s="1"/>
  <c r="O257" i="5" s="1"/>
  <c r="F258" i="5"/>
  <c r="H258" i="5" s="1"/>
  <c r="O258" i="5" s="1"/>
  <c r="F265" i="5"/>
  <c r="H265" i="5" s="1"/>
  <c r="O265" i="5" s="1"/>
  <c r="F266" i="5"/>
  <c r="G266" i="5" s="1"/>
  <c r="N266" i="5" s="1"/>
  <c r="F269" i="5"/>
  <c r="G269" i="5" s="1"/>
  <c r="N269" i="5" s="1"/>
  <c r="F273" i="5"/>
  <c r="H273" i="5" s="1"/>
  <c r="O273" i="5" s="1"/>
  <c r="F274" i="5"/>
  <c r="G274" i="5" s="1"/>
  <c r="N274" i="5" s="1"/>
  <c r="F275" i="5"/>
  <c r="G275" i="5" s="1"/>
  <c r="N275" i="5" s="1"/>
  <c r="F278" i="5"/>
  <c r="H278" i="5" s="1"/>
  <c r="O278" i="5" s="1"/>
  <c r="F280" i="5"/>
  <c r="G280" i="5" s="1"/>
  <c r="N280" i="5" s="1"/>
  <c r="F282" i="5"/>
  <c r="G282" i="5" s="1"/>
  <c r="N282" i="5" s="1"/>
  <c r="F283" i="5"/>
  <c r="G283" i="5" s="1"/>
  <c r="N283" i="5" s="1"/>
  <c r="F284" i="5"/>
  <c r="G284" i="5" s="1"/>
  <c r="N284" i="5" s="1"/>
  <c r="F287" i="5"/>
  <c r="G287" i="5" s="1"/>
  <c r="N287" i="5" s="1"/>
  <c r="F288" i="5"/>
  <c r="H288" i="5" s="1"/>
  <c r="O288" i="5" s="1"/>
  <c r="F291" i="5"/>
  <c r="G291" i="5" s="1"/>
  <c r="N291" i="5" s="1"/>
  <c r="F299" i="5"/>
  <c r="G299" i="5" s="1"/>
  <c r="N299" i="5" s="1"/>
  <c r="F301" i="5"/>
  <c r="H301" i="5" s="1"/>
  <c r="O301" i="5" s="1"/>
  <c r="F307" i="5"/>
  <c r="H307" i="5" s="1"/>
  <c r="O307" i="5" s="1"/>
  <c r="F311" i="5"/>
  <c r="H311" i="5" s="1"/>
  <c r="O311" i="5" s="1"/>
  <c r="F312" i="5"/>
  <c r="H312" i="5" s="1"/>
  <c r="O312" i="5" s="1"/>
  <c r="F316" i="5"/>
  <c r="H316" i="5" s="1"/>
  <c r="O316" i="5" s="1"/>
  <c r="F320" i="5"/>
  <c r="H320" i="5" s="1"/>
  <c r="O320" i="5" s="1"/>
  <c r="F330" i="5"/>
  <c r="H330" i="5" s="1"/>
  <c r="O330" i="5" s="1"/>
  <c r="F331" i="5"/>
  <c r="G331" i="5" s="1"/>
  <c r="N331" i="5" s="1"/>
  <c r="F334" i="5"/>
  <c r="G334" i="5" s="1"/>
  <c r="N334" i="5" s="1"/>
  <c r="F340" i="5"/>
  <c r="H340" i="5" s="1"/>
  <c r="O340" i="5" s="1"/>
  <c r="F341" i="5"/>
  <c r="H341" i="5" s="1"/>
  <c r="O341" i="5" s="1"/>
  <c r="F344" i="5"/>
  <c r="H344" i="5" s="1"/>
  <c r="O344" i="5" s="1"/>
  <c r="F351" i="5"/>
  <c r="H351" i="5" s="1"/>
  <c r="O351" i="5" s="1"/>
  <c r="F357" i="5"/>
  <c r="G357" i="5" s="1"/>
  <c r="N357" i="5" s="1"/>
  <c r="F360" i="5"/>
  <c r="G360" i="5" s="1"/>
  <c r="N360" i="5" s="1"/>
  <c r="F355" i="5"/>
  <c r="H355" i="5" s="1"/>
  <c r="O355" i="5" s="1"/>
  <c r="F356" i="5"/>
  <c r="H356" i="5" s="1"/>
  <c r="O356" i="5" s="1"/>
  <c r="F359" i="5"/>
  <c r="G359" i="5" s="1"/>
  <c r="N359" i="5" s="1"/>
  <c r="F358" i="5"/>
  <c r="H358" i="5" s="1"/>
  <c r="O358" i="5" s="1"/>
  <c r="F361" i="5"/>
  <c r="G361" i="5" s="1"/>
  <c r="N361" i="5" s="1"/>
  <c r="F362" i="5"/>
  <c r="H362" i="5" s="1"/>
  <c r="O362" i="5" s="1"/>
  <c r="F365" i="5"/>
  <c r="H365" i="5" s="1"/>
  <c r="O365" i="5" s="1"/>
  <c r="F369" i="5"/>
  <c r="H369" i="5" s="1"/>
  <c r="O369" i="5" s="1"/>
  <c r="F370" i="5"/>
  <c r="H370" i="5" s="1"/>
  <c r="O370" i="5" s="1"/>
  <c r="F375" i="5"/>
  <c r="G375" i="5" s="1"/>
  <c r="N375" i="5" s="1"/>
  <c r="F377" i="5"/>
  <c r="F383" i="5"/>
  <c r="F2" i="5"/>
  <c r="L116" i="5" l="1"/>
  <c r="N116" i="5"/>
  <c r="L83" i="5"/>
  <c r="N83" i="5"/>
  <c r="L53" i="5"/>
  <c r="N53" i="5"/>
  <c r="L59" i="5"/>
  <c r="N59" i="5"/>
  <c r="L110" i="5"/>
  <c r="N110" i="5"/>
  <c r="L43" i="5"/>
  <c r="N43" i="5"/>
  <c r="L92" i="5"/>
  <c r="N92" i="5"/>
  <c r="L79" i="5"/>
  <c r="N79" i="5"/>
  <c r="L25" i="5"/>
  <c r="N25" i="5"/>
  <c r="L108" i="5"/>
  <c r="N108" i="5"/>
  <c r="L71" i="5"/>
  <c r="N71" i="5"/>
  <c r="L41" i="5"/>
  <c r="N41" i="5"/>
  <c r="L122" i="5"/>
  <c r="N122" i="5"/>
  <c r="L106" i="5"/>
  <c r="N106" i="5"/>
  <c r="L45" i="5"/>
  <c r="N45" i="5"/>
  <c r="L29" i="5"/>
  <c r="N29" i="5"/>
  <c r="L31" i="5"/>
  <c r="N31" i="5"/>
  <c r="L96" i="5"/>
  <c r="N96" i="5"/>
  <c r="L63" i="5"/>
  <c r="N63" i="5"/>
  <c r="L69" i="5"/>
  <c r="N69" i="5"/>
  <c r="L61" i="5"/>
  <c r="N61" i="5"/>
  <c r="L51" i="5"/>
  <c r="N51" i="5"/>
  <c r="L124" i="5"/>
  <c r="N124" i="5"/>
  <c r="L94" i="5"/>
  <c r="N94" i="5"/>
  <c r="L14" i="5"/>
  <c r="N14" i="5"/>
  <c r="L77" i="5"/>
  <c r="N77" i="5"/>
  <c r="L12" i="5"/>
  <c r="N12" i="5"/>
  <c r="L120" i="5"/>
  <c r="N120" i="5"/>
  <c r="L90" i="5"/>
  <c r="N90" i="5"/>
  <c r="L81" i="5"/>
  <c r="N81" i="5"/>
  <c r="L27" i="5"/>
  <c r="N27" i="5"/>
  <c r="Y52" i="14"/>
  <c r="H66" i="5"/>
  <c r="O66" i="5" s="1"/>
  <c r="T97" i="14"/>
  <c r="T95" i="14"/>
  <c r="Y39" i="14"/>
  <c r="Y40" i="14"/>
  <c r="T49" i="14"/>
  <c r="S49" i="14"/>
  <c r="Y71" i="14"/>
  <c r="Y70" i="14"/>
  <c r="S69" i="14"/>
  <c r="T69" i="14"/>
  <c r="S79" i="14"/>
  <c r="T79" i="14"/>
  <c r="T73" i="14"/>
  <c r="S73" i="14"/>
  <c r="Y17" i="14"/>
  <c r="G10" i="14"/>
  <c r="H77" i="14"/>
  <c r="K77" i="14" s="1"/>
  <c r="H47" i="14"/>
  <c r="K47" i="14" s="1"/>
  <c r="Y47" i="14" s="1"/>
  <c r="H56" i="14"/>
  <c r="K56" i="14" s="1"/>
  <c r="Y56" i="14" s="1"/>
  <c r="G7" i="14"/>
  <c r="H78" i="14"/>
  <c r="K78" i="14" s="1"/>
  <c r="Y51" i="14"/>
  <c r="Y60" i="14"/>
  <c r="G9" i="14"/>
  <c r="Y35" i="14"/>
  <c r="H33" i="14"/>
  <c r="K33" i="14" s="1"/>
  <c r="Y33" i="14" s="1"/>
  <c r="H37" i="14"/>
  <c r="K37" i="14" s="1"/>
  <c r="Y37" i="14" s="1"/>
  <c r="Y58" i="14"/>
  <c r="Y32" i="14"/>
  <c r="Y30" i="14"/>
  <c r="H34" i="14"/>
  <c r="K34" i="14" s="1"/>
  <c r="Y34" i="14" s="1"/>
  <c r="H82" i="14"/>
  <c r="G82" i="14"/>
  <c r="Y22" i="14"/>
  <c r="G6" i="14"/>
  <c r="Y43" i="14"/>
  <c r="G3" i="14"/>
  <c r="H11" i="14"/>
  <c r="Y24" i="14"/>
  <c r="H38" i="14"/>
  <c r="K38" i="14" s="1"/>
  <c r="Y38" i="14" s="1"/>
  <c r="H57" i="14"/>
  <c r="K57" i="14" s="1"/>
  <c r="Y57" i="14" s="1"/>
  <c r="H48" i="14"/>
  <c r="K48" i="14" s="1"/>
  <c r="Y48" i="14" s="1"/>
  <c r="Y74" i="14"/>
  <c r="S82" i="14"/>
  <c r="T82" i="14"/>
  <c r="K107" i="14"/>
  <c r="Y23" i="14"/>
  <c r="Y31" i="14"/>
  <c r="Y21" i="14"/>
  <c r="Y46" i="14"/>
  <c r="Y55" i="14"/>
  <c r="Y85" i="14"/>
  <c r="G2" i="14"/>
  <c r="Y64" i="14"/>
  <c r="G88" i="14"/>
  <c r="H88" i="14"/>
  <c r="S93" i="14"/>
  <c r="T93" i="14"/>
  <c r="S96" i="14"/>
  <c r="H102" i="14"/>
  <c r="G102" i="14"/>
  <c r="T105" i="14"/>
  <c r="S105" i="14"/>
  <c r="W108" i="14"/>
  <c r="S108" i="14"/>
  <c r="T108" i="14"/>
  <c r="H130" i="14"/>
  <c r="G130" i="14"/>
  <c r="Y13" i="14"/>
  <c r="G91" i="14"/>
  <c r="H91" i="14"/>
  <c r="G97" i="14"/>
  <c r="H97" i="14"/>
  <c r="H100" i="14"/>
  <c r="G100" i="14"/>
  <c r="H106" i="14"/>
  <c r="G106" i="14"/>
  <c r="G112" i="14"/>
  <c r="H112" i="14"/>
  <c r="G115" i="14"/>
  <c r="H115" i="14"/>
  <c r="T117" i="14"/>
  <c r="S117" i="14"/>
  <c r="H120" i="14"/>
  <c r="G120" i="14"/>
  <c r="T123" i="14"/>
  <c r="S123" i="14"/>
  <c r="H66" i="14"/>
  <c r="K66" i="14" s="1"/>
  <c r="Y66" i="14" s="1"/>
  <c r="Y15" i="14"/>
  <c r="Y18" i="14"/>
  <c r="Y25" i="14"/>
  <c r="H86" i="14"/>
  <c r="G86" i="14"/>
  <c r="S91" i="14"/>
  <c r="T91" i="14"/>
  <c r="H94" i="14"/>
  <c r="G94" i="14"/>
  <c r="T102" i="14"/>
  <c r="S102" i="14"/>
  <c r="T106" i="14"/>
  <c r="S106" i="14"/>
  <c r="G109" i="14"/>
  <c r="H109" i="14"/>
  <c r="T120" i="14"/>
  <c r="S120" i="14"/>
  <c r="G124" i="14"/>
  <c r="H124" i="14"/>
  <c r="G132" i="14"/>
  <c r="H132" i="14"/>
  <c r="H67" i="14"/>
  <c r="K67" i="14" s="1"/>
  <c r="Y67" i="14" s="1"/>
  <c r="T86" i="14"/>
  <c r="S86" i="14"/>
  <c r="G89" i="14"/>
  <c r="H89" i="14"/>
  <c r="T94" i="14"/>
  <c r="S94" i="14"/>
  <c r="T100" i="14"/>
  <c r="S100" i="14"/>
  <c r="H118" i="14"/>
  <c r="G118" i="14"/>
  <c r="S3" i="14"/>
  <c r="T92" i="14"/>
  <c r="S92" i="14"/>
  <c r="G104" i="14"/>
  <c r="H104" i="14"/>
  <c r="Y72" i="14"/>
  <c r="W87" i="14"/>
  <c r="T87" i="14"/>
  <c r="S87" i="14"/>
  <c r="H90" i="14"/>
  <c r="G90" i="14"/>
  <c r="G99" i="14"/>
  <c r="H99" i="14"/>
  <c r="G129" i="14"/>
  <c r="H129" i="14"/>
  <c r="H98" i="14"/>
  <c r="G98" i="14"/>
  <c r="G103" i="14"/>
  <c r="H103" i="14"/>
  <c r="S112" i="14"/>
  <c r="T112" i="14"/>
  <c r="S115" i="14"/>
  <c r="T115" i="14"/>
  <c r="Y19" i="14"/>
  <c r="H92" i="14"/>
  <c r="G92" i="14"/>
  <c r="W98" i="14"/>
  <c r="T98" i="14"/>
  <c r="S98" i="14"/>
  <c r="S103" i="14"/>
  <c r="T103" i="14"/>
  <c r="G107" i="14"/>
  <c r="H107" i="14"/>
  <c r="H110" i="14"/>
  <c r="G110" i="14"/>
  <c r="H116" i="14"/>
  <c r="G116" i="14"/>
  <c r="H121" i="14"/>
  <c r="G121" i="14"/>
  <c r="G126" i="14"/>
  <c r="H126" i="14"/>
  <c r="Y16" i="14"/>
  <c r="Y41" i="14"/>
  <c r="G87" i="14"/>
  <c r="H87" i="14"/>
  <c r="S89" i="14"/>
  <c r="T89" i="14"/>
  <c r="G95" i="14"/>
  <c r="H95" i="14"/>
  <c r="H101" i="14"/>
  <c r="G101" i="14"/>
  <c r="T107" i="14"/>
  <c r="S107" i="14"/>
  <c r="H113" i="14"/>
  <c r="G113" i="14"/>
  <c r="S118" i="14"/>
  <c r="T118" i="14"/>
  <c r="H2" i="14"/>
  <c r="G4" i="14"/>
  <c r="Y14" i="14"/>
  <c r="Y27" i="14"/>
  <c r="S90" i="14"/>
  <c r="T90" i="14"/>
  <c r="H93" i="14"/>
  <c r="G93" i="14"/>
  <c r="G96" i="14"/>
  <c r="H96" i="14"/>
  <c r="S99" i="14"/>
  <c r="T99" i="14"/>
  <c r="S101" i="14"/>
  <c r="T101" i="14"/>
  <c r="H105" i="14"/>
  <c r="G105" i="14"/>
  <c r="H108" i="14"/>
  <c r="G108" i="14"/>
  <c r="G111" i="14"/>
  <c r="H111" i="14"/>
  <c r="H114" i="14"/>
  <c r="G114" i="14"/>
  <c r="G117" i="14"/>
  <c r="H117" i="14"/>
  <c r="G119" i="14"/>
  <c r="H119" i="14"/>
  <c r="H123" i="14"/>
  <c r="G123" i="14"/>
  <c r="K108" i="14"/>
  <c r="S83" i="14"/>
  <c r="W136" i="13"/>
  <c r="W132" i="13"/>
  <c r="G356" i="5"/>
  <c r="F385" i="5"/>
  <c r="H378" i="5"/>
  <c r="G301" i="5"/>
  <c r="G235" i="5"/>
  <c r="N235" i="5" s="1"/>
  <c r="H235" i="5"/>
  <c r="O235" i="5" s="1"/>
  <c r="H209" i="5"/>
  <c r="O209" i="5" s="1"/>
  <c r="G209" i="5"/>
  <c r="N209" i="5" s="1"/>
  <c r="H211" i="5"/>
  <c r="O211" i="5" s="1"/>
  <c r="G211" i="5"/>
  <c r="N211" i="5" s="1"/>
  <c r="H203" i="5"/>
  <c r="O203" i="5" s="1"/>
  <c r="G203" i="5"/>
  <c r="N203" i="5" s="1"/>
  <c r="H229" i="5"/>
  <c r="O229" i="5" s="1"/>
  <c r="G229" i="5"/>
  <c r="N229" i="5" s="1"/>
  <c r="F367" i="5"/>
  <c r="H219" i="5"/>
  <c r="O219" i="5" s="1"/>
  <c r="G219" i="5"/>
  <c r="N219" i="5" s="1"/>
  <c r="H201" i="5"/>
  <c r="O201" i="5" s="1"/>
  <c r="G201" i="5"/>
  <c r="N201" i="5" s="1"/>
  <c r="H237" i="5"/>
  <c r="O237" i="5" s="1"/>
  <c r="G237" i="5"/>
  <c r="N237" i="5" s="1"/>
  <c r="H185" i="5"/>
  <c r="O185" i="5" s="1"/>
  <c r="G185" i="5"/>
  <c r="N185" i="5" s="1"/>
  <c r="G215" i="5"/>
  <c r="N215" i="5" s="1"/>
  <c r="H215" i="5"/>
  <c r="O215" i="5" s="1"/>
  <c r="H225" i="5"/>
  <c r="O225" i="5" s="1"/>
  <c r="G225" i="5"/>
  <c r="N225" i="5" s="1"/>
  <c r="G207" i="5"/>
  <c r="N207" i="5" s="1"/>
  <c r="H207" i="5"/>
  <c r="O207" i="5" s="1"/>
  <c r="G199" i="5"/>
  <c r="N199" i="5" s="1"/>
  <c r="H199" i="5"/>
  <c r="O199" i="5" s="1"/>
  <c r="H213" i="5"/>
  <c r="O213" i="5" s="1"/>
  <c r="G213" i="5"/>
  <c r="N213" i="5" s="1"/>
  <c r="H269" i="5"/>
  <c r="O269" i="5" s="1"/>
  <c r="H227" i="5"/>
  <c r="O227" i="5" s="1"/>
  <c r="G227" i="5"/>
  <c r="N227" i="5" s="1"/>
  <c r="G189" i="5"/>
  <c r="N189" i="5" s="1"/>
  <c r="H189" i="5"/>
  <c r="O189" i="5" s="1"/>
  <c r="H197" i="5"/>
  <c r="O197" i="5" s="1"/>
  <c r="G197" i="5"/>
  <c r="N197" i="5" s="1"/>
  <c r="H217" i="5"/>
  <c r="O217" i="5" s="1"/>
  <c r="G217" i="5"/>
  <c r="N217" i="5" s="1"/>
  <c r="H233" i="5"/>
  <c r="O233" i="5" s="1"/>
  <c r="G233" i="5"/>
  <c r="N233" i="5" s="1"/>
  <c r="H231" i="5"/>
  <c r="O231" i="5" s="1"/>
  <c r="G231" i="5"/>
  <c r="N231" i="5" s="1"/>
  <c r="H193" i="5"/>
  <c r="O193" i="5" s="1"/>
  <c r="G193" i="5"/>
  <c r="N193" i="5" s="1"/>
  <c r="H205" i="5"/>
  <c r="O205" i="5" s="1"/>
  <c r="G205" i="5"/>
  <c r="N205" i="5" s="1"/>
  <c r="H191" i="5"/>
  <c r="O191" i="5" s="1"/>
  <c r="G191" i="5"/>
  <c r="N191" i="5" s="1"/>
  <c r="G223" i="5"/>
  <c r="N223" i="5" s="1"/>
  <c r="H223" i="5"/>
  <c r="O223" i="5" s="1"/>
  <c r="G239" i="5"/>
  <c r="N239" i="5" s="1"/>
  <c r="H239" i="5"/>
  <c r="O239" i="5" s="1"/>
  <c r="H221" i="5"/>
  <c r="O221" i="5" s="1"/>
  <c r="G221" i="5"/>
  <c r="N221" i="5" s="1"/>
  <c r="H187" i="5"/>
  <c r="O187" i="5" s="1"/>
  <c r="G187" i="5"/>
  <c r="N187" i="5" s="1"/>
  <c r="H167" i="5"/>
  <c r="O167" i="5" s="1"/>
  <c r="G167" i="5"/>
  <c r="N167" i="5" s="1"/>
  <c r="G345" i="5"/>
  <c r="N345" i="5" s="1"/>
  <c r="F379" i="5"/>
  <c r="G179" i="5"/>
  <c r="N179" i="5" s="1"/>
  <c r="H179" i="5"/>
  <c r="O179" i="5" s="1"/>
  <c r="G173" i="5"/>
  <c r="N173" i="5" s="1"/>
  <c r="H173" i="5"/>
  <c r="O173" i="5" s="1"/>
  <c r="H171" i="5"/>
  <c r="O171" i="5" s="1"/>
  <c r="G171" i="5"/>
  <c r="N171" i="5" s="1"/>
  <c r="G181" i="5"/>
  <c r="N181" i="5" s="1"/>
  <c r="H181" i="5"/>
  <c r="O181" i="5" s="1"/>
  <c r="G177" i="5"/>
  <c r="N177" i="5" s="1"/>
  <c r="H177" i="5"/>
  <c r="O177" i="5" s="1"/>
  <c r="H175" i="5"/>
  <c r="O175" i="5" s="1"/>
  <c r="G175" i="5"/>
  <c r="N175" i="5" s="1"/>
  <c r="G169" i="5"/>
  <c r="N169" i="5" s="1"/>
  <c r="H169" i="5"/>
  <c r="O169" i="5" s="1"/>
  <c r="H183" i="5"/>
  <c r="O183" i="5" s="1"/>
  <c r="G183" i="5"/>
  <c r="N183" i="5" s="1"/>
  <c r="S109" i="14"/>
  <c r="T109" i="14"/>
  <c r="T132" i="14"/>
  <c r="S132" i="14"/>
  <c r="T130" i="14"/>
  <c r="S130" i="14"/>
  <c r="T110" i="14"/>
  <c r="S110" i="14"/>
  <c r="T121" i="14"/>
  <c r="S121" i="14"/>
  <c r="T104" i="14"/>
  <c r="S104" i="14"/>
  <c r="T126" i="14"/>
  <c r="S126" i="14"/>
  <c r="S111" i="14"/>
  <c r="T111" i="14"/>
  <c r="S88" i="14"/>
  <c r="T119" i="14"/>
  <c r="S119" i="14"/>
  <c r="T129" i="14"/>
  <c r="S129" i="14"/>
  <c r="S97" i="14"/>
  <c r="X97" i="14" s="1"/>
  <c r="S95" i="14"/>
  <c r="X95" i="14" s="1"/>
  <c r="T114" i="14"/>
  <c r="S114" i="14"/>
  <c r="T116" i="14"/>
  <c r="S116" i="14"/>
  <c r="H195" i="5"/>
  <c r="O195" i="5" s="1"/>
  <c r="G195" i="5"/>
  <c r="N195" i="5" s="1"/>
  <c r="H331" i="5"/>
  <c r="H357" i="5"/>
  <c r="O357" i="5" s="1"/>
  <c r="H274" i="5"/>
  <c r="H34" i="5"/>
  <c r="O34" i="5" s="1"/>
  <c r="G257" i="5"/>
  <c r="N257" i="5" s="1"/>
  <c r="K348" i="5"/>
  <c r="G320" i="5"/>
  <c r="G348" i="5"/>
  <c r="N348" i="5" s="1"/>
  <c r="G288" i="5"/>
  <c r="H381" i="5"/>
  <c r="K322" i="5"/>
  <c r="H287" i="5"/>
  <c r="O287" i="5" s="1"/>
  <c r="F309" i="5"/>
  <c r="H291" i="5"/>
  <c r="H295" i="5"/>
  <c r="G297" i="5"/>
  <c r="H361" i="5"/>
  <c r="G346" i="5"/>
  <c r="N346" i="5" s="1"/>
  <c r="G362" i="5"/>
  <c r="G351" i="5"/>
  <c r="N351" i="5" s="1"/>
  <c r="F353" i="5"/>
  <c r="H275" i="5"/>
  <c r="H322" i="5"/>
  <c r="O322" i="5" s="1"/>
  <c r="G316" i="5"/>
  <c r="G365" i="5"/>
  <c r="N365" i="5" s="1"/>
  <c r="K346" i="5"/>
  <c r="H345" i="5"/>
  <c r="O345" i="5" s="1"/>
  <c r="G308" i="5"/>
  <c r="F349" i="5"/>
  <c r="G352" i="5"/>
  <c r="N352" i="5" s="1"/>
  <c r="G313" i="5"/>
  <c r="N313" i="5" s="1"/>
  <c r="G307" i="5"/>
  <c r="N307" i="5" s="1"/>
  <c r="G340" i="5"/>
  <c r="N340" i="5" s="1"/>
  <c r="G278" i="5"/>
  <c r="G384" i="5"/>
  <c r="G47" i="5"/>
  <c r="N47" i="5" s="1"/>
  <c r="H263" i="5"/>
  <c r="O263" i="5" s="1"/>
  <c r="H283" i="5"/>
  <c r="H293" i="5"/>
  <c r="O293" i="5" s="1"/>
  <c r="G303" i="5"/>
  <c r="N303" i="5" s="1"/>
  <c r="G318" i="5"/>
  <c r="N318" i="5" s="1"/>
  <c r="G328" i="5"/>
  <c r="H366" i="5"/>
  <c r="O366" i="5" s="1"/>
  <c r="G311" i="5"/>
  <c r="N311" i="5" s="1"/>
  <c r="G330" i="5"/>
  <c r="N330" i="5" s="1"/>
  <c r="G341" i="5"/>
  <c r="G358" i="5"/>
  <c r="G369" i="5"/>
  <c r="N369" i="5" s="1"/>
  <c r="G383" i="5"/>
  <c r="N383" i="5" s="1"/>
  <c r="K323" i="5"/>
  <c r="F271" i="5"/>
  <c r="F314" i="5"/>
  <c r="G258" i="5"/>
  <c r="G377" i="5"/>
  <c r="N377" i="5" s="1"/>
  <c r="G263" i="5"/>
  <c r="N263" i="5" s="1"/>
  <c r="G265" i="5"/>
  <c r="N265" i="5" s="1"/>
  <c r="H313" i="5"/>
  <c r="O313" i="5" s="1"/>
  <c r="H359" i="5"/>
  <c r="H377" i="5"/>
  <c r="O377" i="5" s="1"/>
  <c r="H266" i="5"/>
  <c r="G273" i="5"/>
  <c r="N273" i="5" s="1"/>
  <c r="F363" i="5"/>
  <c r="H303" i="5"/>
  <c r="O303" i="5" s="1"/>
  <c r="H318" i="5"/>
  <c r="O318" i="5" s="1"/>
  <c r="G347" i="5"/>
  <c r="N347" i="5" s="1"/>
  <c r="G373" i="5"/>
  <c r="N373" i="5" s="1"/>
  <c r="G387" i="5"/>
  <c r="N387" i="5" s="1"/>
  <c r="H360" i="5"/>
  <c r="O360" i="5" s="1"/>
  <c r="H383" i="5"/>
  <c r="F285" i="5"/>
  <c r="H323" i="5"/>
  <c r="O323" i="5" s="1"/>
  <c r="H334" i="5"/>
  <c r="H375" i="5"/>
  <c r="H282" i="5"/>
  <c r="O282" i="5" s="1"/>
  <c r="G326" i="5"/>
  <c r="H352" i="5"/>
  <c r="O352" i="5" s="1"/>
  <c r="H270" i="5"/>
  <c r="G293" i="5"/>
  <c r="N293" i="5" s="1"/>
  <c r="G366" i="5"/>
  <c r="N366" i="5" s="1"/>
  <c r="H280" i="5"/>
  <c r="H284" i="5"/>
  <c r="G305" i="5"/>
  <c r="G336" i="5"/>
  <c r="H347" i="5"/>
  <c r="O347" i="5" s="1"/>
  <c r="G312" i="5"/>
  <c r="G344" i="5"/>
  <c r="G355" i="5"/>
  <c r="N355" i="5" s="1"/>
  <c r="G370" i="5"/>
  <c r="H299" i="5"/>
  <c r="H338" i="5"/>
  <c r="F371" i="5"/>
  <c r="F342" i="5"/>
  <c r="F332" i="5"/>
  <c r="F324" i="5"/>
  <c r="F289" i="5"/>
  <c r="F267" i="5"/>
  <c r="H99" i="5"/>
  <c r="O99" i="5" s="1"/>
  <c r="F276" i="5"/>
  <c r="G255" i="5"/>
  <c r="G73" i="5"/>
  <c r="N73" i="5" s="1"/>
  <c r="G261" i="5"/>
  <c r="N261" i="5" s="1"/>
  <c r="G87" i="5"/>
  <c r="N87" i="5" s="1"/>
  <c r="H156" i="5"/>
  <c r="F259" i="5"/>
  <c r="H251" i="5"/>
  <c r="G253" i="5"/>
  <c r="N253" i="5" s="1"/>
  <c r="H56" i="5"/>
  <c r="O56" i="5" s="1"/>
  <c r="H38" i="5"/>
  <c r="O38" i="5" s="1"/>
  <c r="H253" i="5"/>
  <c r="O253" i="5" s="1"/>
  <c r="G161" i="5"/>
  <c r="G146" i="5"/>
  <c r="G245" i="5"/>
  <c r="G154" i="5"/>
  <c r="F163" i="5"/>
  <c r="G85" i="5"/>
  <c r="N85" i="5" s="1"/>
  <c r="H33" i="5"/>
  <c r="O33" i="5" s="1"/>
  <c r="F132" i="5"/>
  <c r="G86" i="5"/>
  <c r="N86" i="5" s="1"/>
  <c r="G48" i="5"/>
  <c r="N48" i="5" s="1"/>
  <c r="G130" i="5"/>
  <c r="N130" i="5" s="1"/>
  <c r="G152" i="5"/>
  <c r="G74" i="5"/>
  <c r="N74" i="5" s="1"/>
  <c r="H131" i="5"/>
  <c r="G243" i="5"/>
  <c r="F5" i="5"/>
  <c r="G103" i="5"/>
  <c r="N103" i="5" s="1"/>
  <c r="G144" i="5"/>
  <c r="G160" i="5"/>
  <c r="N160" i="5" s="1"/>
  <c r="H102" i="5"/>
  <c r="O102" i="5" s="1"/>
  <c r="H150" i="5"/>
  <c r="O150" i="5" s="1"/>
  <c r="H241" i="5"/>
  <c r="O241" i="5" s="1"/>
  <c r="G55" i="5"/>
  <c r="N55" i="5" s="1"/>
  <c r="H22" i="5"/>
  <c r="O22" i="5" s="1"/>
  <c r="F49" i="5"/>
  <c r="G98" i="5"/>
  <c r="N98" i="5" s="1"/>
  <c r="G134" i="5"/>
  <c r="N134" i="5" s="1"/>
  <c r="G157" i="5"/>
  <c r="F18" i="5"/>
  <c r="G102" i="5"/>
  <c r="N102" i="5" s="1"/>
  <c r="G99" i="5"/>
  <c r="N99" i="5" s="1"/>
  <c r="H86" i="5"/>
  <c r="O86" i="5" s="1"/>
  <c r="H134" i="5"/>
  <c r="O134" i="5" s="1"/>
  <c r="H160" i="5"/>
  <c r="O160" i="5" s="1"/>
  <c r="H87" i="5"/>
  <c r="O87" i="5" s="1"/>
  <c r="H162" i="5"/>
  <c r="O162" i="5" s="1"/>
  <c r="G37" i="5"/>
  <c r="N37" i="5" s="1"/>
  <c r="H112" i="5"/>
  <c r="G140" i="5"/>
  <c r="N140" i="5" s="1"/>
  <c r="G162" i="5"/>
  <c r="N162" i="5" s="1"/>
  <c r="G247" i="5"/>
  <c r="N247" i="5" s="1"/>
  <c r="H98" i="5"/>
  <c r="O98" i="5" s="1"/>
  <c r="H65" i="5"/>
  <c r="O65" i="5" s="1"/>
  <c r="H74" i="5"/>
  <c r="O74" i="5" s="1"/>
  <c r="H47" i="5"/>
  <c r="O47" i="5" s="1"/>
  <c r="H73" i="5"/>
  <c r="O73" i="5" s="1"/>
  <c r="G118" i="5"/>
  <c r="H140" i="5"/>
  <c r="O140" i="5" s="1"/>
  <c r="H148" i="5"/>
  <c r="O148" i="5" s="1"/>
  <c r="H165" i="5"/>
  <c r="H247" i="5"/>
  <c r="O247" i="5" s="1"/>
  <c r="H136" i="5"/>
  <c r="F10" i="5"/>
  <c r="K102" i="5"/>
  <c r="G148" i="5"/>
  <c r="N148" i="5" s="1"/>
  <c r="G21" i="5"/>
  <c r="N21" i="5" s="1"/>
  <c r="F75" i="5"/>
  <c r="H48" i="5"/>
  <c r="O48" i="5" s="1"/>
  <c r="G131" i="5"/>
  <c r="N131" i="5" s="1"/>
  <c r="G142" i="5"/>
  <c r="G150" i="5"/>
  <c r="N150" i="5" s="1"/>
  <c r="G249" i="5"/>
  <c r="N249" i="5" s="1"/>
  <c r="F158" i="5"/>
  <c r="H138" i="5"/>
  <c r="G20" i="5"/>
  <c r="N20" i="5" s="1"/>
  <c r="F39" i="5"/>
  <c r="G38" i="5"/>
  <c r="N38" i="5" s="1"/>
  <c r="G56" i="5"/>
  <c r="N56" i="5" s="1"/>
  <c r="G9" i="5"/>
  <c r="N9" i="5" s="1"/>
  <c r="G126" i="5"/>
  <c r="H114" i="5"/>
  <c r="K103" i="5"/>
  <c r="H55" i="5"/>
  <c r="O55" i="5" s="1"/>
  <c r="G33" i="5"/>
  <c r="N33" i="5" s="1"/>
  <c r="H21" i="5"/>
  <c r="O21" i="5" s="1"/>
  <c r="G34" i="5"/>
  <c r="N34" i="5" s="1"/>
  <c r="F57" i="5"/>
  <c r="F67" i="5"/>
  <c r="G65" i="5"/>
  <c r="N65" i="5" s="1"/>
  <c r="F88" i="5"/>
  <c r="H85" i="5"/>
  <c r="O85" i="5" s="1"/>
  <c r="G127" i="5"/>
  <c r="N127" i="5" s="1"/>
  <c r="F23" i="5"/>
  <c r="F104" i="5"/>
  <c r="H37" i="5"/>
  <c r="O37" i="5" s="1"/>
  <c r="H103" i="5"/>
  <c r="O103" i="5" s="1"/>
  <c r="G16" i="5"/>
  <c r="N16" i="5" s="1"/>
  <c r="H20" i="5"/>
  <c r="O20" i="5" s="1"/>
  <c r="G66" i="5"/>
  <c r="N66" i="5" s="1"/>
  <c r="F100" i="5"/>
  <c r="F128" i="5"/>
  <c r="H127" i="5"/>
  <c r="F35" i="5"/>
  <c r="G22" i="5"/>
  <c r="N22" i="5" s="1"/>
  <c r="H17" i="5"/>
  <c r="O17" i="5" s="1"/>
  <c r="H4" i="5"/>
  <c r="O4" i="5" s="1"/>
  <c r="G17" i="5"/>
  <c r="N17" i="5" s="1"/>
  <c r="G7" i="5"/>
  <c r="N7" i="5" s="1"/>
  <c r="H8" i="5"/>
  <c r="O8" i="5" s="1"/>
  <c r="H2" i="5"/>
  <c r="O2" i="5" s="1"/>
  <c r="H16" i="5"/>
  <c r="O16" i="5" s="1"/>
  <c r="G8" i="5"/>
  <c r="N8" i="5" s="1"/>
  <c r="H7" i="5"/>
  <c r="O7" i="5" s="1"/>
  <c r="G2" i="5"/>
  <c r="N2" i="5" s="1"/>
  <c r="G4" i="5"/>
  <c r="N4" i="5" s="1"/>
  <c r="H9" i="5"/>
  <c r="O9" i="5" s="1"/>
  <c r="H3" i="5"/>
  <c r="O3" i="5" s="1"/>
  <c r="G3" i="5"/>
  <c r="N3" i="5" s="1"/>
  <c r="Y26" i="14"/>
  <c r="Y42" i="14"/>
  <c r="Y59" i="14"/>
  <c r="H9" i="14"/>
  <c r="Y20" i="14"/>
  <c r="H3" i="14"/>
  <c r="H6" i="14"/>
  <c r="Y12" i="14"/>
  <c r="Y29" i="14"/>
  <c r="Y36" i="14"/>
  <c r="Y45" i="14"/>
  <c r="Y80" i="14"/>
  <c r="T3" i="14"/>
  <c r="G5" i="14"/>
  <c r="H8" i="14"/>
  <c r="H10" i="14"/>
  <c r="G11" i="14"/>
  <c r="G8" i="14"/>
  <c r="Y50" i="14"/>
  <c r="H4" i="14"/>
  <c r="H5" i="14"/>
  <c r="H7" i="14"/>
  <c r="Y28" i="14"/>
  <c r="Y44" i="14"/>
  <c r="Y54" i="14"/>
  <c r="Y61" i="14"/>
  <c r="H128" i="5" l="1"/>
  <c r="O127" i="5"/>
  <c r="L136" i="5"/>
  <c r="O136" i="5"/>
  <c r="L251" i="5"/>
  <c r="O251" i="5"/>
  <c r="L299" i="5"/>
  <c r="O299" i="5"/>
  <c r="L284" i="5"/>
  <c r="O284" i="5"/>
  <c r="L375" i="5"/>
  <c r="O375" i="5"/>
  <c r="L361" i="5"/>
  <c r="O361" i="5"/>
  <c r="L331" i="5"/>
  <c r="O331" i="5"/>
  <c r="L338" i="5"/>
  <c r="O338" i="5"/>
  <c r="L359" i="5"/>
  <c r="O359" i="5"/>
  <c r="L280" i="5"/>
  <c r="O280" i="5"/>
  <c r="L334" i="5"/>
  <c r="O334" i="5"/>
  <c r="L165" i="5"/>
  <c r="O165" i="5"/>
  <c r="L156" i="5"/>
  <c r="O156" i="5"/>
  <c r="L295" i="5"/>
  <c r="O295" i="5"/>
  <c r="L283" i="5"/>
  <c r="O283" i="5"/>
  <c r="L275" i="5"/>
  <c r="O275" i="5"/>
  <c r="L291" i="5"/>
  <c r="O291" i="5"/>
  <c r="L378" i="5"/>
  <c r="O378" i="5"/>
  <c r="L138" i="5"/>
  <c r="O138" i="5"/>
  <c r="L270" i="5"/>
  <c r="O270" i="5"/>
  <c r="H385" i="5"/>
  <c r="O383" i="5"/>
  <c r="L266" i="5"/>
  <c r="O266" i="5"/>
  <c r="L381" i="5"/>
  <c r="O381" i="5"/>
  <c r="L114" i="5"/>
  <c r="O114" i="5"/>
  <c r="L112" i="5"/>
  <c r="O112" i="5"/>
  <c r="H132" i="5"/>
  <c r="O131" i="5"/>
  <c r="L274" i="5"/>
  <c r="O274" i="5"/>
  <c r="L142" i="5"/>
  <c r="N142" i="5"/>
  <c r="G158" i="5"/>
  <c r="N157" i="5"/>
  <c r="L152" i="5"/>
  <c r="N152" i="5"/>
  <c r="L154" i="5"/>
  <c r="N154" i="5"/>
  <c r="L288" i="5"/>
  <c r="N288" i="5"/>
  <c r="L278" i="5"/>
  <c r="N278" i="5"/>
  <c r="L245" i="5"/>
  <c r="N245" i="5"/>
  <c r="L370" i="5"/>
  <c r="N370" i="5"/>
  <c r="L316" i="5"/>
  <c r="N316" i="5"/>
  <c r="L297" i="5"/>
  <c r="N297" i="5"/>
  <c r="L328" i="5"/>
  <c r="N328" i="5"/>
  <c r="L144" i="5"/>
  <c r="N144" i="5"/>
  <c r="L146" i="5"/>
  <c r="N146" i="5"/>
  <c r="L358" i="5"/>
  <c r="N358" i="5"/>
  <c r="L320" i="5"/>
  <c r="N320" i="5"/>
  <c r="L301" i="5"/>
  <c r="N301" i="5"/>
  <c r="L161" i="5"/>
  <c r="N161" i="5"/>
  <c r="L344" i="5"/>
  <c r="N344" i="5"/>
  <c r="L341" i="5"/>
  <c r="N341" i="5"/>
  <c r="L312" i="5"/>
  <c r="N312" i="5"/>
  <c r="L258" i="5"/>
  <c r="N258" i="5"/>
  <c r="L118" i="5"/>
  <c r="N118" i="5"/>
  <c r="L243" i="5"/>
  <c r="N243" i="5"/>
  <c r="L308" i="5"/>
  <c r="N308" i="5"/>
  <c r="L356" i="5"/>
  <c r="N356" i="5"/>
  <c r="L305" i="5"/>
  <c r="N305" i="5"/>
  <c r="L126" i="5"/>
  <c r="N126" i="5"/>
  <c r="L255" i="5"/>
  <c r="N255" i="5"/>
  <c r="L336" i="5"/>
  <c r="N336" i="5"/>
  <c r="L326" i="5"/>
  <c r="N326" i="5"/>
  <c r="L384" i="5"/>
  <c r="N384" i="5"/>
  <c r="L362" i="5"/>
  <c r="N362" i="5"/>
  <c r="H67" i="5"/>
  <c r="L66" i="5"/>
  <c r="L167" i="5"/>
  <c r="L231" i="5"/>
  <c r="K121" i="14"/>
  <c r="X79" i="14"/>
  <c r="Y79" i="14" s="1"/>
  <c r="K118" i="14"/>
  <c r="X86" i="14"/>
  <c r="AA89" i="14" s="1"/>
  <c r="X49" i="14"/>
  <c r="Y49" i="14" s="1"/>
  <c r="X120" i="14"/>
  <c r="K115" i="14"/>
  <c r="X69" i="14"/>
  <c r="Y69" i="14" s="1"/>
  <c r="L313" i="5"/>
  <c r="L239" i="5"/>
  <c r="L215" i="5"/>
  <c r="L209" i="5"/>
  <c r="L185" i="5"/>
  <c r="K324" i="5"/>
  <c r="L171" i="5"/>
  <c r="L183" i="5"/>
  <c r="K90" i="14"/>
  <c r="X73" i="14"/>
  <c r="Y73" i="14" s="1"/>
  <c r="X96" i="14"/>
  <c r="AA91" i="14" s="1"/>
  <c r="X107" i="14"/>
  <c r="Y107" i="14" s="1"/>
  <c r="K10" i="14"/>
  <c r="Y10" i="14" s="1"/>
  <c r="X106" i="14"/>
  <c r="K82" i="14"/>
  <c r="K7" i="14"/>
  <c r="Y7" i="14" s="1"/>
  <c r="K6" i="14"/>
  <c r="Y6" i="14" s="1"/>
  <c r="X92" i="14"/>
  <c r="X102" i="14"/>
  <c r="K100" i="14"/>
  <c r="K102" i="14"/>
  <c r="K109" i="14"/>
  <c r="K91" i="14"/>
  <c r="X108" i="14"/>
  <c r="Y108" i="14" s="1"/>
  <c r="K101" i="14"/>
  <c r="K110" i="14"/>
  <c r="X100" i="14"/>
  <c r="K3" i="14"/>
  <c r="K93" i="14"/>
  <c r="K95" i="14"/>
  <c r="K119" i="14"/>
  <c r="X109" i="14"/>
  <c r="X3" i="14"/>
  <c r="K8" i="14"/>
  <c r="Y8" i="14" s="1"/>
  <c r="K114" i="14"/>
  <c r="X101" i="14"/>
  <c r="X89" i="14"/>
  <c r="X123" i="14"/>
  <c r="K112" i="14"/>
  <c r="X82" i="14"/>
  <c r="K96" i="14"/>
  <c r="K4" i="14"/>
  <c r="Y4" i="14" s="1"/>
  <c r="K103" i="14"/>
  <c r="K94" i="14"/>
  <c r="K9" i="14"/>
  <c r="Y9" i="14" s="1"/>
  <c r="K11" i="14"/>
  <c r="Y11" i="14" s="1"/>
  <c r="K111" i="14"/>
  <c r="K87" i="14"/>
  <c r="K116" i="14"/>
  <c r="X115" i="14"/>
  <c r="K89" i="14"/>
  <c r="K106" i="14"/>
  <c r="X105" i="14"/>
  <c r="K88" i="14"/>
  <c r="X112" i="14"/>
  <c r="K86" i="14"/>
  <c r="K120" i="14"/>
  <c r="X118" i="14"/>
  <c r="X98" i="14"/>
  <c r="K99" i="14"/>
  <c r="X117" i="14"/>
  <c r="X93" i="14"/>
  <c r="K129" i="14"/>
  <c r="K124" i="14"/>
  <c r="Y124" i="14" s="1"/>
  <c r="K123" i="14"/>
  <c r="K113" i="14"/>
  <c r="K126" i="14"/>
  <c r="K92" i="14"/>
  <c r="K98" i="14"/>
  <c r="K104" i="14"/>
  <c r="X87" i="14"/>
  <c r="K105" i="14"/>
  <c r="K5" i="14"/>
  <c r="Y5" i="14" s="1"/>
  <c r="X103" i="14"/>
  <c r="X94" i="14"/>
  <c r="K132" i="14"/>
  <c r="K97" i="14"/>
  <c r="K130" i="14"/>
  <c r="K2" i="14"/>
  <c r="Y2" i="14" s="1"/>
  <c r="K117" i="14"/>
  <c r="X99" i="14"/>
  <c r="X90" i="14"/>
  <c r="AB82" i="14"/>
  <c r="X91" i="14"/>
  <c r="X83" i="14"/>
  <c r="W133" i="13"/>
  <c r="W137" i="13"/>
  <c r="L225" i="5"/>
  <c r="H349" i="5"/>
  <c r="L205" i="5"/>
  <c r="L213" i="5"/>
  <c r="L347" i="5"/>
  <c r="L366" i="5"/>
  <c r="L175" i="5"/>
  <c r="L191" i="5"/>
  <c r="L229" i="5"/>
  <c r="L34" i="5"/>
  <c r="L237" i="5"/>
  <c r="L345" i="5"/>
  <c r="L177" i="5"/>
  <c r="L179" i="5"/>
  <c r="L235" i="5"/>
  <c r="L195" i="5"/>
  <c r="L181" i="5"/>
  <c r="L193" i="5"/>
  <c r="L197" i="5"/>
  <c r="L219" i="5"/>
  <c r="L211" i="5"/>
  <c r="L199" i="5"/>
  <c r="H39" i="5"/>
  <c r="L187" i="5"/>
  <c r="L227" i="5"/>
  <c r="L207" i="5"/>
  <c r="L221" i="5"/>
  <c r="L203" i="5"/>
  <c r="L223" i="5"/>
  <c r="L217" i="5"/>
  <c r="L201" i="5"/>
  <c r="L56" i="5"/>
  <c r="L293" i="5"/>
  <c r="L348" i="5"/>
  <c r="L318" i="5"/>
  <c r="L173" i="5"/>
  <c r="G75" i="5"/>
  <c r="L131" i="5"/>
  <c r="H100" i="5"/>
  <c r="G49" i="5"/>
  <c r="H158" i="5"/>
  <c r="H35" i="5"/>
  <c r="H363" i="5"/>
  <c r="L303" i="5"/>
  <c r="L346" i="5"/>
  <c r="X88" i="14"/>
  <c r="X121" i="14"/>
  <c r="X110" i="14"/>
  <c r="X104" i="14"/>
  <c r="X132" i="14"/>
  <c r="X130" i="14"/>
  <c r="X126" i="14"/>
  <c r="X119" i="14"/>
  <c r="X114" i="14"/>
  <c r="X116" i="14"/>
  <c r="X111" i="14"/>
  <c r="X129" i="14"/>
  <c r="K349" i="5"/>
  <c r="L4" i="5"/>
  <c r="L387" i="5"/>
  <c r="L323" i="5"/>
  <c r="L360" i="5"/>
  <c r="L383" i="5"/>
  <c r="L373" i="5"/>
  <c r="G363" i="5"/>
  <c r="L352" i="5"/>
  <c r="L261" i="5"/>
  <c r="L355" i="5"/>
  <c r="L263" i="5"/>
  <c r="L189" i="5"/>
  <c r="G349" i="5"/>
  <c r="H75" i="5"/>
  <c r="G385" i="5"/>
  <c r="L157" i="5"/>
  <c r="L158" i="5" s="1"/>
  <c r="L47" i="5"/>
  <c r="H309" i="5"/>
  <c r="G309" i="5"/>
  <c r="H267" i="5"/>
  <c r="G267" i="5"/>
  <c r="L74" i="5"/>
  <c r="L99" i="5"/>
  <c r="H367" i="5"/>
  <c r="G367" i="5"/>
  <c r="H379" i="5"/>
  <c r="G379" i="5"/>
  <c r="H289" i="5"/>
  <c r="G289" i="5"/>
  <c r="H314" i="5"/>
  <c r="G314" i="5"/>
  <c r="H371" i="5"/>
  <c r="G371" i="5"/>
  <c r="H332" i="5"/>
  <c r="G332" i="5"/>
  <c r="G271" i="5"/>
  <c r="H276" i="5"/>
  <c r="G276" i="5"/>
  <c r="L273" i="5"/>
  <c r="L276" i="5" s="1"/>
  <c r="H57" i="5"/>
  <c r="L150" i="5"/>
  <c r="L87" i="5"/>
  <c r="H285" i="5"/>
  <c r="G285" i="5"/>
  <c r="L253" i="5"/>
  <c r="G353" i="5"/>
  <c r="H324" i="5"/>
  <c r="G324" i="5"/>
  <c r="H342" i="5"/>
  <c r="G342" i="5"/>
  <c r="L21" i="5"/>
  <c r="L86" i="5"/>
  <c r="G100" i="5"/>
  <c r="G39" i="5"/>
  <c r="L140" i="5"/>
  <c r="L241" i="5"/>
  <c r="H259" i="5"/>
  <c r="G259" i="5"/>
  <c r="G57" i="5"/>
  <c r="L103" i="5"/>
  <c r="L249" i="5"/>
  <c r="L127" i="5"/>
  <c r="L128" i="5" s="1"/>
  <c r="G88" i="5"/>
  <c r="L247" i="5"/>
  <c r="L169" i="5"/>
  <c r="H23" i="5"/>
  <c r="L85" i="5"/>
  <c r="L311" i="5"/>
  <c r="L37" i="5"/>
  <c r="L148" i="5"/>
  <c r="L134" i="5"/>
  <c r="L38" i="5"/>
  <c r="G23" i="5"/>
  <c r="G132" i="5"/>
  <c r="L102" i="5"/>
  <c r="L330" i="5"/>
  <c r="L332" i="5" s="1"/>
  <c r="L48" i="5"/>
  <c r="H163" i="5"/>
  <c r="H104" i="5"/>
  <c r="G163" i="5"/>
  <c r="L282" i="5"/>
  <c r="L285" i="5" s="1"/>
  <c r="H49" i="5"/>
  <c r="K104" i="5"/>
  <c r="G104" i="5"/>
  <c r="L9" i="5"/>
  <c r="L233" i="5"/>
  <c r="L162" i="5"/>
  <c r="L357" i="5"/>
  <c r="G67" i="5"/>
  <c r="G35" i="5"/>
  <c r="G18" i="5"/>
  <c r="L2" i="5"/>
  <c r="G5" i="5"/>
  <c r="G10" i="5"/>
  <c r="L160" i="5"/>
  <c r="L65" i="5"/>
  <c r="H88" i="5"/>
  <c r="L3" i="5"/>
  <c r="H18" i="5"/>
  <c r="L287" i="5"/>
  <c r="L289" i="5" s="1"/>
  <c r="L7" i="5"/>
  <c r="H10" i="5"/>
  <c r="H5" i="5"/>
  <c r="L33" i="5"/>
  <c r="G128" i="5"/>
  <c r="L130" i="5"/>
  <c r="L98" i="5"/>
  <c r="L73" i="5"/>
  <c r="L55" i="5"/>
  <c r="L16" i="5"/>
  <c r="L17" i="5"/>
  <c r="L8" i="5"/>
  <c r="L22" i="5"/>
  <c r="L20" i="5"/>
  <c r="L163" i="5" l="1"/>
  <c r="L385" i="5"/>
  <c r="L67" i="5"/>
  <c r="Y122" i="14"/>
  <c r="Y118" i="14"/>
  <c r="Y86" i="14"/>
  <c r="Y120" i="14"/>
  <c r="L314" i="5"/>
  <c r="Y111" i="14"/>
  <c r="Y112" i="14"/>
  <c r="Y115" i="14"/>
  <c r="Y3" i="14"/>
  <c r="AB80" i="14" s="1"/>
  <c r="AB79" i="14" s="1"/>
  <c r="Y90" i="14"/>
  <c r="Y103" i="14"/>
  <c r="Y87" i="14"/>
  <c r="Y93" i="14"/>
  <c r="Y132" i="14"/>
  <c r="Y89" i="14"/>
  <c r="Y96" i="14"/>
  <c r="Y97" i="14"/>
  <c r="Y129" i="14"/>
  <c r="Y91" i="14"/>
  <c r="Y82" i="14"/>
  <c r="AD82" i="14" s="1"/>
  <c r="Y116" i="14"/>
  <c r="Y104" i="14"/>
  <c r="Y119" i="14"/>
  <c r="Y106" i="14"/>
  <c r="Y101" i="14"/>
  <c r="Y100" i="14"/>
  <c r="Y102" i="14"/>
  <c r="Y109" i="14"/>
  <c r="Y110" i="14"/>
  <c r="Y123" i="14"/>
  <c r="Y92" i="14"/>
  <c r="Y99" i="14"/>
  <c r="Y95" i="14"/>
  <c r="Y88" i="14"/>
  <c r="Y98" i="14"/>
  <c r="Y105" i="14"/>
  <c r="Y117" i="14"/>
  <c r="Y114" i="14"/>
  <c r="Y94" i="14"/>
  <c r="Y126" i="14"/>
  <c r="AA93" i="14"/>
  <c r="Y130" i="14"/>
  <c r="Y113" i="14"/>
  <c r="AA95" i="14"/>
  <c r="Y83" i="14"/>
  <c r="AD80" i="14" s="1"/>
  <c r="L35" i="5"/>
  <c r="L57" i="5"/>
  <c r="L349" i="5"/>
  <c r="L132" i="5"/>
  <c r="L363" i="5"/>
  <c r="L39" i="5"/>
  <c r="L49" i="5"/>
  <c r="L88" i="5"/>
  <c r="L307" i="5"/>
  <c r="L309" i="5" s="1"/>
  <c r="L340" i="5"/>
  <c r="L342" i="5" s="1"/>
  <c r="L322" i="5"/>
  <c r="L324" i="5" s="1"/>
  <c r="L265" i="5"/>
  <c r="L267" i="5" s="1"/>
  <c r="L377" i="5"/>
  <c r="L379" i="5" s="1"/>
  <c r="L365" i="5"/>
  <c r="L367" i="5" s="1"/>
  <c r="H271" i="5"/>
  <c r="L269" i="5"/>
  <c r="L271" i="5" s="1"/>
  <c r="L75" i="5"/>
  <c r="L100" i="5"/>
  <c r="L369" i="5"/>
  <c r="L371" i="5" s="1"/>
  <c r="H353" i="5"/>
  <c r="L351" i="5"/>
  <c r="L353" i="5" s="1"/>
  <c r="L257" i="5"/>
  <c r="L259" i="5" s="1"/>
  <c r="L104" i="5"/>
  <c r="L23" i="5"/>
  <c r="L10" i="5"/>
  <c r="L18" i="5"/>
  <c r="L5" i="5"/>
  <c r="AD79" i="14" l="1"/>
  <c r="AA85" i="14" s="1"/>
  <c r="AD111" i="14"/>
  <c r="AB111" i="14"/>
  <c r="AB110" i="14" s="1"/>
  <c r="AD112" i="14"/>
  <c r="AD110" i="14" l="1"/>
  <c r="AA116" i="14" s="1"/>
  <c r="AA119" i="14" s="1"/>
  <c r="D105" i="7"/>
  <c r="D103" i="7"/>
  <c r="D101" i="7"/>
  <c r="D95" i="7"/>
  <c r="X137" i="13" l="1"/>
  <c r="X133" i="13"/>
  <c r="X129" i="13"/>
  <c r="X124" i="13"/>
  <c r="X120" i="13"/>
  <c r="X116" i="13"/>
  <c r="X112" i="13"/>
  <c r="X106" i="13"/>
  <c r="X102" i="13"/>
  <c r="X98" i="13"/>
  <c r="X92" i="13"/>
  <c r="X83" i="13"/>
  <c r="X78" i="13"/>
  <c r="X74" i="13"/>
  <c r="X70" i="13"/>
  <c r="X66" i="13"/>
  <c r="X62" i="13"/>
  <c r="X56" i="13"/>
  <c r="X48" i="13"/>
  <c r="X42" i="13"/>
  <c r="X38" i="13"/>
  <c r="X33" i="13"/>
  <c r="X28" i="13"/>
  <c r="X20" i="13"/>
  <c r="X12" i="13"/>
  <c r="X7" i="13"/>
  <c r="D93" i="7"/>
  <c r="D91" i="7"/>
  <c r="D89" i="7"/>
  <c r="D87" i="7"/>
  <c r="D85" i="7"/>
  <c r="D83" i="7"/>
  <c r="D81" i="7"/>
  <c r="D79" i="7"/>
  <c r="D77" i="7"/>
  <c r="D75" i="7"/>
  <c r="D71" i="7"/>
  <c r="D68" i="7"/>
  <c r="D64" i="7"/>
  <c r="D60" i="7"/>
  <c r="D57" i="7"/>
  <c r="D55" i="7"/>
  <c r="D53" i="7"/>
  <c r="D50" i="7"/>
  <c r="D48" i="7"/>
  <c r="D45" i="7"/>
  <c r="D43" i="7"/>
  <c r="D40" i="7"/>
  <c r="D38" i="7"/>
  <c r="D36" i="7"/>
  <c r="D33" i="7"/>
  <c r="D28" i="7"/>
  <c r="D26" i="7"/>
  <c r="D23" i="7"/>
  <c r="D19" i="7"/>
  <c r="D17" i="7"/>
  <c r="D5" i="7"/>
  <c r="D13" i="7"/>
  <c r="D3" i="7"/>
  <c r="V7" i="13"/>
  <c r="V12" i="13"/>
  <c r="V20" i="13"/>
  <c r="V33" i="13"/>
  <c r="V38" i="13"/>
  <c r="V42" i="13"/>
  <c r="V48" i="13"/>
  <c r="V66" i="13"/>
  <c r="V70" i="13"/>
  <c r="V74" i="13"/>
  <c r="V78" i="13"/>
  <c r="V83" i="13"/>
  <c r="V92" i="13"/>
  <c r="V98" i="13"/>
  <c r="V102" i="13"/>
  <c r="V106" i="13"/>
  <c r="V112" i="13"/>
  <c r="V116" i="13"/>
  <c r="V120" i="13"/>
  <c r="V124" i="13"/>
  <c r="V129" i="13"/>
  <c r="V133" i="13"/>
  <c r="V137" i="13"/>
  <c r="D46" i="9"/>
  <c r="X144" i="13" l="1"/>
  <c r="Y144" i="13" s="1"/>
  <c r="Z144" i="13" s="1"/>
  <c r="AA144" i="13" s="1"/>
  <c r="AB144" i="13" s="1"/>
  <c r="X146" i="13"/>
  <c r="Y146" i="13" s="1"/>
  <c r="Z146" i="13" s="1"/>
  <c r="AA146" i="13" s="1"/>
  <c r="AB146" i="13" s="1"/>
  <c r="X143" i="13"/>
  <c r="Y143" i="13" s="1"/>
  <c r="Z143" i="13" s="1"/>
  <c r="AA143" i="13" s="1"/>
  <c r="AB143" i="13" s="1"/>
  <c r="X145" i="13"/>
  <c r="Y145" i="13" s="1"/>
  <c r="Z145" i="13" s="1"/>
  <c r="AA145" i="13" s="1"/>
  <c r="AB145" i="13" s="1"/>
  <c r="X142" i="13"/>
  <c r="Y142" i="13" s="1"/>
  <c r="Z142" i="13" s="1"/>
  <c r="AA142" i="13" s="1"/>
  <c r="AB142" i="13" s="1"/>
  <c r="X147" i="13"/>
  <c r="Y147" i="13" s="1"/>
  <c r="Z147" i="13" s="1"/>
  <c r="AA147" i="13" s="1"/>
  <c r="AB147" i="13" s="1"/>
  <c r="Q4" i="13"/>
  <c r="W4" i="13" s="1"/>
  <c r="Y4" i="13" s="1"/>
  <c r="Q5" i="13"/>
  <c r="Q6" i="13"/>
  <c r="W6" i="13" s="1"/>
  <c r="Y6" i="13" s="1"/>
  <c r="Q10" i="13"/>
  <c r="W10" i="13" s="1"/>
  <c r="Q11" i="13"/>
  <c r="W11" i="13" s="1"/>
  <c r="Q15" i="13"/>
  <c r="W15" i="13" s="1"/>
  <c r="Q16" i="13"/>
  <c r="Q17" i="13"/>
  <c r="Q18" i="13"/>
  <c r="W18" i="13" s="1"/>
  <c r="Q19" i="13"/>
  <c r="W19" i="13" s="1"/>
  <c r="Q23" i="13"/>
  <c r="Q25" i="13"/>
  <c r="W25" i="13" s="1"/>
  <c r="Q24" i="13"/>
  <c r="Q26" i="13"/>
  <c r="W26" i="13" s="1"/>
  <c r="Q27" i="13"/>
  <c r="W27" i="13" s="1"/>
  <c r="Q31" i="13"/>
  <c r="W31" i="13" s="1"/>
  <c r="Q32" i="13"/>
  <c r="W32" i="13" s="1"/>
  <c r="Q36" i="13"/>
  <c r="W36" i="13" s="1"/>
  <c r="Q37" i="13"/>
  <c r="W37" i="13" s="1"/>
  <c r="Q41" i="13"/>
  <c r="W41" i="13" s="1"/>
  <c r="Q45" i="13"/>
  <c r="Q46" i="13"/>
  <c r="Q47" i="13"/>
  <c r="Q51" i="13"/>
  <c r="W51" i="13" s="1"/>
  <c r="Q52" i="13"/>
  <c r="W52" i="13" s="1"/>
  <c r="Q53" i="13"/>
  <c r="Q54" i="13"/>
  <c r="Q55" i="13"/>
  <c r="Q59" i="13"/>
  <c r="Q60" i="13"/>
  <c r="Q61" i="13"/>
  <c r="W61" i="13" s="1"/>
  <c r="Q65" i="13"/>
  <c r="Q69" i="13"/>
  <c r="Q73" i="13"/>
  <c r="Q77" i="13"/>
  <c r="Q81" i="13"/>
  <c r="W81" i="13" s="1"/>
  <c r="Q82" i="13"/>
  <c r="W82" i="13" s="1"/>
  <c r="Q86" i="13"/>
  <c r="Q87" i="13"/>
  <c r="Q88" i="13"/>
  <c r="Q89" i="13"/>
  <c r="Q90" i="13"/>
  <c r="Q91" i="13"/>
  <c r="Q95" i="13"/>
  <c r="Q96" i="13"/>
  <c r="Q97" i="13"/>
  <c r="Q101" i="13"/>
  <c r="Q105" i="13"/>
  <c r="Q109" i="13"/>
  <c r="Q110" i="13"/>
  <c r="Q111" i="13"/>
  <c r="Q115" i="13"/>
  <c r="Q119" i="13"/>
  <c r="Q123" i="13"/>
  <c r="Q127" i="13"/>
  <c r="Q128" i="13"/>
  <c r="Q133" i="13"/>
  <c r="E10" i="13"/>
  <c r="E11" i="13"/>
  <c r="J11" i="13" s="1"/>
  <c r="E15" i="13"/>
  <c r="E16" i="13"/>
  <c r="J16" i="13" s="1"/>
  <c r="E17" i="13"/>
  <c r="J17" i="13" s="1"/>
  <c r="E18" i="13"/>
  <c r="J18" i="13" s="1"/>
  <c r="E19" i="13"/>
  <c r="J19" i="13" s="1"/>
  <c r="E23" i="13"/>
  <c r="E24" i="13"/>
  <c r="J24" i="13" s="1"/>
  <c r="E25" i="13"/>
  <c r="J25" i="13" s="1"/>
  <c r="E26" i="13"/>
  <c r="J26" i="13" s="1"/>
  <c r="E27" i="13"/>
  <c r="J27" i="13" s="1"/>
  <c r="E31" i="13"/>
  <c r="E32" i="13"/>
  <c r="J32" i="13" s="1"/>
  <c r="E36" i="13"/>
  <c r="E37" i="13"/>
  <c r="J37" i="13" s="1"/>
  <c r="E41" i="13"/>
  <c r="E45" i="13"/>
  <c r="E46" i="13"/>
  <c r="J46" i="13" s="1"/>
  <c r="E47" i="13"/>
  <c r="J47" i="13" s="1"/>
  <c r="E51" i="13"/>
  <c r="E52" i="13"/>
  <c r="J52" i="13" s="1"/>
  <c r="E53" i="13"/>
  <c r="J53" i="13" s="1"/>
  <c r="E54" i="13"/>
  <c r="J54" i="13" s="1"/>
  <c r="E55" i="13"/>
  <c r="J55" i="13" s="1"/>
  <c r="E59" i="13"/>
  <c r="E60" i="13"/>
  <c r="J60" i="13" s="1"/>
  <c r="E61" i="13"/>
  <c r="J61" i="13" s="1"/>
  <c r="E65" i="13"/>
  <c r="E69" i="13"/>
  <c r="E73" i="13"/>
  <c r="E77" i="13"/>
  <c r="E81" i="13"/>
  <c r="E82" i="13"/>
  <c r="E86" i="13"/>
  <c r="E87" i="13"/>
  <c r="E88" i="13"/>
  <c r="E89" i="13"/>
  <c r="E90" i="13"/>
  <c r="E91" i="13"/>
  <c r="E95" i="13"/>
  <c r="E96" i="13"/>
  <c r="E97" i="13"/>
  <c r="E101" i="13"/>
  <c r="E105" i="13"/>
  <c r="E109" i="13"/>
  <c r="E110" i="13"/>
  <c r="E111" i="13"/>
  <c r="E115" i="13"/>
  <c r="E119" i="13"/>
  <c r="E123" i="13"/>
  <c r="E127" i="13"/>
  <c r="J132" i="13"/>
  <c r="Y132" i="13" s="1"/>
  <c r="E136" i="13"/>
  <c r="Y141" i="13" l="1"/>
  <c r="X148" i="13"/>
  <c r="Y61" i="13"/>
  <c r="Y27" i="13"/>
  <c r="Y26" i="13"/>
  <c r="Y11" i="13"/>
  <c r="Y25" i="13"/>
  <c r="Y19" i="13"/>
  <c r="R123" i="13"/>
  <c r="R124" i="13" s="1"/>
  <c r="S123" i="13"/>
  <c r="S124" i="13" s="1"/>
  <c r="S86" i="13"/>
  <c r="R86" i="13"/>
  <c r="S60" i="13"/>
  <c r="R60" i="13"/>
  <c r="S55" i="13"/>
  <c r="R55" i="13"/>
  <c r="Q70" i="13"/>
  <c r="Z69" i="13" s="1"/>
  <c r="Z70" i="13" s="1"/>
  <c r="S69" i="13"/>
  <c r="S70" i="13" s="1"/>
  <c r="R69" i="13"/>
  <c r="R70" i="13" s="1"/>
  <c r="S128" i="13"/>
  <c r="R128" i="13"/>
  <c r="S105" i="13"/>
  <c r="S106" i="13" s="1"/>
  <c r="R105" i="13"/>
  <c r="R106" i="13" s="1"/>
  <c r="S88" i="13"/>
  <c r="R88" i="13"/>
  <c r="S65" i="13"/>
  <c r="S66" i="13" s="1"/>
  <c r="R65" i="13"/>
  <c r="R66" i="13" s="1"/>
  <c r="S17" i="13"/>
  <c r="R17" i="13"/>
  <c r="R87" i="13"/>
  <c r="S87" i="13"/>
  <c r="S16" i="13"/>
  <c r="R16" i="13"/>
  <c r="S96" i="13"/>
  <c r="R96" i="13"/>
  <c r="S59" i="13"/>
  <c r="R59" i="13"/>
  <c r="S111" i="13"/>
  <c r="R111" i="13"/>
  <c r="R91" i="13"/>
  <c r="S91" i="13"/>
  <c r="R77" i="13"/>
  <c r="R78" i="13" s="1"/>
  <c r="S77" i="13"/>
  <c r="S78" i="13" s="1"/>
  <c r="R54" i="13"/>
  <c r="S54" i="13"/>
  <c r="V54" i="13"/>
  <c r="Y37" i="13"/>
  <c r="S23" i="13"/>
  <c r="R23" i="13"/>
  <c r="R127" i="13"/>
  <c r="S127" i="13"/>
  <c r="S101" i="13"/>
  <c r="S102" i="13" s="1"/>
  <c r="R101" i="13"/>
  <c r="R102" i="13" s="1"/>
  <c r="R47" i="13"/>
  <c r="S47" i="13"/>
  <c r="S97" i="13"/>
  <c r="R97" i="13"/>
  <c r="S46" i="13"/>
  <c r="R46" i="13"/>
  <c r="S24" i="13"/>
  <c r="R24" i="13"/>
  <c r="R115" i="13"/>
  <c r="R116" i="13" s="1"/>
  <c r="S115" i="13"/>
  <c r="S116" i="13" s="1"/>
  <c r="R110" i="13"/>
  <c r="S110" i="13"/>
  <c r="S90" i="13"/>
  <c r="R90" i="13"/>
  <c r="R73" i="13"/>
  <c r="R74" i="13" s="1"/>
  <c r="S73" i="13"/>
  <c r="S74" i="13" s="1"/>
  <c r="V53" i="13"/>
  <c r="S53" i="13"/>
  <c r="R53" i="13"/>
  <c r="S119" i="13"/>
  <c r="S120" i="13" s="1"/>
  <c r="R119" i="13"/>
  <c r="R120" i="13" s="1"/>
  <c r="R45" i="13"/>
  <c r="S45" i="13"/>
  <c r="S95" i="13"/>
  <c r="R95" i="13"/>
  <c r="S109" i="13"/>
  <c r="R109" i="13"/>
  <c r="S89" i="13"/>
  <c r="R89" i="13"/>
  <c r="Y52" i="13"/>
  <c r="Y32" i="13"/>
  <c r="Y18" i="13"/>
  <c r="G110" i="13"/>
  <c r="F110" i="13"/>
  <c r="F73" i="13"/>
  <c r="F74" i="13" s="1"/>
  <c r="E74" i="13"/>
  <c r="G73" i="13"/>
  <c r="G74" i="13" s="1"/>
  <c r="J36" i="13"/>
  <c r="J38" i="13" s="1"/>
  <c r="E38" i="13"/>
  <c r="G136" i="13"/>
  <c r="G137" i="13" s="1"/>
  <c r="E137" i="13"/>
  <c r="F136" i="13"/>
  <c r="F137" i="13" s="1"/>
  <c r="G89" i="13"/>
  <c r="F89" i="13"/>
  <c r="J133" i="13"/>
  <c r="G105" i="13"/>
  <c r="G106" i="13" s="1"/>
  <c r="F105" i="13"/>
  <c r="F106" i="13" s="1"/>
  <c r="E106" i="13"/>
  <c r="F88" i="13"/>
  <c r="G88" i="13"/>
  <c r="J65" i="13"/>
  <c r="J66" i="13" s="1"/>
  <c r="E66" i="13"/>
  <c r="J51" i="13"/>
  <c r="Y51" i="13" s="1"/>
  <c r="E56" i="13"/>
  <c r="J31" i="13"/>
  <c r="J33" i="13" s="1"/>
  <c r="E33" i="13"/>
  <c r="G127" i="13"/>
  <c r="G129" i="13" s="1"/>
  <c r="F127" i="13"/>
  <c r="F129" i="13" s="1"/>
  <c r="E129" i="13"/>
  <c r="F101" i="13"/>
  <c r="F102" i="13" s="1"/>
  <c r="G101" i="13"/>
  <c r="G102" i="13" s="1"/>
  <c r="E102" i="13"/>
  <c r="G87" i="13"/>
  <c r="F87" i="13"/>
  <c r="E112" i="13"/>
  <c r="G109" i="13"/>
  <c r="F109" i="13"/>
  <c r="F69" i="13"/>
  <c r="F70" i="13" s="1"/>
  <c r="E70" i="13"/>
  <c r="G69" i="13"/>
  <c r="G70" i="13" s="1"/>
  <c r="F97" i="13"/>
  <c r="G97" i="13"/>
  <c r="G96" i="13"/>
  <c r="F96" i="13"/>
  <c r="J59" i="13"/>
  <c r="J62" i="13" s="1"/>
  <c r="E62" i="13"/>
  <c r="J10" i="13"/>
  <c r="J12" i="13" s="1"/>
  <c r="E12" i="13"/>
  <c r="G90" i="13"/>
  <c r="F90" i="13"/>
  <c r="G123" i="13"/>
  <c r="G124" i="13" s="1"/>
  <c r="E124" i="13"/>
  <c r="F123" i="13"/>
  <c r="F124" i="13" s="1"/>
  <c r="E92" i="13"/>
  <c r="G86" i="13"/>
  <c r="F86" i="13"/>
  <c r="J15" i="13"/>
  <c r="J20" i="13" s="1"/>
  <c r="E20" i="13"/>
  <c r="G119" i="13"/>
  <c r="G120" i="13" s="1"/>
  <c r="F119" i="13"/>
  <c r="F120" i="13" s="1"/>
  <c r="E120" i="13"/>
  <c r="F82" i="13"/>
  <c r="G82" i="13"/>
  <c r="E48" i="13"/>
  <c r="J45" i="13"/>
  <c r="J48" i="13" s="1"/>
  <c r="G115" i="13"/>
  <c r="G116" i="13" s="1"/>
  <c r="E116" i="13"/>
  <c r="F115" i="13"/>
  <c r="F116" i="13" s="1"/>
  <c r="E98" i="13"/>
  <c r="F95" i="13"/>
  <c r="G95" i="13"/>
  <c r="F81" i="13"/>
  <c r="E83" i="13"/>
  <c r="G81" i="13"/>
  <c r="J41" i="13"/>
  <c r="J42" i="13" s="1"/>
  <c r="E42" i="13"/>
  <c r="G111" i="13"/>
  <c r="F111" i="13"/>
  <c r="G91" i="13"/>
  <c r="F91" i="13"/>
  <c r="E78" i="13"/>
  <c r="G77" i="13"/>
  <c r="G78" i="13" s="1"/>
  <c r="F77" i="13"/>
  <c r="F78" i="13" s="1"/>
  <c r="E28" i="13"/>
  <c r="J23" i="13"/>
  <c r="J28" i="13" s="1"/>
  <c r="Q66" i="13"/>
  <c r="Z65" i="13" s="1"/>
  <c r="Z66" i="13" s="1"/>
  <c r="Q74" i="13"/>
  <c r="Z73" i="13" s="1"/>
  <c r="Z74" i="13" s="1"/>
  <c r="Z132" i="13"/>
  <c r="Z133" i="13" s="1"/>
  <c r="Q42" i="13"/>
  <c r="Q38" i="13"/>
  <c r="Q28" i="13"/>
  <c r="Q106" i="13"/>
  <c r="Z105" i="13" s="1"/>
  <c r="Q33" i="13"/>
  <c r="Q7" i="13"/>
  <c r="Q83" i="13"/>
  <c r="Q78" i="13"/>
  <c r="Q112" i="13"/>
  <c r="Q20" i="13"/>
  <c r="W5" i="13"/>
  <c r="Y5" i="13" s="1"/>
  <c r="Q137" i="13"/>
  <c r="Z136" i="13" s="1"/>
  <c r="Q102" i="13"/>
  <c r="Q62" i="13"/>
  <c r="Q12" i="13"/>
  <c r="Q120" i="13"/>
  <c r="Z119" i="13" s="1"/>
  <c r="Q98" i="13"/>
  <c r="Q56" i="13"/>
  <c r="Q124" i="13"/>
  <c r="Z123" i="13" s="1"/>
  <c r="Q116" i="13"/>
  <c r="Z115" i="13" s="1"/>
  <c r="Q129" i="13"/>
  <c r="Z128" i="13" s="1"/>
  <c r="Q92" i="13"/>
  <c r="Q48" i="13"/>
  <c r="W33" i="13"/>
  <c r="W83" i="13"/>
  <c r="W42" i="13"/>
  <c r="W12" i="13"/>
  <c r="W38" i="13"/>
  <c r="Z141" i="13" l="1"/>
  <c r="Z148" i="13" s="1"/>
  <c r="Y148" i="13"/>
  <c r="J110" i="13"/>
  <c r="W88" i="13"/>
  <c r="J87" i="13"/>
  <c r="W128" i="13"/>
  <c r="S129" i="13"/>
  <c r="W119" i="13"/>
  <c r="W120" i="13" s="1"/>
  <c r="W89" i="13"/>
  <c r="W46" i="13"/>
  <c r="Y46" i="13" s="1"/>
  <c r="W96" i="13"/>
  <c r="R62" i="13"/>
  <c r="W90" i="13"/>
  <c r="S112" i="13"/>
  <c r="W53" i="13"/>
  <c r="Y53" i="13" s="1"/>
  <c r="Z53" i="13" s="1"/>
  <c r="W16" i="13"/>
  <c r="Y16" i="13" s="1"/>
  <c r="W95" i="13"/>
  <c r="W111" i="13"/>
  <c r="W55" i="13"/>
  <c r="Y55" i="13" s="1"/>
  <c r="Z55" i="13" s="1"/>
  <c r="W45" i="13"/>
  <c r="Y45" i="13" s="1"/>
  <c r="W69" i="13"/>
  <c r="W70" i="13" s="1"/>
  <c r="Y31" i="13"/>
  <c r="Y33" i="13" s="1"/>
  <c r="W54" i="13"/>
  <c r="Y54" i="13" s="1"/>
  <c r="Z54" i="13" s="1"/>
  <c r="J111" i="13"/>
  <c r="J89" i="13"/>
  <c r="J90" i="13"/>
  <c r="J127" i="13"/>
  <c r="J129" i="13" s="1"/>
  <c r="J77" i="13"/>
  <c r="J78" i="13" s="1"/>
  <c r="S98" i="13"/>
  <c r="J81" i="13"/>
  <c r="Y81" i="13" s="1"/>
  <c r="J86" i="13"/>
  <c r="S48" i="13"/>
  <c r="W110" i="13"/>
  <c r="G98" i="13"/>
  <c r="J56" i="13"/>
  <c r="W47" i="13"/>
  <c r="Y47" i="13" s="1"/>
  <c r="W87" i="13"/>
  <c r="Y87" i="13" s="1"/>
  <c r="J88" i="13"/>
  <c r="J95" i="13"/>
  <c r="J96" i="13"/>
  <c r="W73" i="13"/>
  <c r="W74" i="13" s="1"/>
  <c r="W17" i="13"/>
  <c r="Y17" i="13" s="1"/>
  <c r="J109" i="13"/>
  <c r="R112" i="13"/>
  <c r="R129" i="13"/>
  <c r="F83" i="13"/>
  <c r="R28" i="13"/>
  <c r="W91" i="13"/>
  <c r="S92" i="13"/>
  <c r="W24" i="13"/>
  <c r="Y24" i="13" s="1"/>
  <c r="Z24" i="13" s="1"/>
  <c r="AA24" i="13" s="1"/>
  <c r="Y10" i="13"/>
  <c r="Y12" i="13" s="1"/>
  <c r="S62" i="13"/>
  <c r="S28" i="13"/>
  <c r="W77" i="13"/>
  <c r="Y41" i="13"/>
  <c r="Y42" i="13" s="1"/>
  <c r="Y15" i="13"/>
  <c r="W60" i="13"/>
  <c r="Y60" i="13" s="1"/>
  <c r="Z60" i="13" s="1"/>
  <c r="J115" i="13"/>
  <c r="J116" i="13" s="1"/>
  <c r="W109" i="13"/>
  <c r="R92" i="13"/>
  <c r="R98" i="13"/>
  <c r="W59" i="13"/>
  <c r="W105" i="13"/>
  <c r="J123" i="13"/>
  <c r="J124" i="13" s="1"/>
  <c r="Y36" i="13"/>
  <c r="Y38" i="13" s="1"/>
  <c r="W101" i="13"/>
  <c r="W86" i="13"/>
  <c r="R56" i="13"/>
  <c r="J101" i="13"/>
  <c r="J102" i="13" s="1"/>
  <c r="W115" i="13"/>
  <c r="J97" i="13"/>
  <c r="S56" i="13"/>
  <c r="W97" i="13"/>
  <c r="W23" i="13"/>
  <c r="Y23" i="13" s="1"/>
  <c r="Z23" i="13" s="1"/>
  <c r="J73" i="13"/>
  <c r="J74" i="13" s="1"/>
  <c r="R48" i="13"/>
  <c r="V56" i="13"/>
  <c r="W127" i="13"/>
  <c r="W129" i="13" s="1"/>
  <c r="W65" i="13"/>
  <c r="W123" i="13"/>
  <c r="F92" i="13"/>
  <c r="J82" i="13"/>
  <c r="Y82" i="13" s="1"/>
  <c r="J69" i="13"/>
  <c r="J70" i="13" s="1"/>
  <c r="G92" i="13"/>
  <c r="F112" i="13"/>
  <c r="J91" i="13"/>
  <c r="G112" i="13"/>
  <c r="J119" i="13"/>
  <c r="Y119" i="13" s="1"/>
  <c r="J105" i="13"/>
  <c r="F98" i="13"/>
  <c r="J136" i="13"/>
  <c r="Y136" i="13" s="1"/>
  <c r="Y137" i="13" s="1"/>
  <c r="G83" i="13"/>
  <c r="Z52" i="13"/>
  <c r="Z51" i="13"/>
  <c r="Z11" i="13"/>
  <c r="Z10" i="13"/>
  <c r="Z41" i="13"/>
  <c r="Z61" i="13"/>
  <c r="Z82" i="13"/>
  <c r="Z81" i="13"/>
  <c r="Z16" i="13"/>
  <c r="Z19" i="13"/>
  <c r="Z18" i="13"/>
  <c r="Z17" i="13"/>
  <c r="Z15" i="13"/>
  <c r="Z27" i="13"/>
  <c r="AA27" i="13" s="1"/>
  <c r="AB27" i="13" s="1"/>
  <c r="Z26" i="13"/>
  <c r="Z25" i="13"/>
  <c r="Z109" i="13"/>
  <c r="Z111" i="13"/>
  <c r="Z110" i="13"/>
  <c r="Z46" i="13"/>
  <c r="Z45" i="13"/>
  <c r="Z47" i="13"/>
  <c r="Z89" i="13"/>
  <c r="Z88" i="13"/>
  <c r="Z86" i="13"/>
  <c r="Z91" i="13"/>
  <c r="Z90" i="13"/>
  <c r="Z87" i="13"/>
  <c r="Z4" i="13"/>
  <c r="AA4" i="13" s="1"/>
  <c r="Z5" i="13"/>
  <c r="Z6" i="13"/>
  <c r="AA6" i="13" s="1"/>
  <c r="AB6" i="13" s="1"/>
  <c r="Z37" i="13"/>
  <c r="AA37" i="13" s="1"/>
  <c r="AB37" i="13" s="1"/>
  <c r="Z36" i="13"/>
  <c r="W7" i="13"/>
  <c r="Y7" i="13"/>
  <c r="Z97" i="13"/>
  <c r="Z96" i="13"/>
  <c r="Z95" i="13"/>
  <c r="Z32" i="13"/>
  <c r="AA32" i="13" s="1"/>
  <c r="AB32" i="13" s="1"/>
  <c r="Z31" i="13"/>
  <c r="Z137" i="13"/>
  <c r="Z124" i="13"/>
  <c r="Z120" i="13"/>
  <c r="Z116" i="13"/>
  <c r="Z106" i="13"/>
  <c r="AA141" i="13" l="1"/>
  <c r="AB141" i="13" s="1"/>
  <c r="AB148" i="13" s="1"/>
  <c r="Y110" i="13"/>
  <c r="Y88" i="13"/>
  <c r="AA88" i="13" s="1"/>
  <c r="AB88" i="13" s="1"/>
  <c r="J112" i="13"/>
  <c r="Y89" i="13"/>
  <c r="AA89" i="13" s="1"/>
  <c r="AB89" i="13" s="1"/>
  <c r="Y48" i="13"/>
  <c r="Y90" i="13"/>
  <c r="AA90" i="13" s="1"/>
  <c r="AB90" i="13" s="1"/>
  <c r="Y111" i="13"/>
  <c r="AA111" i="13" s="1"/>
  <c r="AB111" i="13" s="1"/>
  <c r="Y56" i="13"/>
  <c r="Y128" i="13"/>
  <c r="Y129" i="13" s="1"/>
  <c r="W56" i="13"/>
  <c r="Y96" i="13"/>
  <c r="AA96" i="13" s="1"/>
  <c r="AB96" i="13" s="1"/>
  <c r="W48" i="13"/>
  <c r="Y95" i="13"/>
  <c r="AA95" i="13" s="1"/>
  <c r="AB95" i="13" s="1"/>
  <c r="Y83" i="13"/>
  <c r="AA81" i="13"/>
  <c r="AB81" i="13" s="1"/>
  <c r="Y20" i="13"/>
  <c r="Y73" i="13"/>
  <c r="J98" i="13"/>
  <c r="W20" i="13"/>
  <c r="W316" i="13" s="1"/>
  <c r="Y91" i="13"/>
  <c r="AA91" i="13" s="1"/>
  <c r="AB91" i="13" s="1"/>
  <c r="Y28" i="13"/>
  <c r="W28" i="13"/>
  <c r="AA82" i="13"/>
  <c r="AB82" i="13" s="1"/>
  <c r="Y65" i="13"/>
  <c r="W66" i="13"/>
  <c r="Y105" i="13"/>
  <c r="W106" i="13"/>
  <c r="AA36" i="13"/>
  <c r="AA38" i="13" s="1"/>
  <c r="Y77" i="13"/>
  <c r="W78" i="13"/>
  <c r="Y69" i="13"/>
  <c r="AA69" i="13" s="1"/>
  <c r="AA70" i="13" s="1"/>
  <c r="Y115" i="13"/>
  <c r="W116" i="13"/>
  <c r="Y59" i="13"/>
  <c r="W62" i="13"/>
  <c r="Y97" i="13"/>
  <c r="Y86" i="13"/>
  <c r="W92" i="13"/>
  <c r="Y109" i="13"/>
  <c r="W112" i="13"/>
  <c r="W98" i="13"/>
  <c r="Y123" i="13"/>
  <c r="W124" i="13"/>
  <c r="Y101" i="13"/>
  <c r="Y102" i="13" s="1"/>
  <c r="W102" i="13"/>
  <c r="J120" i="13"/>
  <c r="J137" i="13"/>
  <c r="J83" i="13"/>
  <c r="J106" i="13"/>
  <c r="J92" i="13"/>
  <c r="Z7" i="13"/>
  <c r="AA5" i="13"/>
  <c r="AB5" i="13" s="1"/>
  <c r="AA25" i="13"/>
  <c r="AB25" i="13" s="1"/>
  <c r="Y133" i="13"/>
  <c r="AA132" i="13"/>
  <c r="AA133" i="13" s="1"/>
  <c r="Z38" i="13"/>
  <c r="Z42" i="13"/>
  <c r="Z83" i="13"/>
  <c r="AA41" i="13"/>
  <c r="AA42" i="13" s="1"/>
  <c r="AA110" i="13"/>
  <c r="AB110" i="13" s="1"/>
  <c r="AA87" i="13"/>
  <c r="AB87" i="13" s="1"/>
  <c r="AA53" i="13"/>
  <c r="AB53" i="13" s="1"/>
  <c r="AA52" i="13"/>
  <c r="AB52" i="13" s="1"/>
  <c r="AA54" i="13"/>
  <c r="AB54" i="13" s="1"/>
  <c r="AA46" i="13"/>
  <c r="AB46" i="13" s="1"/>
  <c r="AA47" i="13"/>
  <c r="AB47" i="13" s="1"/>
  <c r="Z28" i="13"/>
  <c r="I2" i="10" s="1"/>
  <c r="L2" i="10" s="1"/>
  <c r="AA16" i="13"/>
  <c r="AB16" i="13" s="1"/>
  <c r="AA17" i="13"/>
  <c r="AB17" i="13" s="1"/>
  <c r="AA18" i="13"/>
  <c r="AB18" i="13" s="1"/>
  <c r="AA19" i="13"/>
  <c r="AB19" i="13" s="1"/>
  <c r="AA11" i="13"/>
  <c r="AB11" i="13" s="1"/>
  <c r="Z98" i="13"/>
  <c r="AA51" i="13"/>
  <c r="AB51" i="13" s="1"/>
  <c r="AA45" i="13"/>
  <c r="Z48" i="13"/>
  <c r="AA31" i="13"/>
  <c r="AA33" i="13" s="1"/>
  <c r="Z33" i="13"/>
  <c r="AA15" i="13"/>
  <c r="AB15" i="13" s="1"/>
  <c r="AA10" i="13"/>
  <c r="AB4" i="13"/>
  <c r="AA61" i="13"/>
  <c r="AB61" i="13" s="1"/>
  <c r="AA60" i="13"/>
  <c r="AB60" i="13" s="1"/>
  <c r="AA55" i="13"/>
  <c r="AA26" i="13"/>
  <c r="AB26" i="13" s="1"/>
  <c r="AB24" i="13"/>
  <c r="AA23" i="13"/>
  <c r="AB23" i="13" s="1"/>
  <c r="Z129" i="13"/>
  <c r="Z112" i="13"/>
  <c r="Z56" i="13"/>
  <c r="I3" i="10" s="1"/>
  <c r="L3" i="10" s="1"/>
  <c r="Z20" i="13"/>
  <c r="Z12" i="13"/>
  <c r="Z92" i="13"/>
  <c r="AA148" i="13" l="1"/>
  <c r="Y112" i="13"/>
  <c r="AA128" i="13"/>
  <c r="AA129" i="13" s="1"/>
  <c r="Y98" i="13"/>
  <c r="Y74" i="13"/>
  <c r="AA73" i="13"/>
  <c r="AA74" i="13" s="1"/>
  <c r="Y92" i="13"/>
  <c r="AA109" i="13"/>
  <c r="AA112" i="13" s="1"/>
  <c r="AB83" i="13"/>
  <c r="AA83" i="13"/>
  <c r="AA86" i="13"/>
  <c r="AB86" i="13" s="1"/>
  <c r="AB92" i="13" s="1"/>
  <c r="AB36" i="13"/>
  <c r="AB38" i="13" s="1"/>
  <c r="Y62" i="13"/>
  <c r="Z59" i="13"/>
  <c r="Z77" i="13"/>
  <c r="Y78" i="13"/>
  <c r="Z101" i="13"/>
  <c r="Y124" i="13"/>
  <c r="AA123" i="13"/>
  <c r="AA97" i="13"/>
  <c r="AB97" i="13" s="1"/>
  <c r="AB98" i="13" s="1"/>
  <c r="Y116" i="13"/>
  <c r="AA115" i="13"/>
  <c r="AB69" i="13"/>
  <c r="AB70" i="13" s="1"/>
  <c r="Y66" i="13"/>
  <c r="AA65" i="13"/>
  <c r="Y70" i="13"/>
  <c r="AA136" i="13"/>
  <c r="AA137" i="13" s="1"/>
  <c r="Y120" i="13"/>
  <c r="AA119" i="13"/>
  <c r="Y106" i="13"/>
  <c r="AA105" i="13"/>
  <c r="AB41" i="13"/>
  <c r="AB42" i="13" s="1"/>
  <c r="AA7" i="13"/>
  <c r="AB7" i="13"/>
  <c r="AB132" i="13"/>
  <c r="AB133" i="13" s="1"/>
  <c r="AB31" i="13"/>
  <c r="AB33" i="13" s="1"/>
  <c r="AA56" i="13"/>
  <c r="AA48" i="13"/>
  <c r="AB20" i="13"/>
  <c r="AA20" i="13"/>
  <c r="AA12" i="13"/>
  <c r="AB45" i="13"/>
  <c r="AB48" i="13" s="1"/>
  <c r="AB10" i="13"/>
  <c r="AB12" i="13" s="1"/>
  <c r="AB55" i="13"/>
  <c r="AB56" i="13" s="1"/>
  <c r="AA28" i="13"/>
  <c r="AB28" i="13"/>
  <c r="Z78" i="13" l="1"/>
  <c r="I6" i="10"/>
  <c r="L6" i="10" s="1"/>
  <c r="Y212" i="13"/>
  <c r="Y219" i="13" s="1"/>
  <c r="Y316" i="13" s="1"/>
  <c r="AB128" i="13"/>
  <c r="AB129" i="13" s="1"/>
  <c r="AB73" i="13"/>
  <c r="AB74" i="13" s="1"/>
  <c r="AB109" i="13"/>
  <c r="AB112" i="13" s="1"/>
  <c r="AA98" i="13"/>
  <c r="AA92" i="13"/>
  <c r="AA77" i="13"/>
  <c r="AA78" i="13" s="1"/>
  <c r="AA101" i="13"/>
  <c r="AA102" i="13" s="1"/>
  <c r="Z102" i="13"/>
  <c r="AA59" i="13"/>
  <c r="Z62" i="13"/>
  <c r="AA116" i="13"/>
  <c r="AB115" i="13"/>
  <c r="AB116" i="13" s="1"/>
  <c r="AA66" i="13"/>
  <c r="AB65" i="13"/>
  <c r="AB66" i="13" s="1"/>
  <c r="AA124" i="13"/>
  <c r="AB123" i="13"/>
  <c r="AB124" i="13" s="1"/>
  <c r="AB136" i="13"/>
  <c r="AB137" i="13" s="1"/>
  <c r="AA120" i="13"/>
  <c r="AB119" i="13"/>
  <c r="AB120" i="13" s="1"/>
  <c r="AA106" i="13"/>
  <c r="AB105" i="13"/>
  <c r="AB106" i="13" s="1"/>
  <c r="C12" i="8"/>
  <c r="C8" i="8"/>
  <c r="C14" i="8" s="1"/>
  <c r="Z212" i="13" l="1"/>
  <c r="Z219" i="13" s="1"/>
  <c r="I13" i="10" s="1"/>
  <c r="L13" i="10" s="1"/>
  <c r="AB77" i="13"/>
  <c r="AB78" i="13" s="1"/>
  <c r="AB101" i="13"/>
  <c r="AB102" i="13" s="1"/>
  <c r="I4" i="10"/>
  <c r="L4" i="10" s="1"/>
  <c r="AB59" i="13"/>
  <c r="AB62" i="13" s="1"/>
  <c r="AA62" i="13"/>
  <c r="Z316" i="13" l="1"/>
  <c r="AA212" i="13"/>
  <c r="AB212" i="13" s="1"/>
  <c r="AA210" i="13"/>
  <c r="AA219" i="13" l="1"/>
  <c r="AA316" i="13" s="1"/>
  <c r="AB210" i="13"/>
  <c r="AB219" i="13" s="1"/>
  <c r="AB316" i="13" s="1"/>
  <c r="E1" i="10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Andrei Diego Cardoso</author>
  </authors>
  <commentList>
    <comment ref="B2" authorId="0" shapeId="0" xr:uid="{7002A3D8-4285-46DE-B77B-D82314D51F49}">
      <text>
        <r>
          <rPr>
            <b/>
            <sz val="9"/>
            <color indexed="81"/>
            <rFont val="Tahoma"/>
            <family val="2"/>
          </rPr>
          <t>Day trade</t>
        </r>
      </text>
    </comment>
    <comment ref="D2" authorId="0" shapeId="0" xr:uid="{B2A56A0B-83BF-4A54-9323-3F919FE3E16E}">
      <text>
        <r>
          <rPr>
            <b/>
            <sz val="9"/>
            <color indexed="81"/>
            <rFont val="Tahoma"/>
            <family val="2"/>
          </rPr>
          <t>Leilão de abertura ou fechamento</t>
        </r>
      </text>
    </comment>
    <comment ref="F2" authorId="0" shapeId="0" xr:uid="{1F5D4C5F-8DD7-42AB-816D-AA01E44C3215}">
      <text>
        <r>
          <rPr>
            <b/>
            <sz val="9"/>
            <color indexed="81"/>
            <rFont val="Tahoma"/>
            <family val="2"/>
          </rPr>
          <t>Day trade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Avell</author>
    <author>Teste</author>
    <author>Andrei Diego Cardoso</author>
  </authors>
  <commentList>
    <comment ref="K47" authorId="0" shapeId="0" xr:uid="{00000000-0006-0000-0600-000001000000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Encontrado no extrato</t>
        </r>
      </text>
    </comment>
    <comment ref="K48" authorId="0" shapeId="0" xr:uid="{00000000-0006-0000-0600-000002000000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Encontrado no extrato</t>
        </r>
      </text>
    </comment>
    <comment ref="K51" authorId="0" shapeId="0" xr:uid="{00000000-0006-0000-0600-000003000000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Encontrado no extrato</t>
        </r>
      </text>
    </comment>
    <comment ref="K59" authorId="0" shapeId="0" xr:uid="{00000000-0006-0000-0600-000004000000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Encontrado no extrato</t>
        </r>
      </text>
    </comment>
    <comment ref="K61" authorId="0" shapeId="0" xr:uid="{00000000-0006-0000-0600-000005000000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Encontrado no extrato</t>
        </r>
      </text>
    </comment>
    <comment ref="L100" authorId="0" shapeId="0" xr:uid="{00000000-0006-0000-0600-000006000000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Na nota consta como R$ 170,30</t>
        </r>
      </text>
    </comment>
    <comment ref="A112" authorId="1" shapeId="0" xr:uid="{00000000-0006-0000-0600-000007000000}">
      <text>
        <r>
          <rPr>
            <sz val="9"/>
            <color indexed="81"/>
            <rFont val="Tahoma"/>
            <family val="2"/>
          </rPr>
          <t>Nota de Corretagem não encontrada em meus arquivos. Informação retirada de histórico de ordens e confirmada com extrato de conta-corrente.</t>
        </r>
      </text>
    </comment>
    <comment ref="H112" authorId="0" shapeId="0" xr:uid="{00000000-0006-0000-0600-000008000000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Aparentemente, realizada durante leilões de abertura e fechamento. Verificar!</t>
        </r>
      </text>
    </comment>
    <comment ref="K112" authorId="0" shapeId="0" xr:uid="{00000000-0006-0000-0600-000009000000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Encontrado no extrato</t>
        </r>
      </text>
    </comment>
    <comment ref="A114" authorId="1" shapeId="0" xr:uid="{00000000-0006-0000-0600-00000A000000}">
      <text>
        <r>
          <rPr>
            <sz val="9"/>
            <color indexed="81"/>
            <rFont val="Tahoma"/>
            <family val="2"/>
          </rPr>
          <t>Nota de Corretagem não encontrada em meus arquivos. Informação retirada de histórico de ordens e confirmada com extrato de conta-corrente.</t>
        </r>
      </text>
    </comment>
    <comment ref="H114" authorId="0" shapeId="0" xr:uid="{00000000-0006-0000-0600-00000B000000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Aparentemente, realizada durante leilões de abertura e fechamento. Verificar!</t>
        </r>
      </text>
    </comment>
    <comment ref="K114" authorId="0" shapeId="0" xr:uid="{00000000-0006-0000-0600-00000C000000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Encontrado no extrato</t>
        </r>
      </text>
    </comment>
    <comment ref="A118" authorId="1" shapeId="0" xr:uid="{00000000-0006-0000-0600-00000D000000}">
      <text>
        <r>
          <rPr>
            <sz val="9"/>
            <color indexed="81"/>
            <rFont val="Tahoma"/>
            <family val="2"/>
          </rPr>
          <t>Nota de Corretagem não encontrada em meus arquivos. Informação retirada de histórico de ordens e confirmada com extrato de conta-corrente.</t>
        </r>
      </text>
    </comment>
    <comment ref="H118" authorId="0" shapeId="0" xr:uid="{00000000-0006-0000-0600-00000E000000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Aparentemente, realizada durante leilões de abertura e fechamento. Verificar!</t>
        </r>
      </text>
    </comment>
    <comment ref="K118" authorId="0" shapeId="0" xr:uid="{00000000-0006-0000-0600-00000F000000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Encontrado no extrato</t>
        </r>
      </text>
    </comment>
    <comment ref="K122" authorId="0" shapeId="0" xr:uid="{00000000-0006-0000-0600-000010000000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Encontrado no extrato</t>
        </r>
      </text>
    </comment>
    <comment ref="A126" authorId="1" shapeId="0" xr:uid="{00000000-0006-0000-0600-000011000000}">
      <text>
        <r>
          <rPr>
            <sz val="9"/>
            <color indexed="81"/>
            <rFont val="Tahoma"/>
            <family val="2"/>
          </rPr>
          <t>Nota de Corretagem não encontrada em meus arquivos. Informação retirada de histórico de ordens e confirmada com extrato de conta-corrente.</t>
        </r>
      </text>
    </comment>
    <comment ref="H126" authorId="0" shapeId="0" xr:uid="{00000000-0006-0000-0600-000012000000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Aparentemente, realizada durante leilões de abertura e fechamento. Verificar!</t>
        </r>
      </text>
    </comment>
    <comment ref="A127" authorId="1" shapeId="0" xr:uid="{00000000-0006-0000-0600-000013000000}">
      <text>
        <r>
          <rPr>
            <sz val="9"/>
            <color indexed="81"/>
            <rFont val="Tahoma"/>
            <family val="2"/>
          </rPr>
          <t>Nota de Corretagem não encontrada em meus arquivos. Informação retirada de histórico de ordens e confirmada com extrato de conta-corrente.</t>
        </r>
      </text>
    </comment>
    <comment ref="H127" authorId="0" shapeId="0" xr:uid="{00000000-0006-0000-0600-000014000000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Aparentemente, realizada durante leilões de abertura e fechamento. Verificar!</t>
        </r>
      </text>
    </comment>
    <comment ref="A130" authorId="1" shapeId="0" xr:uid="{00000000-0006-0000-0600-000015000000}">
      <text>
        <r>
          <rPr>
            <sz val="9"/>
            <color indexed="81"/>
            <rFont val="Tahoma"/>
            <family val="2"/>
          </rPr>
          <t>Nota de Corretagem não encontrada em meus arquivos. Informação retirada de histórico de ordens e confirmada com extrato de conta-corrente.</t>
        </r>
      </text>
    </comment>
    <comment ref="H130" authorId="0" shapeId="0" xr:uid="{00000000-0006-0000-0600-000016000000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Aparentemente, realizada durante leilões de abertura e fechamento. Verificar!</t>
        </r>
      </text>
    </comment>
    <comment ref="A131" authorId="1" shapeId="0" xr:uid="{00000000-0006-0000-0600-000017000000}">
      <text>
        <r>
          <rPr>
            <sz val="9"/>
            <color indexed="81"/>
            <rFont val="Tahoma"/>
            <family val="2"/>
          </rPr>
          <t>Nota de Corretagem não encontrada em meus arquivos. Informação retirada de histórico de ordens e confirmada com extrato de conta-corrente.</t>
        </r>
      </text>
    </comment>
    <comment ref="H131" authorId="0" shapeId="0" xr:uid="{00000000-0006-0000-0600-000018000000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Aparentemente, realizada durante leilões de abertura e fechamento. Verificar!</t>
        </r>
      </text>
    </comment>
    <comment ref="A134" authorId="1" shapeId="0" xr:uid="{00000000-0006-0000-0600-000019000000}">
      <text>
        <r>
          <rPr>
            <sz val="9"/>
            <color indexed="81"/>
            <rFont val="Tahoma"/>
            <family val="2"/>
          </rPr>
          <t>Nota de Corretagem não encontrada em meus arquivos. Informação retirada de histórico de ordens e confirmada com extrato de conta-corrente.</t>
        </r>
      </text>
    </comment>
    <comment ref="H134" authorId="0" shapeId="0" xr:uid="{00000000-0006-0000-0600-00001A000000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Aparentemente, realizada durante leilões de abertura e fechamento. Verificar!</t>
        </r>
      </text>
    </comment>
    <comment ref="A136" authorId="1" shapeId="0" xr:uid="{00000000-0006-0000-0600-00001B000000}">
      <text>
        <r>
          <rPr>
            <sz val="9"/>
            <color indexed="81"/>
            <rFont val="Tahoma"/>
            <family val="2"/>
          </rPr>
          <t>Nota de Corretagem não encontrada em meus arquivos. Informação retirada de histórico de ordens e confirmada com extrato de conta-corrente.</t>
        </r>
      </text>
    </comment>
    <comment ref="H136" authorId="0" shapeId="0" xr:uid="{00000000-0006-0000-0600-00001C000000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Aparentemente, realizada durante leilões de abertura e fechamento. Verificar!</t>
        </r>
      </text>
    </comment>
    <comment ref="A138" authorId="1" shapeId="0" xr:uid="{00000000-0006-0000-0600-00001D000000}">
      <text>
        <r>
          <rPr>
            <sz val="9"/>
            <color indexed="81"/>
            <rFont val="Tahoma"/>
            <family val="2"/>
          </rPr>
          <t>Nota de Corretagem não encontrada em meus arquivos. Informação retirada de histórico de ordens e confirmada com extrato de conta-corrente.</t>
        </r>
      </text>
    </comment>
    <comment ref="H138" authorId="0" shapeId="0" xr:uid="{00000000-0006-0000-0600-00001E000000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Aparentemente, realizada durante leilões de abertura e fechamento. Verificar!</t>
        </r>
      </text>
    </comment>
    <comment ref="A140" authorId="1" shapeId="0" xr:uid="{00000000-0006-0000-0600-00001F000000}">
      <text>
        <r>
          <rPr>
            <sz val="9"/>
            <color indexed="81"/>
            <rFont val="Tahoma"/>
            <family val="2"/>
          </rPr>
          <t xml:space="preserve">Nota de Corretagem não encontrada em meus arquivos. Informação retirada de histórico de ordens e confirmada com extrato de conta-corrente.
</t>
        </r>
      </text>
    </comment>
    <comment ref="H140" authorId="0" shapeId="0" xr:uid="{00000000-0006-0000-0600-000020000000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Aparentemente, realizada durante leilões de abertura e fechamento. Verificar!</t>
        </r>
      </text>
    </comment>
    <comment ref="I146" authorId="0" shapeId="0" xr:uid="{00000000-0006-0000-0600-000021000000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Corretagem acima do normal. Investigar...</t>
        </r>
      </text>
    </comment>
    <comment ref="H160" authorId="0" shapeId="0" xr:uid="{00000000-0006-0000-0600-000022000000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Aparentemente, realizada durante leilões de abertura e fechamento. Verificar!</t>
        </r>
      </text>
    </comment>
    <comment ref="H162" authorId="0" shapeId="0" xr:uid="{00000000-0006-0000-0600-000023000000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Aparentemente, realizada durante leilões de abertura e fechamento. Verificar!</t>
        </r>
      </text>
    </comment>
    <comment ref="H165" authorId="0" shapeId="0" xr:uid="{00000000-0006-0000-0600-000024000000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Aparentemente, realizada durante leilões de abertura e fechamento. Verificar!</t>
        </r>
      </text>
    </comment>
    <comment ref="A167" authorId="0" shapeId="0" xr:uid="{00000000-0006-0000-0600-000025000000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Informação encontrada apenas em planilha de controle anterior.</t>
        </r>
      </text>
    </comment>
    <comment ref="A169" authorId="0" shapeId="0" xr:uid="{00000000-0006-0000-0600-000026000000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Informação encontrada apenas em planilha de controle anterior.</t>
        </r>
      </text>
    </comment>
    <comment ref="A171" authorId="0" shapeId="0" xr:uid="{00000000-0006-0000-0600-000027000000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Informação encontrada apenas em planilha de controle anterior.</t>
        </r>
      </text>
    </comment>
    <comment ref="A173" authorId="0" shapeId="0" xr:uid="{00000000-0006-0000-0600-000028000000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Informação encontrada apenas em planilha de controle anterior.</t>
        </r>
      </text>
    </comment>
    <comment ref="A175" authorId="0" shapeId="0" xr:uid="{00000000-0006-0000-0600-000029000000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Informação encontrada apenas em planilha de controle anterior.</t>
        </r>
      </text>
    </comment>
    <comment ref="A177" authorId="0" shapeId="0" xr:uid="{00000000-0006-0000-0600-00002A000000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Informação encontrada apenas em planilha de controle anterior.</t>
        </r>
      </text>
    </comment>
    <comment ref="A179" authorId="0" shapeId="0" xr:uid="{00000000-0006-0000-0600-00002B000000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Informação encontrada apenas em planilha de controle anterior.</t>
        </r>
      </text>
    </comment>
    <comment ref="A181" authorId="0" shapeId="0" xr:uid="{00000000-0006-0000-0600-00002C000000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Informação encontrada apenas em planilha de controle anterior.</t>
        </r>
      </text>
    </comment>
    <comment ref="A183" authorId="0" shapeId="0" xr:uid="{00000000-0006-0000-0600-00002D000000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Informação encontrada apenas em planilha de controle anterior.</t>
        </r>
      </text>
    </comment>
    <comment ref="A185" authorId="0" shapeId="0" xr:uid="{00000000-0006-0000-0600-00002E000000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Informação encontrada apenas em planilha de controle anterior.</t>
        </r>
      </text>
    </comment>
    <comment ref="A187" authorId="0" shapeId="0" xr:uid="{00000000-0006-0000-0600-00002F000000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Informação encontrada apenas em planilha de controle anterior.</t>
        </r>
      </text>
    </comment>
    <comment ref="A189" authorId="0" shapeId="0" xr:uid="{00000000-0006-0000-0600-000030000000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Informação encontrada apenas em planilha de controle anterior.</t>
        </r>
      </text>
    </comment>
    <comment ref="A191" authorId="0" shapeId="0" xr:uid="{00000000-0006-0000-0600-000031000000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Informação encontrada apenas em planilha de controle anterior.</t>
        </r>
      </text>
    </comment>
    <comment ref="A193" authorId="0" shapeId="0" xr:uid="{00000000-0006-0000-0600-000032000000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Informação encontrada apenas em planilha de controle anterior.</t>
        </r>
      </text>
    </comment>
    <comment ref="A195" authorId="0" shapeId="0" xr:uid="{00000000-0006-0000-0600-000033000000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Informação encontrada em planilha de controle anterior e confirmada em extrato bovespa.</t>
        </r>
      </text>
    </comment>
    <comment ref="A197" authorId="0" shapeId="0" xr:uid="{00000000-0006-0000-0600-000034000000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Informação encontrada em planilha de controle anterior e confirmada em extrato bovespa.</t>
        </r>
      </text>
    </comment>
    <comment ref="A199" authorId="0" shapeId="0" xr:uid="{00000000-0006-0000-0600-000035000000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Informação encontrada em planilha de controle anterior e confirmada em extrato bovespa.</t>
        </r>
      </text>
    </comment>
    <comment ref="A201" authorId="0" shapeId="0" xr:uid="{00000000-0006-0000-0600-000036000000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Informação encontrada em planilha de controle anterior e confirmada em extrato bovespa.</t>
        </r>
      </text>
    </comment>
    <comment ref="A203" authorId="0" shapeId="0" xr:uid="{00000000-0006-0000-0600-000037000000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Informação encontrada em planilha de controle anterior e confirmada em extrato bovespa.</t>
        </r>
      </text>
    </comment>
    <comment ref="A205" authorId="0" shapeId="0" xr:uid="{00000000-0006-0000-0600-000038000000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Informação encontrada em planilha de controle anterior e confirmada em extrato bovespa.</t>
        </r>
      </text>
    </comment>
    <comment ref="A207" authorId="0" shapeId="0" xr:uid="{00000000-0006-0000-0600-000039000000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Informação encontrada em planilha de controle anterior e confirmada em extrato bovespa.</t>
        </r>
      </text>
    </comment>
    <comment ref="A209" authorId="0" shapeId="0" xr:uid="{00000000-0006-0000-0600-00003A000000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Informação encontrada em planilha de controle anterior e confirmada em extrato bovespa.</t>
        </r>
      </text>
    </comment>
    <comment ref="A211" authorId="0" shapeId="0" xr:uid="{00000000-0006-0000-0600-00003B000000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Informação encontrada em planilha de controle anterior e confirmada em extrato bovespa.</t>
        </r>
      </text>
    </comment>
    <comment ref="A213" authorId="0" shapeId="0" xr:uid="{00000000-0006-0000-0600-00003C000000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Informação encontrada em planilha de controle anterior e confirmada em extrato bovespa.</t>
        </r>
      </text>
    </comment>
    <comment ref="A215" authorId="0" shapeId="0" xr:uid="{00000000-0006-0000-0600-00003D000000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Informação encontrada em planilha de controle anterior e confirmada em extrato bovespa.</t>
        </r>
      </text>
    </comment>
    <comment ref="A217" authorId="0" shapeId="0" xr:uid="{00000000-0006-0000-0600-00003E000000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Informação encontrada apenas em planilha de controle anterior.</t>
        </r>
      </text>
    </comment>
    <comment ref="A219" authorId="0" shapeId="0" xr:uid="{00000000-0006-0000-0600-00003F000000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Informação encontrada apenas em planilha de controle anterior.</t>
        </r>
      </text>
    </comment>
    <comment ref="A221" authorId="0" shapeId="0" xr:uid="{00000000-0006-0000-0600-000040000000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Informação encontrada apenas em planilha de controle anterior.</t>
        </r>
      </text>
    </comment>
    <comment ref="A223" authorId="0" shapeId="0" xr:uid="{00000000-0006-0000-0600-000041000000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Informação encontrada apenas em planilha de controle anterior.</t>
        </r>
      </text>
    </comment>
    <comment ref="A225" authorId="0" shapeId="0" xr:uid="{00000000-0006-0000-0600-000042000000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Informação encontrada apenas em planilha de controle anterior.</t>
        </r>
      </text>
    </comment>
    <comment ref="A227" authorId="0" shapeId="0" xr:uid="{00000000-0006-0000-0600-000043000000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Informação encontrada apenas em planilha de controle anterior.</t>
        </r>
      </text>
    </comment>
    <comment ref="A229" authorId="0" shapeId="0" xr:uid="{00000000-0006-0000-0600-000044000000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Informação encontrada em planilha de controle anterior e confirmada em extrato bovespa.</t>
        </r>
      </text>
    </comment>
    <comment ref="A231" authorId="0" shapeId="0" xr:uid="{00000000-0006-0000-0600-000045000000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Informação encontrada em planilha de controle anterior e confirmada em extrato bovespa.</t>
        </r>
      </text>
    </comment>
    <comment ref="A233" authorId="0" shapeId="0" xr:uid="{00000000-0006-0000-0600-000046000000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Informação encontrada em planilha de controle anterior e confirmada em extrato bovespa.</t>
        </r>
      </text>
    </comment>
    <comment ref="A235" authorId="0" shapeId="0" xr:uid="{00000000-0006-0000-0600-000047000000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Informação encontrada em planilha de controle anterior e confirmada em extrato bovespa.</t>
        </r>
      </text>
    </comment>
    <comment ref="A237" authorId="0" shapeId="0" xr:uid="{00000000-0006-0000-0600-000048000000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Informação encontrada apenas em planilha de controle anterior.</t>
        </r>
      </text>
    </comment>
    <comment ref="A239" authorId="0" shapeId="0" xr:uid="{00000000-0006-0000-0600-000049000000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Informação encontrada apenas em planilha de controle anterior.</t>
        </r>
      </text>
    </comment>
    <comment ref="L261" authorId="0" shapeId="0" xr:uid="{00000000-0006-0000-0600-00004A000000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Nesta nota, estranhamente, foi cobrado o ISS.</t>
        </r>
      </text>
    </comment>
    <comment ref="H265" authorId="0" shapeId="0" xr:uid="{00000000-0006-0000-0600-00004B000000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Aparentemente, realizada durante leilões de abertura e fechamento. Verificar!</t>
        </r>
      </text>
    </comment>
    <comment ref="H270" authorId="0" shapeId="0" xr:uid="{00000000-0006-0000-0600-00004C000000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Aparentemente, realizada durante leilões de abertura e fechamento. Verificar!</t>
        </r>
      </text>
    </comment>
    <comment ref="H288" authorId="0" shapeId="0" xr:uid="{00000000-0006-0000-0600-00004D000000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Aparentemente, realizada durante leilões de abertura e fechamento. Verificar!</t>
        </r>
      </text>
    </comment>
    <comment ref="H299" authorId="0" shapeId="0" xr:uid="{00000000-0006-0000-0600-00004E000000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Aparentemente, realizada durante leilões de abertura e fechamento. Verificar!</t>
        </r>
      </text>
    </comment>
    <comment ref="H338" authorId="0" shapeId="0" xr:uid="{00000000-0006-0000-0600-00004F000000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Aparentemente, realizada durante leilões de abertura e fechamento. Verificar!</t>
        </r>
      </text>
    </comment>
    <comment ref="H373" authorId="0" shapeId="0" xr:uid="{00000000-0006-0000-0600-000050000000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Aparentemente, realizada durante leilões de abertura e fechamento. Verificar!</t>
        </r>
      </text>
    </comment>
    <comment ref="H387" authorId="2" shapeId="0" xr:uid="{53AD2A8B-E76C-470E-A183-93BB7FB8FD73}">
      <text>
        <r>
          <rPr>
            <sz val="9"/>
            <color indexed="81"/>
            <rFont val="Tahoma"/>
            <family val="2"/>
          </rPr>
          <t>Aparentemente, realizada durante leilões de abertura e fechamento. Verificar!</t>
        </r>
      </text>
    </comment>
    <comment ref="H411" authorId="2" shapeId="0" xr:uid="{F0E81FC0-19CB-403F-AD4D-9368698A05A2}">
      <text>
        <r>
          <rPr>
            <sz val="9"/>
            <color indexed="81"/>
            <rFont val="Tahoma"/>
            <family val="2"/>
          </rPr>
          <t>Aparentemente, realizada durante leilões de abertura e fechamento. Verificar!</t>
        </r>
      </text>
    </comment>
    <comment ref="H422" authorId="2" shapeId="0" xr:uid="{B552E97E-7131-4E0E-8793-B4309AC2E3ED}">
      <text>
        <r>
          <rPr>
            <sz val="9"/>
            <color indexed="81"/>
            <rFont val="Tahoma"/>
            <family val="2"/>
          </rPr>
          <t>Aparentemente, realizada durante leilões de abertura e fechamento. Verificar!</t>
        </r>
      </text>
    </comment>
    <comment ref="K575" authorId="2" shapeId="0" xr:uid="{A822835F-B97E-4E5B-ADC6-643FBAB7BE2C}">
      <text>
        <r>
          <rPr>
            <b/>
            <sz val="9"/>
            <color indexed="81"/>
            <rFont val="Tahoma"/>
            <family val="2"/>
          </rPr>
          <t>Andrei Diego Cardoso:</t>
        </r>
        <r>
          <rPr>
            <sz val="9"/>
            <color indexed="81"/>
            <rFont val="Tahoma"/>
            <family val="2"/>
          </rPr>
          <t xml:space="preserve">
Não aparece como IR na nota de corretagem mas eu desconfio que seja pois esta nota passa de R$ 20.000,00 e o total da nota não fecha apenas com os valores mostrado lá. Se acresentar o IR, fecha.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Avell</author>
    <author>Teste</author>
    <author>Andrei Diego Cardoso</author>
  </authors>
  <commentList>
    <comment ref="W5" authorId="0" shapeId="0" xr:uid="{00000000-0006-0000-0500-000001000000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Encontrado no extrato</t>
        </r>
      </text>
    </comment>
    <comment ref="W13" authorId="0" shapeId="0" xr:uid="{00000000-0006-0000-0500-000002000000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Encontrado no extrato</t>
        </r>
      </text>
    </comment>
    <comment ref="W14" authorId="0" shapeId="0" xr:uid="{00000000-0006-0000-0500-000003000000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Encontrado no extrato</t>
        </r>
      </text>
    </comment>
    <comment ref="W15" authorId="0" shapeId="0" xr:uid="{00000000-0006-0000-0500-000004000000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Encontrado no extrato</t>
        </r>
      </text>
    </comment>
    <comment ref="W18" authorId="0" shapeId="0" xr:uid="{00000000-0006-0000-0500-000005000000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Encontrado no extrato</t>
        </r>
      </text>
    </comment>
    <comment ref="M29" authorId="1" shapeId="0" xr:uid="{00000000-0006-0000-0500-000006000000}">
      <text>
        <r>
          <rPr>
            <sz val="9"/>
            <color indexed="81"/>
            <rFont val="Tahoma"/>
            <family val="2"/>
          </rPr>
          <t>Nota de Corretagem não encontrada em meus arquivos. Informação retirada de histórico de ordens e confirmada com extrato de conta-corrente.</t>
        </r>
      </text>
    </comment>
    <comment ref="W29" authorId="0" shapeId="0" xr:uid="{00000000-0006-0000-0500-000007000000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Encontrado no extrato</t>
        </r>
      </text>
    </comment>
    <comment ref="M30" authorId="1" shapeId="0" xr:uid="{00000000-0006-0000-0500-000008000000}">
      <text>
        <r>
          <rPr>
            <sz val="9"/>
            <color indexed="81"/>
            <rFont val="Tahoma"/>
            <family val="2"/>
          </rPr>
          <t>Nota de Corretagem não encontrada em meus arquivos. Informação retirada de histórico de ordens e confirmada com extrato de conta-corrente.</t>
        </r>
      </text>
    </comment>
    <comment ref="W30" authorId="0" shapeId="0" xr:uid="{00000000-0006-0000-0500-000009000000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Encontrado no extrato</t>
        </r>
      </text>
    </comment>
    <comment ref="M31" authorId="1" shapeId="0" xr:uid="{00000000-0006-0000-0500-00000A000000}">
      <text>
        <r>
          <rPr>
            <sz val="9"/>
            <color indexed="81"/>
            <rFont val="Tahoma"/>
            <family val="2"/>
          </rPr>
          <t>Nota de Corretagem não encontrada em meus arquivos. Informação retirada de histórico de ordens e confirmada com extrato de conta-corrente.</t>
        </r>
      </text>
    </comment>
    <comment ref="W31" authorId="0" shapeId="0" xr:uid="{00000000-0006-0000-0500-00000B000000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Encontrado no extrato</t>
        </r>
      </text>
    </comment>
    <comment ref="W33" authorId="0" shapeId="0" xr:uid="{00000000-0006-0000-0500-00000C000000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Encontrado no extrato</t>
        </r>
      </text>
    </comment>
    <comment ref="M34" authorId="1" shapeId="0" xr:uid="{00000000-0006-0000-0500-00000D000000}">
      <text>
        <r>
          <rPr>
            <sz val="9"/>
            <color indexed="81"/>
            <rFont val="Tahoma"/>
            <family val="2"/>
          </rPr>
          <t>Nota de Corretagem não encontrada em meus arquivos. Informação retirada de histórico de ordens e confirmada com extrato de conta-corrente.</t>
        </r>
      </text>
    </comment>
    <comment ref="A35" authorId="1" shapeId="0" xr:uid="{00000000-0006-0000-0500-00000E000000}">
      <text>
        <r>
          <rPr>
            <sz val="9"/>
            <color indexed="81"/>
            <rFont val="Tahoma"/>
            <family val="2"/>
          </rPr>
          <t>Nota de Corretagem não encontrada em meus arquivos. Informação retirada de histórico de ordens e confirmada com extrato de conta-corrente.</t>
        </r>
      </text>
    </comment>
    <comment ref="M35" authorId="0" shapeId="0" xr:uid="{00000000-0006-0000-0500-00000F000000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Informação encontrada apenas em planilha de controle anterior.</t>
        </r>
      </text>
    </comment>
    <comment ref="A36" authorId="1" shapeId="0" xr:uid="{00000000-0006-0000-0500-000010000000}">
      <text>
        <r>
          <rPr>
            <sz val="9"/>
            <color indexed="81"/>
            <rFont val="Tahoma"/>
            <family val="2"/>
          </rPr>
          <t>Nota de Corretagem não encontrada em meus arquivos. Informação retirada de histórico de ordens e confirmada com extrato de conta-corrente.</t>
        </r>
      </text>
    </comment>
    <comment ref="M36" authorId="1" shapeId="0" xr:uid="{00000000-0006-0000-0500-000011000000}">
      <text>
        <r>
          <rPr>
            <sz val="9"/>
            <color indexed="81"/>
            <rFont val="Tahoma"/>
            <family val="2"/>
          </rPr>
          <t xml:space="preserve">Nota de Corretagem não encontrada em meus arquivos. Informação retirada de histórico de ordens e confirmada com extrato de conta-corrente.
</t>
        </r>
      </text>
    </comment>
    <comment ref="A37" authorId="1" shapeId="0" xr:uid="{00000000-0006-0000-0500-000012000000}">
      <text>
        <r>
          <rPr>
            <sz val="9"/>
            <color indexed="81"/>
            <rFont val="Tahoma"/>
            <family val="2"/>
          </rPr>
          <t>Nota de Corretagem não encontrada em meus arquivos. Informação retirada de histórico de ordens e confirmada com extrato de conta-corrente.</t>
        </r>
      </text>
    </comment>
    <comment ref="M37" authorId="1" shapeId="0" xr:uid="{00000000-0006-0000-0500-000013000000}">
      <text>
        <r>
          <rPr>
            <sz val="9"/>
            <color indexed="81"/>
            <rFont val="Tahoma"/>
            <family val="2"/>
          </rPr>
          <t>Nota de Corretagem não encontrada em meus arquivos. Informação retirada de histórico de ordens e confirmada com extrato de conta-corrente.</t>
        </r>
      </text>
    </comment>
    <comment ref="A38" authorId="1" shapeId="0" xr:uid="{00000000-0006-0000-0500-000014000000}">
      <text>
        <r>
          <rPr>
            <sz val="9"/>
            <color indexed="81"/>
            <rFont val="Tahoma"/>
            <family val="2"/>
          </rPr>
          <t>Nota de Corretagem não encontrada em meus arquivos. Informação retirada de histórico de ordens e confirmada com extrato de conta-corrente.</t>
        </r>
      </text>
    </comment>
    <comment ref="M38" authorId="1" shapeId="0" xr:uid="{00000000-0006-0000-0500-000015000000}">
      <text>
        <r>
          <rPr>
            <sz val="9"/>
            <color indexed="81"/>
            <rFont val="Tahoma"/>
            <family val="2"/>
          </rPr>
          <t>Informação retirada de arquivo de histórico de ordens</t>
        </r>
      </text>
    </comment>
    <comment ref="U40" authorId="0" shapeId="0" xr:uid="{00000000-0006-0000-0500-000016000000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Corretagem acima do normal. Investigar...</t>
        </r>
      </text>
    </comment>
    <comment ref="M43" authorId="0" shapeId="0" xr:uid="{00000000-0006-0000-0500-000017000000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Informação encontrada em planilha de controle anterior e confirmada em extrato bovespa.</t>
        </r>
      </text>
    </comment>
    <comment ref="A46" authorId="0" shapeId="0" xr:uid="{00000000-0006-0000-0500-000018000000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Informação encontrada apenas em planilha de controle anterior.</t>
        </r>
      </text>
    </comment>
    <comment ref="M46" authorId="0" shapeId="0" xr:uid="{00000000-0006-0000-0500-000019000000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Informação encontrada em planilha de controle anterior e confirmada em extrato bovespa.</t>
        </r>
      </text>
    </comment>
    <comment ref="A47" authorId="0" shapeId="0" xr:uid="{00000000-0006-0000-0500-00001A000000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Informação encontrada apenas em planilha de controle anterior.</t>
        </r>
      </text>
    </comment>
    <comment ref="M47" authorId="0" shapeId="0" xr:uid="{00000000-0006-0000-0500-00001B000000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Informação encontrada apenas em planilha de controle anterior.</t>
        </r>
      </text>
    </comment>
    <comment ref="A48" authorId="0" shapeId="0" xr:uid="{00000000-0006-0000-0500-00001C000000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Informação encontrada apenas em planilha de controle anterior.</t>
        </r>
      </text>
    </comment>
    <comment ref="M48" authorId="0" shapeId="0" xr:uid="{00000000-0006-0000-0500-00001D000000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Informação encontrada em planilha de controle anterior e confirmada em extrato bovespa.</t>
        </r>
      </text>
    </comment>
    <comment ref="A49" authorId="0" shapeId="0" xr:uid="{00000000-0006-0000-0500-00001E000000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Informação encontrada apenas em planilha de controle anterior.</t>
        </r>
      </text>
    </comment>
    <comment ref="A50" authorId="0" shapeId="0" xr:uid="{00000000-0006-0000-0500-00001F000000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Informação encontrada apenas em planilha de controle anterior.</t>
        </r>
      </text>
    </comment>
    <comment ref="A51" authorId="0" shapeId="0" xr:uid="{00000000-0006-0000-0500-000020000000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Informação encontrada apenas em planilha de controle anterior.</t>
        </r>
      </text>
    </comment>
    <comment ref="M51" authorId="0" shapeId="0" xr:uid="{00000000-0006-0000-0500-000021000000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Informação encontrada apenas em planilha de controle anterior.</t>
        </r>
      </text>
    </comment>
    <comment ref="A52" authorId="0" shapeId="0" xr:uid="{00000000-0006-0000-0500-000022000000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Informação encontrada apenas em planilha de controle anterior.</t>
        </r>
      </text>
    </comment>
    <comment ref="Z53" authorId="2" shapeId="0" xr:uid="{76D68FDF-C412-4B01-B684-FB5546F49E8E}">
      <text>
        <r>
          <rPr>
            <sz val="9"/>
            <color indexed="81"/>
            <rFont val="Tahoma"/>
            <family val="2"/>
          </rPr>
          <t>02/08/2021 - Incorporação da Terra Santa pela SLC
LAND3 132 * R$ 15,00 = R$ 1980,00 (93,6%)
SLCE3 3 * R$ 45,19 = R$ 135,57 (6,4%)</t>
        </r>
      </text>
    </comment>
    <comment ref="A54" authorId="0" shapeId="0" xr:uid="{00000000-0006-0000-0500-000023000000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Informação encontrada apenas em planilha de controle anterior.</t>
        </r>
      </text>
    </comment>
    <comment ref="A55" authorId="0" shapeId="0" xr:uid="{00000000-0006-0000-0500-000024000000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Informação encontrada apenas em planilha de controle anterior.</t>
        </r>
      </text>
    </comment>
    <comment ref="M55" authorId="0" shapeId="0" xr:uid="{00000000-0006-0000-0500-000025000000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Informação encontrada em planilha de controle anterior e confirmada em extrato bovespa.</t>
        </r>
      </text>
    </comment>
    <comment ref="A56" authorId="0" shapeId="0" xr:uid="{00000000-0006-0000-0500-000026000000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Informação encontrada apenas em planilha de controle anterior.</t>
        </r>
      </text>
    </comment>
    <comment ref="M56" authorId="0" shapeId="0" xr:uid="{00000000-0006-0000-0500-000027000000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Informação encontrada em planilha de controle anterior e confirmada em extrato bovespa.</t>
        </r>
      </text>
    </comment>
    <comment ref="A57" authorId="0" shapeId="0" xr:uid="{00000000-0006-0000-0500-000028000000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Informação encontrada apenas em planilha de controle anterior.</t>
        </r>
      </text>
    </comment>
    <comment ref="M57" authorId="0" shapeId="0" xr:uid="{00000000-0006-0000-0500-000029000000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Informação encontrada em planilha de controle anterior e confirmada em extrato bovespa.</t>
        </r>
      </text>
    </comment>
    <comment ref="A58" authorId="0" shapeId="0" xr:uid="{00000000-0006-0000-0500-00002A000000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Informação encontrada apenas em planilha de controle anterior.</t>
        </r>
      </text>
    </comment>
    <comment ref="A59" authorId="0" shapeId="0" xr:uid="{00000000-0006-0000-0500-00002B000000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Informação encontrada em planilha de controle anterior e confirmada em extrato bovespa.</t>
        </r>
      </text>
    </comment>
    <comment ref="A60" authorId="0" shapeId="0" xr:uid="{00000000-0006-0000-0500-00002C000000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Informação encontrada em planilha de controle anterior e confirmada em extrato bovespa.</t>
        </r>
      </text>
    </comment>
    <comment ref="M60" authorId="0" shapeId="0" xr:uid="{00000000-0006-0000-0500-00002D000000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Informação encontrada em planilha de controle anterior e confirmada em extrato bovespa.</t>
        </r>
      </text>
    </comment>
    <comment ref="A61" authorId="0" shapeId="0" xr:uid="{00000000-0006-0000-0500-00002E000000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Informação encontrada em planilha de controle anterior e confirmada em extrato bovespa.</t>
        </r>
      </text>
    </comment>
    <comment ref="M61" authorId="0" shapeId="0" xr:uid="{00000000-0006-0000-0500-00002F000000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Informação encontrada em planilha de controle anterior e confirmada em extrato bovespa.</t>
        </r>
      </text>
    </comment>
    <comment ref="A62" authorId="0" shapeId="0" xr:uid="{00000000-0006-0000-0500-000030000000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Informação encontrada apenas em planilha de controle anterior.</t>
        </r>
      </text>
    </comment>
    <comment ref="A63" authorId="0" shapeId="0" xr:uid="{00000000-0006-0000-0500-000031000000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Informação encontrada apenas em planilha de controle anterior.</t>
        </r>
      </text>
    </comment>
    <comment ref="A64" authorId="0" shapeId="0" xr:uid="{00000000-0006-0000-0500-000032000000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Informação encontrada apenas em planilha de controle anterior.</t>
        </r>
      </text>
    </comment>
    <comment ref="M64" authorId="0" shapeId="0" xr:uid="{00000000-0006-0000-0500-000033000000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Informação encontrada apenas em planilha de controle anterior.</t>
        </r>
      </text>
    </comment>
    <comment ref="A65" authorId="0" shapeId="0" xr:uid="{00000000-0006-0000-0500-000034000000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Informação encontrada apenas em planilha de controle anterior.</t>
        </r>
      </text>
    </comment>
    <comment ref="A66" authorId="0" shapeId="0" xr:uid="{00000000-0006-0000-0500-000035000000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Informação encontrada apenas em planilha de controle anterior.</t>
        </r>
      </text>
    </comment>
    <comment ref="A67" authorId="0" shapeId="0" xr:uid="{00000000-0006-0000-0500-000036000000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Informação encontrada em planilha de controle anterior e confirmada em extrato bovespa.</t>
        </r>
      </text>
    </comment>
    <comment ref="A69" authorId="0" shapeId="0" xr:uid="{00000000-0006-0000-0500-000037000000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Informação encontrada em planilha de controle anterior e confirmada em extrato bovespa.</t>
        </r>
      </text>
    </comment>
    <comment ref="A72" authorId="0" shapeId="0" xr:uid="{00000000-0006-0000-0500-000038000000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Informação encontrada em planilha de controle anterior e confirmada em extrato bovespa.</t>
        </r>
      </text>
    </comment>
    <comment ref="A73" authorId="0" shapeId="0" xr:uid="{00000000-0006-0000-0500-000039000000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Informação encontrada em planilha de controle anterior e confirmada em extrato bovespa.</t>
        </r>
      </text>
    </comment>
    <comment ref="A74" authorId="0" shapeId="0" xr:uid="{00000000-0006-0000-0500-00003A000000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Informação encontrada apenas em planilha de controle anterior.</t>
        </r>
      </text>
    </comment>
    <comment ref="Q95" authorId="0" shapeId="0" xr:uid="{00000000-0006-0000-0500-00003B000000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7,70</t>
        </r>
      </text>
    </comment>
    <comment ref="Q97" authorId="0" shapeId="0" xr:uid="{00000000-0006-0000-0500-00003C000000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7,70</t>
        </r>
      </text>
    </comment>
    <comment ref="Q104" authorId="0" shapeId="0" xr:uid="{00000000-0006-0000-0500-00003D000000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4,65</t>
        </r>
      </text>
    </comment>
    <comment ref="Q119" authorId="0" shapeId="0" xr:uid="{00000000-0006-0000-0500-00003F000000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26,15</t>
        </r>
      </text>
    </comment>
    <comment ref="Q126" authorId="0" shapeId="0" xr:uid="{00000000-0006-0000-0500-000041000000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4,90</t>
        </r>
      </text>
    </comment>
    <comment ref="Q130" authorId="0" shapeId="0" xr:uid="{00000000-0006-0000-0500-000042000000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3,96</t>
        </r>
      </text>
    </comment>
    <comment ref="W177" authorId="2" shapeId="0" xr:uid="{9BA1283A-2436-4D7F-8961-FE0E3C8F5A9F}">
      <text>
        <r>
          <rPr>
            <b/>
            <sz val="9"/>
            <color indexed="81"/>
            <rFont val="Tahoma"/>
            <family val="2"/>
          </rPr>
          <t>Andrei Diego Cardoso:</t>
        </r>
        <r>
          <rPr>
            <sz val="9"/>
            <color indexed="81"/>
            <rFont val="Tahoma"/>
            <family val="2"/>
          </rPr>
          <t xml:space="preserve">
Não aparece como IR na nota de corretagem mas eu desconfio que seja.</t>
        </r>
      </text>
    </comment>
    <comment ref="W178" authorId="2" shapeId="0" xr:uid="{C55BBBC4-FFE3-4293-AF0E-0B953FED5753}">
      <text>
        <r>
          <rPr>
            <b/>
            <sz val="9"/>
            <color indexed="81"/>
            <rFont val="Tahoma"/>
            <family val="2"/>
          </rPr>
          <t>Andrei Diego Cardoso:</t>
        </r>
        <r>
          <rPr>
            <sz val="9"/>
            <color indexed="81"/>
            <rFont val="Tahoma"/>
            <family val="2"/>
          </rPr>
          <t xml:space="preserve">
Não aparece como IR na nota de corretagem mas eu desconfio que seja.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Avell</author>
    <author>Teste</author>
  </authors>
  <commentList>
    <comment ref="X1" authorId="0" shapeId="0" xr:uid="{00000000-0006-0000-0700-000001000000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Distribuição da Taxa de Custódia Acumulada no Mês</t>
        </r>
      </text>
    </comment>
    <comment ref="V23" authorId="0" shapeId="0" xr:uid="{00000000-0006-0000-0700-000002000000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0,29 - Encontrado no extrato</t>
        </r>
      </text>
    </comment>
    <comment ref="V24" authorId="0" shapeId="0" xr:uid="{00000000-0006-0000-0700-000003000000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0,29 - Encontrado no extrato</t>
        </r>
      </text>
    </comment>
    <comment ref="V25" authorId="0" shapeId="0" xr:uid="{00000000-0006-0000-0700-000004000000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0,01 - Encontrado no extrato</t>
        </r>
      </text>
    </comment>
    <comment ref="V26" authorId="0" shapeId="0" xr:uid="{00000000-0006-0000-0700-000005000000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0,23 - Encontrado no extrato</t>
        </r>
      </text>
    </comment>
    <comment ref="V27" authorId="0" shapeId="0" xr:uid="{00000000-0006-0000-0700-000006000000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0,34 - Encontrado no extrato</t>
        </r>
      </text>
    </comment>
    <comment ref="V28" authorId="0" shapeId="0" xr:uid="{00000000-0006-0000-0700-000007000000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Encontrado no extrato</t>
        </r>
      </text>
    </comment>
    <comment ref="L55" authorId="1" shapeId="0" xr:uid="{00000000-0006-0000-0700-000008000000}">
      <text>
        <r>
          <rPr>
            <sz val="9"/>
            <color indexed="81"/>
            <rFont val="Tahoma"/>
            <family val="2"/>
          </rPr>
          <t>Nota de Corretagem não encontrada em meus arquivos. Informação retirada de histórico de ordens e confirmada com extrato de conta-corrente.</t>
        </r>
      </text>
    </comment>
    <comment ref="S55" authorId="0" shapeId="0" xr:uid="{00000000-0006-0000-0700-000009000000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Aparentemente, realizada durante leilões de abertura e fechamento. Verificar!</t>
        </r>
      </text>
    </comment>
    <comment ref="V55" authorId="0" shapeId="0" xr:uid="{00000000-0006-0000-0700-00000A000000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0,24 - Encontrado no extrato</t>
        </r>
      </text>
    </comment>
    <comment ref="L59" authorId="1" shapeId="0" xr:uid="{00000000-0006-0000-0700-00000B000000}">
      <text>
        <r>
          <rPr>
            <sz val="9"/>
            <color indexed="81"/>
            <rFont val="Tahoma"/>
            <family val="2"/>
          </rPr>
          <t>Nota de Corretagem não encontrada em meus arquivos. Informação retirada de histórico de ordens e confirmada com extrato de conta-corrente.</t>
        </r>
      </text>
    </comment>
    <comment ref="S59" authorId="0" shapeId="0" xr:uid="{00000000-0006-0000-0700-00000C000000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Aparentemente, realizada durante leilões de abertura e fechamento. Verificar!</t>
        </r>
      </text>
    </comment>
    <comment ref="V59" authorId="0" shapeId="0" xr:uid="{00000000-0006-0000-0700-00000D000000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0,44 - Encontrado no extrato</t>
        </r>
      </text>
    </comment>
    <comment ref="L60" authorId="1" shapeId="0" xr:uid="{00000000-0006-0000-0700-00000E000000}">
      <text>
        <r>
          <rPr>
            <sz val="9"/>
            <color indexed="81"/>
            <rFont val="Tahoma"/>
            <family val="2"/>
          </rPr>
          <t>Nota de Corretagem não encontrada em meus arquivos. Informação retirada de histórico de ordens e confirmada com extrato de conta-corrente.</t>
        </r>
      </text>
    </comment>
    <comment ref="S60" authorId="0" shapeId="0" xr:uid="{00000000-0006-0000-0700-00000F000000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Aparentemente, realizada durante leilões de abertura e fechamento. Verificar!</t>
        </r>
      </text>
    </comment>
    <comment ref="V60" authorId="0" shapeId="0" xr:uid="{00000000-0006-0000-0700-000010000000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0,61 - Encontrado no extrato</t>
        </r>
      </text>
    </comment>
    <comment ref="V61" authorId="0" shapeId="0" xr:uid="{00000000-0006-0000-0700-000011000000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0,59 - Encontrado no extrato</t>
        </r>
      </text>
    </comment>
    <comment ref="V62" authorId="0" shapeId="0" xr:uid="{00000000-0006-0000-0700-000012000000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Encontrado no extrato</t>
        </r>
      </text>
    </comment>
    <comment ref="L65" authorId="1" shapeId="0" xr:uid="{00000000-0006-0000-0700-000013000000}">
      <text>
        <r>
          <rPr>
            <sz val="9"/>
            <color indexed="81"/>
            <rFont val="Tahoma"/>
            <family val="2"/>
          </rPr>
          <t>Nota de Corretagem não encontrada em meus arquivos. Informação retirada de histórico de ordens e confirmada com extrato de conta-corrente.</t>
        </r>
      </text>
    </comment>
    <comment ref="S65" authorId="0" shapeId="0" xr:uid="{00000000-0006-0000-0700-000014000000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Aparentemente, realizada durante leilões de abertura e fechamento. Verificar!</t>
        </r>
      </text>
    </comment>
    <comment ref="A69" authorId="1" shapeId="0" xr:uid="{00000000-0006-0000-0700-000015000000}">
      <text>
        <r>
          <rPr>
            <sz val="9"/>
            <color indexed="81"/>
            <rFont val="Tahoma"/>
            <family val="2"/>
          </rPr>
          <t>Nota de Corretagem não encontrada em meus arquivos. Informação retirada de histórico de ordens e confirmada com extrato de conta-corrente.</t>
        </r>
      </text>
    </comment>
    <comment ref="G69" authorId="0" shapeId="0" xr:uid="{00000000-0006-0000-0700-000016000000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Aparentemente, realizada durante leilões de abertura e fechamento. Verificar!</t>
        </r>
      </text>
    </comment>
    <comment ref="L69" authorId="1" shapeId="0" xr:uid="{00000000-0006-0000-0700-000017000000}">
      <text>
        <r>
          <rPr>
            <sz val="9"/>
            <color indexed="81"/>
            <rFont val="Tahoma"/>
            <family val="2"/>
          </rPr>
          <t>Nota de Corretagem não encontrada em meus arquivos. Informação retirada de histórico de ordens e confirmada com extrato de conta-corrente.</t>
        </r>
      </text>
    </comment>
    <comment ref="S69" authorId="0" shapeId="0" xr:uid="{00000000-0006-0000-0700-000018000000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Aparentemente, realizada durante leilões de abertura e fechamento. Verificar!</t>
        </r>
      </text>
    </comment>
    <comment ref="A73" authorId="1" shapeId="0" xr:uid="{00000000-0006-0000-0700-000019000000}">
      <text>
        <r>
          <rPr>
            <sz val="9"/>
            <color indexed="81"/>
            <rFont val="Tahoma"/>
            <family val="2"/>
          </rPr>
          <t>Nota de Corretagem não encontrada em meus arquivos. Informação retirada de histórico de ordens e confirmada com extrato de conta-corrente.</t>
        </r>
      </text>
    </comment>
    <comment ref="G73" authorId="0" shapeId="0" xr:uid="{00000000-0006-0000-0700-00001A000000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Aparentemente, realizada durante leilões de abertura e fechamento. Verificar!</t>
        </r>
      </text>
    </comment>
    <comment ref="L73" authorId="1" shapeId="0" xr:uid="{00000000-0006-0000-0700-00001B000000}">
      <text>
        <r>
          <rPr>
            <sz val="9"/>
            <color indexed="81"/>
            <rFont val="Tahoma"/>
            <family val="2"/>
          </rPr>
          <t>Nota de Corretagem não encontrada em meus arquivos. Informação retirada de histórico de ordens e confirmada com extrato de conta-corrente.</t>
        </r>
      </text>
    </comment>
    <comment ref="S73" authorId="0" shapeId="0" xr:uid="{00000000-0006-0000-0700-00001C000000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Aparentemente, realizada durante leilões de abertura e fechamento. Verificar!</t>
        </r>
      </text>
    </comment>
    <comment ref="A77" authorId="1" shapeId="0" xr:uid="{00000000-0006-0000-0700-00001D000000}">
      <text>
        <r>
          <rPr>
            <sz val="9"/>
            <color indexed="81"/>
            <rFont val="Tahoma"/>
            <family val="2"/>
          </rPr>
          <t>Nota de Corretagem não encontrada em meus arquivos. Informação retirada de histórico de ordens e confirmada com extrato de conta-corrente.</t>
        </r>
      </text>
    </comment>
    <comment ref="G77" authorId="0" shapeId="0" xr:uid="{00000000-0006-0000-0700-00001E000000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Aparentemente, realizada durante leilões de abertura e fechamento. Verificar!</t>
        </r>
      </text>
    </comment>
    <comment ref="L77" authorId="1" shapeId="0" xr:uid="{00000000-0006-0000-0700-00001F000000}">
      <text>
        <r>
          <rPr>
            <sz val="9"/>
            <color indexed="81"/>
            <rFont val="Tahoma"/>
            <family val="2"/>
          </rPr>
          <t xml:space="preserve">Nota de Corretagem não encontrada em meus arquivos. Informação retirada de histórico de ordens e confirmada com extrato de conta-corrente.
</t>
        </r>
      </text>
    </comment>
    <comment ref="S77" authorId="0" shapeId="0" xr:uid="{00000000-0006-0000-0700-000020000000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Aparentemente, realizada durante leilões de abertura e fechamento. Verificar!</t>
        </r>
      </text>
    </comment>
    <comment ref="T81" authorId="0" shapeId="0" xr:uid="{00000000-0006-0000-0700-000021000000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Corretagem acima do normal. Investigar...</t>
        </r>
      </text>
    </comment>
    <comment ref="S86" authorId="0" shapeId="0" xr:uid="{00000000-0006-0000-0700-000022000000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Aparentemente, realizada durante leilões de abertura e fechamento. Verificar!</t>
        </r>
      </text>
    </comment>
    <comment ref="S88" authorId="0" shapeId="0" xr:uid="{00000000-0006-0000-0700-000023000000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Aparentemente, realizada durante leilões de abertura e fechamento. Verificar!</t>
        </r>
      </text>
    </comment>
    <comment ref="S89" authorId="0" shapeId="0" xr:uid="{00000000-0006-0000-0700-000024000000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Aparentemente, realizada durante leilões de abertura e fechamento. Verificar!</t>
        </r>
      </text>
    </comment>
    <comment ref="A90" authorId="0" shapeId="0" xr:uid="{00000000-0006-0000-0700-000025000000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Informação encontrada apenas em planilha de controle anterior.</t>
        </r>
      </text>
    </comment>
    <comment ref="L90" authorId="0" shapeId="0" xr:uid="{00000000-0006-0000-0700-000026000000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Informação encontrada apenas em planilha de controle anterior.</t>
        </r>
      </text>
    </comment>
    <comment ref="A91" authorId="0" shapeId="0" xr:uid="{00000000-0006-0000-0700-000027000000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Informação encontrada apenas em planilha de controle anterior.</t>
        </r>
      </text>
    </comment>
    <comment ref="L91" authorId="0" shapeId="0" xr:uid="{00000000-0006-0000-0700-000028000000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Informação encontrada apenas em planilha de controle anterior.</t>
        </r>
      </text>
    </comment>
    <comment ref="L95" authorId="0" shapeId="0" xr:uid="{00000000-0006-0000-0700-000029000000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Informação encontrada em planilha de controle anterior e confirmada em extrato bovespa.</t>
        </r>
      </text>
    </comment>
    <comment ref="A96" authorId="0" shapeId="0" xr:uid="{00000000-0006-0000-0700-00002A000000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Informação encontrada apenas em planilha de controle anterior.</t>
        </r>
      </text>
    </comment>
    <comment ref="L96" authorId="0" shapeId="0" xr:uid="{00000000-0006-0000-0700-00002B000000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Informação encontrada em planilha de controle anterior e confirmada em extrato bovespa.</t>
        </r>
      </text>
    </comment>
    <comment ref="A97" authorId="0" shapeId="0" xr:uid="{00000000-0006-0000-0700-00002C000000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Informação encontrada apenas em planilha de controle anterior.</t>
        </r>
      </text>
    </comment>
    <comment ref="L97" authorId="0" shapeId="0" xr:uid="{00000000-0006-0000-0700-00002D000000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Informação encontrada em planilha de controle anterior e confirmada em extrato bovespa.</t>
        </r>
      </text>
    </comment>
    <comment ref="A101" authorId="0" shapeId="0" xr:uid="{00000000-0006-0000-0700-00002E000000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Informação encontrada apenas em planilha de controle anterior.</t>
        </r>
      </text>
    </comment>
    <comment ref="L101" authorId="0" shapeId="0" xr:uid="{00000000-0006-0000-0700-00002F000000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Informação encontrada em planilha de controle anterior e confirmada em extrato bovespa.</t>
        </r>
      </text>
    </comment>
    <comment ref="A105" authorId="0" shapeId="0" xr:uid="{00000000-0006-0000-0700-000030000000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Informação encontrada apenas em planilha de controle anterior.</t>
        </r>
      </text>
    </comment>
    <comment ref="L105" authorId="0" shapeId="0" xr:uid="{00000000-0006-0000-0700-000031000000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Informação encontrada em planilha de controle anterior e confirmada em extrato bovespa.</t>
        </r>
      </text>
    </comment>
    <comment ref="A109" authorId="0" shapeId="0" xr:uid="{00000000-0006-0000-0700-000032000000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Informação encontrada em planilha de controle anterior e confirmada em extrato bovespa.</t>
        </r>
      </text>
    </comment>
    <comment ref="L109" authorId="0" shapeId="0" xr:uid="{00000000-0006-0000-0700-000033000000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Informação encontrada em planilha de controle anterior e confirmada em extrato bovespa.</t>
        </r>
      </text>
    </comment>
    <comment ref="A110" authorId="0" shapeId="0" xr:uid="{00000000-0006-0000-0700-000034000000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Informação encontrada em planilha de controle anterior e confirmada em extrato bovespa.</t>
        </r>
      </text>
    </comment>
    <comment ref="L110" authorId="0" shapeId="0" xr:uid="{00000000-0006-0000-0700-000035000000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Informação encontrada em planilha de controle anterior e confirmada em extrato bovespa.</t>
        </r>
      </text>
    </comment>
    <comment ref="A111" authorId="0" shapeId="0" xr:uid="{00000000-0006-0000-0700-000036000000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Informação encontrada apenas em planilha de controle anterior.</t>
        </r>
      </text>
    </comment>
    <comment ref="L111" authorId="0" shapeId="0" xr:uid="{00000000-0006-0000-0700-000037000000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Informação encontrada em planilha de controle anterior e confirmada em extrato bovespa.</t>
        </r>
      </text>
    </comment>
    <comment ref="A115" authorId="0" shapeId="0" xr:uid="{00000000-0006-0000-0700-000038000000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Informação encontrada apenas em planilha de controle anterior.</t>
        </r>
      </text>
    </comment>
    <comment ref="L115" authorId="0" shapeId="0" xr:uid="{00000000-0006-0000-0700-000039000000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Informação encontrada apenas em planilha de controle anterior.</t>
        </r>
      </text>
    </comment>
    <comment ref="A119" authorId="1" shapeId="0" xr:uid="{00000000-0006-0000-0700-00003A000000}">
      <text>
        <r>
          <rPr>
            <sz val="9"/>
            <color indexed="81"/>
            <rFont val="Tahoma"/>
            <family val="2"/>
          </rPr>
          <t>Nota de Corretagem não encontrada em meus arquivos. Informação retirada de histórico de ordens e confirmada com extrato de conta-corrente.</t>
        </r>
      </text>
    </comment>
    <comment ref="G119" authorId="0" shapeId="0" xr:uid="{00000000-0006-0000-0700-00003B000000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Aparentemente, realizada durante leilões de abertura e fechamento. Verificar!</t>
        </r>
      </text>
    </comment>
    <comment ref="L119" authorId="0" shapeId="0" xr:uid="{00000000-0006-0000-0700-00003C000000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Informação encontrada apenas em planilha de controle anterior.</t>
        </r>
      </text>
    </comment>
    <comment ref="A123" authorId="0" shapeId="0" xr:uid="{00000000-0006-0000-0700-00003D000000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Informação encontrada em planilha de controle anterior e confirmada em extrato bovespa.</t>
        </r>
      </text>
    </comment>
    <comment ref="W127" authorId="0" shapeId="0" xr:uid="{00000000-0006-0000-0700-00003E000000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Total da nota foi de R$ 445,54. Nesta nota, estranhamente, foi cobrado o ISS (0,51).</t>
        </r>
      </text>
    </comment>
    <comment ref="G132" authorId="0" shapeId="0" xr:uid="{00000000-0006-0000-0700-00003F000000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Aparentemente, realizada durante leilões de abertura e fechamento. Verificar!</t>
        </r>
      </text>
    </comment>
    <comment ref="S132" authorId="0" shapeId="0" xr:uid="{00000000-0006-0000-0700-000040000000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Aparentemente, realizada durante leilões de abertura e fechamento. Verificar!</t>
        </r>
      </text>
    </comment>
    <comment ref="G143" authorId="0" shapeId="0" xr:uid="{00000000-0006-0000-0700-000041000000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Aparentemente, realizada durante leilões de abertura e fechamento. Verificar!</t>
        </r>
      </text>
    </comment>
    <comment ref="A146" authorId="0" shapeId="0" xr:uid="{00000000-0006-0000-0700-000042000000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Informação encontrada apenas em planilha de controle anterior.</t>
        </r>
      </text>
    </comment>
    <comment ref="Z148" authorId="0" shapeId="0" xr:uid="{00000000-0006-0000-0700-000043000000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Recolhido a menor (R$ 458,93) no dia 27/02/2017 - A venda da VALE5 acabou ficando de fora do cálculo, assim como as taxas de custódia, prejuízos e IRRF acumulados.</t>
        </r>
      </text>
    </comment>
    <comment ref="S156" authorId="0" shapeId="0" xr:uid="{00000000-0006-0000-0700-000044000000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Aparentemente, realizada durante leilões de abertura e fechamento. Verificar!</t>
        </r>
      </text>
    </comment>
    <comment ref="T156" authorId="0" shapeId="0" xr:uid="{00000000-0006-0000-0700-000045000000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O valor correto seria R$ 4,00.</t>
        </r>
      </text>
    </comment>
    <comment ref="H158" authorId="0" shapeId="0" xr:uid="{00000000-0006-0000-0700-000046000000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O valor correto seria R$ 4,00.</t>
        </r>
      </text>
    </comment>
    <comment ref="G160" authorId="0" shapeId="0" xr:uid="{00000000-0006-0000-0700-000047000000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Aparentemente, realizada durante leilões de abertura e fechamento. Verificar!</t>
        </r>
      </text>
    </comment>
    <comment ref="T161" authorId="0" shapeId="0" xr:uid="{00000000-0006-0000-0700-000048000000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O valor correto seria R$ 4,00.</t>
        </r>
      </text>
    </comment>
    <comment ref="S166" authorId="0" shapeId="0" xr:uid="{00000000-0006-0000-0700-000049000000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Aparentemente, realizada durante leilões de abertura e fechamento. Verificar!</t>
        </r>
      </text>
    </comment>
    <comment ref="S173" authorId="0" shapeId="0" xr:uid="{00000000-0006-0000-0700-00004A000000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Aparentemente, realizada durante leilões de abertura e fechamento. Verificar!</t>
        </r>
      </text>
    </comment>
    <comment ref="A206" authorId="0" shapeId="0" xr:uid="{00000000-0006-0000-0700-00004B000000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Informação encontrada em planilha de controle anterior e confirmada em extrato bovespa.</t>
        </r>
      </text>
    </comment>
    <comment ref="A218" authorId="0" shapeId="0" xr:uid="{00000000-0006-0000-0700-00004C000000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Informação encontrada em planilha de controle anterior e confirmada em extrato bovespa.</t>
        </r>
      </text>
    </comment>
    <comment ref="A222" authorId="0" shapeId="0" xr:uid="{00000000-0006-0000-0700-00004D000000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Informação encontrada em planilha de controle anterior e confirmada em extrato bovespa.</t>
        </r>
      </text>
    </comment>
    <comment ref="A231" authorId="0" shapeId="0" xr:uid="{00000000-0006-0000-0700-00004E000000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Informação encontrada apenas em planilha de controle anterior.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Avell</author>
    <author>Andrei Diego Cardoso</author>
  </authors>
  <commentList>
    <comment ref="B4" authorId="0" shapeId="0" xr:uid="{00000000-0006-0000-0B00-000001000000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Março - 135,5 + 21,11 = 156,61
Abril - 220,93 + 32,28 = 253,21
Maio - 527,35 + 58,39 = 585,74
Junho -  `123,42 + 57,24 = 180,66
Faltou parte de Junho = 18,40 (Consolidação tardia da venda de BEEF3 alterou o resultado retroativamente)
156,61 + 253,21 + 585,74 + 180,66 = 1176,22
1176,22 -18,40 = 1157,82</t>
        </r>
      </text>
    </comment>
    <comment ref="B5" authorId="0" shapeId="0" xr:uid="{00000000-0006-0000-0B00-000002000000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Julho - 254,93
Agosto - 600,92 + 7,13 = 608,05
Restante de Junho = 18,40
Diferença Acumulada = 39,17
254,93 + 608,05 = 862,98
862,98 + 18,40 + 39,17 = 920,55</t>
        </r>
      </text>
    </comment>
    <comment ref="B6" authorId="0" shapeId="0" xr:uid="{00000000-0006-0000-0B00-000003000000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Setembro = 221,36 + 19,78 = 241,14</t>
        </r>
      </text>
    </comment>
    <comment ref="L6" authorId="0" shapeId="0" xr:uid="{00000000-0006-0000-0B00-000004000000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VALE5</t>
        </r>
      </text>
    </comment>
    <comment ref="B7" authorId="0" shapeId="0" xr:uid="{00000000-0006-0000-0B00-000005000000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Outubro = 80,83 + 85,88 = 166,71
Ventilador = 9,50 
Wap = 30,00
Ar condicionado = 90,00
Presente Nicinha = 30,00
166,71 +  9,50 + 30,00 + 90,00 + 30,00 = 326,21</t>
        </r>
      </text>
    </comment>
    <comment ref="L7" authorId="0" shapeId="0" xr:uid="{00000000-0006-0000-0B00-000006000000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Referente a multa (R$ 7,97) e juros (R$ 24,16) não recolhidos</t>
        </r>
      </text>
    </comment>
    <comment ref="B8" authorId="0" shapeId="0" xr:uid="{00000000-0006-0000-0B00-000007000000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Novembro = 33,84 + 16,87 = 50,71
Dezembro = 0 + 13,09 = 13,09
Restituição IRPF = 584,54
Presente Nicinha = 43,00
Janeiro = 222,32
50,71 + 13,09 + 584,54 + 43,00 + 222,32 = 913,66</t>
        </r>
      </text>
    </comment>
    <comment ref="B9" authorId="0" shapeId="0" xr:uid="{00000000-0006-0000-0B00-000008000000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Dezembro = 12,84
Resgate Tesouro Direto = 40,75
Janeiro = 95,26 + 2,04
Fevereiro = 705,72
12,84 + 40,75 + 95,26 + 2,04 + 705,72 = 856,61</t>
        </r>
      </text>
    </comment>
    <comment ref="B10" authorId="0" shapeId="0" xr:uid="{00000000-0006-0000-0B00-000009000000}">
      <text>
        <r>
          <rPr>
            <sz val="9"/>
            <color indexed="81"/>
            <rFont val="Segoe UI"/>
            <family val="2"/>
          </rPr>
          <t>Abril: 0 + 6,06
Maio: 23,37 + 48,95
Junho: 2,38 + 45,36
Julho: 10,56 + 22,50
Agosto: 0 + 19,94
Outubro: 0 + 20,03
Novembro: 0 + 36,07
Dezembro: 0 + 63,02
Vendas/Presentes/Juros 02-12/2018: 200,63
6,06 + 23,37 + 48,95 + 2,38 + 45,36 + 10,56 + 22,50 + 19,94 + 20,03 + 36,07 + 63,02 + 200,63 = 498,87</t>
        </r>
      </text>
    </comment>
    <comment ref="B11" authorId="0" shapeId="0" xr:uid="{00000000-0006-0000-0B00-00000A000000}">
      <text>
        <r>
          <rPr>
            <sz val="9"/>
            <color indexed="81"/>
            <rFont val="Segoe UI"/>
            <family val="2"/>
          </rPr>
          <t>Dezembro: 0 + 0
Janeiro: 0 + 0
Fevereiro: 0 + 0,67
Março: 0 + 0
Abril: 0 + 0
Maio: 0 + 47,88
Junho: 0 + 59,23
Julho: 0 + 39,47
Agosto: 11,54 + 27,68
Setembro: 0 + 0
Outubro: 0 + 8,50
Aluguéis/Presentes/Juros 12/2018-09/2019: 1.431,01
0,67 + 47,88 + 59,23 + 39,47 + 11,54 + 27,68 + 8,50 + 1.431,01 = 1625,98</t>
        </r>
      </text>
    </comment>
    <comment ref="B12" authorId="0" shapeId="0" xr:uid="{00000000-0006-0000-0B00-00000B000000}">
      <text>
        <r>
          <rPr>
            <sz val="9"/>
            <color indexed="81"/>
            <rFont val="Segoe UI"/>
            <family val="2"/>
          </rPr>
          <t>Aluguéis/Presentes/Juros 10/2019: 157,19</t>
        </r>
      </text>
    </comment>
    <comment ref="B13" authorId="1" shapeId="0" xr:uid="{989E0112-9B92-4BDD-BC0F-1FE6EE8035C9}">
      <text>
        <r>
          <rPr>
            <b/>
            <sz val="9"/>
            <color indexed="81"/>
            <rFont val="Tahoma"/>
            <family val="2"/>
          </rPr>
          <t>Bolsa: Vendas + Dividendos</t>
        </r>
        <r>
          <rPr>
            <sz val="9"/>
            <color indexed="81"/>
            <rFont val="Tahoma"/>
            <family val="2"/>
          </rPr>
          <t xml:space="preserve">
Outubro: 128,85 + 6,80
Novembro: 0 + 41,42
Dezembro: 0 + 52,21
Janeiro: 0 + 0
Fevereiro: 0 + 26,46
Março: 0 + 0
</t>
        </r>
        <r>
          <rPr>
            <b/>
            <sz val="9"/>
            <color indexed="81"/>
            <rFont val="Tahoma"/>
            <family val="2"/>
          </rPr>
          <t>Receitas Extras</t>
        </r>
        <r>
          <rPr>
            <sz val="9"/>
            <color indexed="81"/>
            <rFont val="Tahoma"/>
            <family val="2"/>
          </rPr>
          <t xml:space="preserve"> 09/2019 - 03/2020: 955,94
</t>
        </r>
        <r>
          <rPr>
            <b/>
            <sz val="9"/>
            <color indexed="10"/>
            <rFont val="Tahoma"/>
            <family val="2"/>
          </rPr>
          <t xml:space="preserve">Vendas Marcia 04/2020 = 161,64
</t>
        </r>
        <r>
          <rPr>
            <sz val="9"/>
            <color indexed="81"/>
            <rFont val="Tahoma"/>
            <family val="2"/>
          </rPr>
          <t xml:space="preserve">
128,85 + 6,80 + 41,42 + 52,21 + 26,46 + 955,94 + 161,64 = 1.373,32</t>
        </r>
      </text>
    </comment>
    <comment ref="B14" authorId="1" shapeId="0" xr:uid="{41400488-14FE-4D78-8405-8973DFAEFCD9}">
      <text>
        <r>
          <rPr>
            <b/>
            <sz val="9"/>
            <color indexed="81"/>
            <rFont val="Tahoma"/>
            <family val="2"/>
          </rPr>
          <t>Bolsa: Vendas + Dividendos</t>
        </r>
        <r>
          <rPr>
            <sz val="9"/>
            <color indexed="81"/>
            <rFont val="Tahoma"/>
            <family val="2"/>
          </rPr>
          <t xml:space="preserve">
Abril: 0 + 0
</t>
        </r>
        <r>
          <rPr>
            <b/>
            <sz val="9"/>
            <color indexed="81"/>
            <rFont val="Tahoma"/>
            <family val="2"/>
          </rPr>
          <t>Receitas Extras</t>
        </r>
        <r>
          <rPr>
            <sz val="9"/>
            <color indexed="81"/>
            <rFont val="Tahoma"/>
            <family val="2"/>
          </rPr>
          <t xml:space="preserve"> 04/2020: 6.190,65</t>
        </r>
      </text>
    </comment>
    <comment ref="B15" authorId="1" shapeId="0" xr:uid="{2BA8B839-4E25-40C7-B8A9-FADF7D263D4B}">
      <text>
        <r>
          <rPr>
            <b/>
            <sz val="9"/>
            <color indexed="81"/>
            <rFont val="Tahoma"/>
            <family val="2"/>
          </rPr>
          <t>Bolsa: Vendas + Dividendos</t>
        </r>
        <r>
          <rPr>
            <sz val="9"/>
            <color indexed="81"/>
            <rFont val="Tahoma"/>
            <family val="2"/>
          </rPr>
          <t xml:space="preserve">
Maio: 91,52 + 73,61
Junho: 290,33 + 40,25
Julho: 0,00 + 0,00
</t>
        </r>
        <r>
          <rPr>
            <b/>
            <sz val="9"/>
            <color indexed="81"/>
            <rFont val="Tahoma"/>
            <family val="2"/>
          </rPr>
          <t>Receitas Extras</t>
        </r>
        <r>
          <rPr>
            <sz val="9"/>
            <color indexed="81"/>
            <rFont val="Tahoma"/>
            <family val="2"/>
          </rPr>
          <t xml:space="preserve"> 05/2020 - 07/2020: 0,00
91,52 + 73,61 + 290,33 + 40,25 = 495,71</t>
        </r>
      </text>
    </comment>
    <comment ref="B16" authorId="1" shapeId="0" xr:uid="{610B6D47-EDE8-409F-B811-9DE0465390AC}">
      <text>
        <r>
          <rPr>
            <b/>
            <sz val="9"/>
            <color indexed="81"/>
            <rFont val="Tahoma"/>
            <family val="2"/>
          </rPr>
          <t>Bolsa: Vendas + Dividendos</t>
        </r>
        <r>
          <rPr>
            <sz val="9"/>
            <color indexed="81"/>
            <rFont val="Tahoma"/>
            <family val="2"/>
          </rPr>
          <t xml:space="preserve">
Agosto: 0,00 + 104,01
Setembro: 0,00 + 50,78
Outubro: 0,00 + 0,00
Novembro: 534,17 + 29,80
Dezembro: 934,12 + 47,51
Janeiro: 930,08 + 0,00
</t>
        </r>
        <r>
          <rPr>
            <b/>
            <sz val="9"/>
            <color indexed="81"/>
            <rFont val="Tahoma"/>
            <family val="2"/>
          </rPr>
          <t>Receitas Extras</t>
        </r>
        <r>
          <rPr>
            <sz val="9"/>
            <color indexed="81"/>
            <rFont val="Tahoma"/>
            <family val="2"/>
          </rPr>
          <t xml:space="preserve"> 08/2020 - 01/2021: 558,06
104,01 + 50,78 + 534,17 + 29,80 + 934,12 + 47,51 + 930,08 + 558,06 = </t>
        </r>
        <r>
          <rPr>
            <b/>
            <sz val="9"/>
            <color indexed="81"/>
            <rFont val="Tahoma"/>
            <family val="2"/>
          </rPr>
          <t>3.188,53</t>
        </r>
      </text>
    </comment>
    <comment ref="B17" authorId="1" shapeId="0" xr:uid="{719D5F99-35B0-4498-8DF9-7CA576D9B570}">
      <text>
        <r>
          <rPr>
            <b/>
            <sz val="9"/>
            <color indexed="81"/>
            <rFont val="Tahoma"/>
            <family val="2"/>
          </rPr>
          <t>Bolsa: Vendas + Dividendos</t>
        </r>
        <r>
          <rPr>
            <sz val="9"/>
            <color indexed="81"/>
            <rFont val="Tahoma"/>
            <family val="2"/>
          </rPr>
          <t xml:space="preserve">
Março: 941,15 + 19,77
Abril: 914,59 + 79,16
Maio: 1.330,80 + 103,16
Junho 0,00 + 100,49
Agosto: 0,00 + 222,89
Setembro: 0,00 + 16,88
</t>
        </r>
        <r>
          <rPr>
            <b/>
            <sz val="9"/>
            <color indexed="81"/>
            <rFont val="Tahoma"/>
            <family val="2"/>
          </rPr>
          <t>Receitas Extras</t>
        </r>
        <r>
          <rPr>
            <sz val="9"/>
            <color indexed="81"/>
            <rFont val="Tahoma"/>
            <family val="2"/>
          </rPr>
          <t xml:space="preserve"> 02/2021 - 10/2021: 1.587,66
941,15 + 19,77 + 914,59 + 79,16 + 1.330,80 + 103,16 + 100,49 + 222,89 + 16,88 + 1.587,66 = </t>
        </r>
        <r>
          <rPr>
            <b/>
            <sz val="9"/>
            <color indexed="81"/>
            <rFont val="Tahoma"/>
            <family val="2"/>
          </rPr>
          <t>5.316,55</t>
        </r>
      </text>
    </comment>
  </commentList>
</comments>
</file>

<file path=xl/sharedStrings.xml><?xml version="1.0" encoding="utf-8"?>
<sst xmlns="http://schemas.openxmlformats.org/spreadsheetml/2006/main" count="1868" uniqueCount="553">
  <si>
    <t>Investimento</t>
  </si>
  <si>
    <t>Garantia</t>
  </si>
  <si>
    <t>Tributação</t>
  </si>
  <si>
    <t>Recomendação</t>
  </si>
  <si>
    <t>Renda Fixa</t>
  </si>
  <si>
    <t>Padrão</t>
  </si>
  <si>
    <t>DI</t>
  </si>
  <si>
    <t>Inflação</t>
  </si>
  <si>
    <t>Renda Variável</t>
  </si>
  <si>
    <t>Fundos</t>
  </si>
  <si>
    <t>Fundos de curtos prazo - Quais???
- Imposto de Renda na fonte
- Aliquotas:
Até 180 dias - 22,50% 
Acima de 180 dias - 20%
Fundos de longo prazo - Quais???
- Imposto de Renda na fonte
- Aliquotas:
Até 180 dias - 22,5% 
181 a 360 dias - 20%
361 a 720 dias - 17,5%
Acima de 720 dias - 15%
- Imposto (Come-Cotas) é recolhido antecipadamente pela menor alíquota (15% ou 20% do rendimento no período a depender do tipo de fundo) no último dia útil dos meses de Maio e Novembro
- Recolhimento da diferença de imposto no resgate
IOF incide sobre o rendimento dos fundos nos resgates feitos num período inferior a 30 dias
- Variar de 96% a zero
- Fundos com carência: resgate antes do prazo, incidência do IOF e ganhos obtidos pela aplicação são zerados</t>
  </si>
  <si>
    <t>- Reserva de emergência: fundo DI barato;
- 22,5 por cento para resgates em menos de seis meses e 15 por cento para mais de dois anos;</t>
  </si>
  <si>
    <t>Tesouro Selic</t>
  </si>
  <si>
    <t>LCI</t>
  </si>
  <si>
    <t>LCA</t>
  </si>
  <si>
    <t>CDB</t>
  </si>
  <si>
    <t>- seguro do fundo garantidor de crédito (FGC) até R$ 250.000 por CPF por instituição;
- imposto de renda, que incide de forma decrescente;</t>
  </si>
  <si>
    <t>pós fixado</t>
  </si>
  <si>
    <t>- rentabilidade atrelada a um percentual do CDI;
- CDI varia ao longo do tempo</t>
  </si>
  <si>
    <t>prefixado</t>
  </si>
  <si>
    <t>padrão</t>
  </si>
  <si>
    <t>- taxa fixa ao ano</t>
  </si>
  <si>
    <t>renda mensal, como se fosse um aluguel</t>
  </si>
  <si>
    <t>Previdência</t>
  </si>
  <si>
    <t>- não passam por inventário;
- em geral, também não pagam ITCMD, o Imposto sobre Transmissão Causa Mortis e Doação – por meio do qual o Leão morde de 2 por cento a 8 por cento do seu patrimônio (têm mudado em alguns Estados, como Minas Gerais, Goiás, Rio e Paraná);
- converter a previdência em renda em caso de doença grave sem pagamento de impostos;
- possibilidade de aderir à tabela regressiva do Imposto de Renda. Os anos passam, o imposto cai. Dez anos depois da contribuição, o imposto chega a 10 por cento;
- resgates em menos de dois anos pagam imposto de 35 por cento sobre o retorno! De dois a quatro anos, 30 por cento;
- morte até seis anos depois da contribuição, 25 por cento ficam para o Leão</t>
  </si>
  <si>
    <t>Ações</t>
  </si>
  <si>
    <t>- Alíquota única de Imposto de Renda - 15%
- Independente do prazo do investimento
- Cobrado no resgate sobre o rendimento bruto</t>
  </si>
  <si>
    <t>Multimercado</t>
  </si>
  <si>
    <t>Queda da SELIC, alta do multimercado. Por que?</t>
  </si>
  <si>
    <t>Câmbio</t>
  </si>
  <si>
    <t>Imobiliário</t>
  </si>
  <si>
    <t>IR: 20% sobre o ganho de capital</t>
  </si>
  <si>
    <t>Futuro</t>
  </si>
  <si>
    <t>- alavancando até 50 vezes</t>
  </si>
  <si>
    <t>Índices (nacionais e internacionais)</t>
  </si>
  <si>
    <t>Commodities (como milho, café, boi gordo)</t>
  </si>
  <si>
    <t>Moedas (dólar)</t>
  </si>
  <si>
    <t>Empresas dos EUA ou mesmo em taxas de Juros (DI)</t>
  </si>
  <si>
    <t>- Incidência: ganho de capital (descontar corretagem, taxas e emolumentos, ISS, "dedo-duro", prejuízos anteriores e outros custos)
- Apuração: Mensal, pela data de compra ou venda, não pela data de liquidação financeira
- Recolhimento: até o último dia útil do mês subsequente àquele em que os ganhos houverem sido apurados. DARF código 6015 gerado pelo Sicalc (cálcula juros e multa automaticamente em caso de atraso no pagamento) ou Internet Banking
- Juros de mora: Selic do período que vai do mês seguinte ao do vencimento do tributo até o mês anterior ao pagamento mais 1%, referente ao mês de pagamento
- Multa: 0,33% por dia de atraso (do primeiro dia útil a seguir do vencimento do tributo até o dia em que ocorrer o pagamento), limitado a 20% sobre o valor do tributo devido</t>
  </si>
  <si>
    <t>Prejuízos: 
- com operações comuns, só podem ser abatidos de lucros com operações comuns;
- com operações day trade, só podem ser abatidos dos lucros com operações day trade;
- com a venda de cotas de fundos imobiliários, só podem ser abatidos de lucros obtidos com a venda de fundos imobiliários;
- com qualquer venda, podem ser abatidos de lucros com qualquer outra venda, seja com ações à vista, ações a termo, ETFs, futuros ou opções;
- nunca expiram. Podem ser carregados de um ano para o outro</t>
  </si>
  <si>
    <t>Comum</t>
  </si>
  <si>
    <t>- Fonte: 0,005%
- Ajuste Mensal: Vendas acima de R$ 20 mil, 15%</t>
  </si>
  <si>
    <t>Day-Trade</t>
  </si>
  <si>
    <t>- alavancagem de até 15 vezes</t>
  </si>
  <si>
    <t>- Fonte: 1%
- Ajuste Mensal: 20% sobre toda operação de venda</t>
  </si>
  <si>
    <t>Derivativos</t>
  </si>
  <si>
    <t>Opções</t>
  </si>
  <si>
    <t>Alta de juros favorece renda fixa (lucro garantido, sem risco)</t>
  </si>
  <si>
    <t>Debêntures</t>
  </si>
  <si>
    <t>Títulos Públicos</t>
  </si>
  <si>
    <t>quando as taxas sobem, os preços dos títulos caem. Quando as taxas caem, os preços dos títulos sobem.</t>
  </si>
  <si>
    <t>poupança, LCI, LCA, Tesouro Direto e Debêntures, o CDB é um investimento em Renda Fixa</t>
  </si>
  <si>
    <t>Atenção à OI em recuperação judicial</t>
  </si>
  <si>
    <t>PDG Realty próxima de recuperação também</t>
  </si>
  <si>
    <t>Setores</t>
  </si>
  <si>
    <t>Financeiro</t>
  </si>
  <si>
    <t>BB, Itau</t>
  </si>
  <si>
    <t>Commodities</t>
  </si>
  <si>
    <t>Vale, JBS</t>
  </si>
  <si>
    <t>MRV, Cyrela, Gafisa</t>
  </si>
  <si>
    <t>Siderurgia</t>
  </si>
  <si>
    <t>Gerdau</t>
  </si>
  <si>
    <t>Infraestrutura</t>
  </si>
  <si>
    <t>Sabesp(SBSP3) - possível aprovação do imposto municipal
Ecorodovias (ECOR3)
Rumo (RUMO3)</t>
  </si>
  <si>
    <t>Energia</t>
  </si>
  <si>
    <t>Suzano</t>
  </si>
  <si>
    <t>Estratégias</t>
  </si>
  <si>
    <t>Valorização de papéis (Day-trade)</t>
  </si>
  <si>
    <t>Formação de patrimônio - Longo-prazo (Dividendos)</t>
  </si>
  <si>
    <t>Mercados</t>
  </si>
  <si>
    <t>a vista</t>
  </si>
  <si>
    <t>a termo</t>
  </si>
  <si>
    <t>opções</t>
  </si>
  <si>
    <t>futuros</t>
  </si>
  <si>
    <t>Critério escolha ações</t>
  </si>
  <si>
    <t>Dividendos</t>
  </si>
  <si>
    <t>volume médio diário (últimos 21 dias) acima de 200.000</t>
  </si>
  <si>
    <t>lucros constantes u'ltimos 5 anos</t>
  </si>
  <si>
    <t>dividendos constantes últimos 5 anos</t>
  </si>
  <si>
    <t>payout inferior a 70%</t>
  </si>
  <si>
    <t>maior dividend yield</t>
  </si>
  <si>
    <t>Valor de mercado &gt; 500.000.000,00 (preço da ação * número de ações) - solidez</t>
  </si>
  <si>
    <t>Nível de governança corporativa - confiabilidade</t>
  </si>
  <si>
    <t>Liquidez corrente &gt; 1.5x - capacidade de pagamento de dívidas de curto prazo (ativo circulante - passivo circulante)</t>
  </si>
  <si>
    <t>Retorno sobre patrimonio líquido &gt; 20% - lucro líquido / patrimônio líquido</t>
  </si>
  <si>
    <t>Divida Bruta / Patrimônio Líquido &lt; 50%</t>
  </si>
  <si>
    <t>Crescimento dos lucros acima de 5% ao ano nos últimos 5 anos</t>
  </si>
  <si>
    <t>Lucros constantes nos últimos 5 anos?</t>
  </si>
  <si>
    <t>Distribuiu dividendos nos últimos 5 anos (ininterruptos)</t>
  </si>
  <si>
    <t>Preço / Valor Patrimonial (P/VPA) menor que 2 vezes</t>
  </si>
  <si>
    <t>Preço/Lucro por ação (P/L) menor que 15x</t>
  </si>
  <si>
    <t>Volume Médio Diário (21d) &gt; 1.000.000,00 - liquidez</t>
  </si>
  <si>
    <t>Data Mov.</t>
  </si>
  <si>
    <t>Data Liq.</t>
  </si>
  <si>
    <t>Histórico</t>
  </si>
  <si>
    <t>Débito</t>
  </si>
  <si>
    <t>Crédito</t>
  </si>
  <si>
    <t>TED RECEBIDA</t>
  </si>
  <si>
    <t>DOC RECEBIDO</t>
  </si>
  <si>
    <t>VALOR LIQUIDO DA NOTA 1662 PREGÃO 05/11/2008</t>
  </si>
  <si>
    <t>VALOR LIQUIDO DA NOTA 1344 PREGÃO 06/11/2008</t>
  </si>
  <si>
    <t>DIVIDENDOS S/ 100 AÇÕES BBAS3 IRRF 0,00</t>
  </si>
  <si>
    <t>DIVIDENDOS S/ 100 AÇÕES GGBR4 IRRF 0,00</t>
  </si>
  <si>
    <t>DEV. DE CORRETAGEM BOVESPA</t>
  </si>
  <si>
    <t>DIVIDENDOS S/ 100 AÇÕES ITSA4 IRRF 0,00</t>
  </si>
  <si>
    <t>VALOR LIQUIDO DA NOTA 1319 PREGÃO 05/02/2009</t>
  </si>
  <si>
    <t>VALOR LIQUIDO DA NOTA 1362 PREGÃO 09/02/2009</t>
  </si>
  <si>
    <t>VALOR LIQUIDO DA NOTA 1368 PREGÃO 10/02/2009</t>
  </si>
  <si>
    <t>VALOR LIQUIDO DA NOTA 903 PREGÃO 25/02/2009</t>
  </si>
  <si>
    <t>RENDIMENTO 100 AÇÕES BBAS3 IRRF 0,07</t>
  </si>
  <si>
    <t>RENDIMENTO 100 AÇÕES BBAS3 IRRF 0,13</t>
  </si>
  <si>
    <t>JUROS S/ CAPITAL 100 AÇÕES BBAS3 IRRF 2,39</t>
  </si>
  <si>
    <t>DIVIDENDOS S/ 200 AÇÕES GGBR4 IRRF 0,00</t>
  </si>
  <si>
    <t>VALOR LIQUIDO DA NOTA 1104 PREGÃO 13/03/2009</t>
  </si>
  <si>
    <t>JUROS S/ CAPITAL 100 AÇÕES ITSA4 IRRF 0,64</t>
  </si>
  <si>
    <t>JUROS S/ CAPITAL 100 AÇÕES ITSA4 IRRF 1,96</t>
  </si>
  <si>
    <t>VALOR LIQUIDO DA NOTA 1029 PREGÃO 20/03/2009</t>
  </si>
  <si>
    <t>VALOR LIQUIDO DA NOTA 1112 PREGÃO 01/04/2009</t>
  </si>
  <si>
    <t>VALOR LIQUIDO DA NOTA 1782 PREGÃO 02/04/2009</t>
  </si>
  <si>
    <t>VALOR LIQUIDO DA NOTA 1401 PREGÃO 09/04/2009</t>
  </si>
  <si>
    <t>VALOR LIQUIDO DA NOTA 1455 PREGÃO 24/04/2009</t>
  </si>
  <si>
    <t>MOV. DÉBITO BOVESPA/BM&amp;F</t>
  </si>
  <si>
    <t>(Extrato de Conta-Corrente)</t>
  </si>
  <si>
    <t>VALOR LIQUIDO DA NOTA 1443 PREGÃO 27/04/2009</t>
  </si>
  <si>
    <t>VALOR LIQUIDO DA NOTA 1411 PREGÃO 28/04/2009</t>
  </si>
  <si>
    <t>JUROS S/ CAPITAL 200 AÇÕES PETR4 IRRF 11,40</t>
  </si>
  <si>
    <t>RENDIMENTO 200 AÇÕES PETR4 IRRF 0,63</t>
  </si>
  <si>
    <t>VALOR LIQUIDO DA NOTA 1461 PREGÃO 30/04/2009</t>
  </si>
  <si>
    <t>VALOR LIQUIDO DA NOTA 2060 PREGÃO 04/05/2009</t>
  </si>
  <si>
    <t>VALOR LIQUIDO DA NOTA 1648 PREGÃO 05/05/2009</t>
  </si>
  <si>
    <t>VALOR LIQUIDO DA NOTA 1315 PREGÃO 11/05/2009</t>
  </si>
  <si>
    <t>VALOR LIQUIDO DA NOTA 1581 PREGÃO 13/05/2009</t>
  </si>
  <si>
    <t>VALOR LIQUIDO DA NOTA 1430 PREGÃO 26/05/2009</t>
  </si>
  <si>
    <t>JUROS S/ CAPITAL 100 AÇÕES BBAS3 IRRF 2,61</t>
  </si>
  <si>
    <t>IR SOBRE OPERAÇÕES LIQ 04/05/2009</t>
  </si>
  <si>
    <t>IR SOBRE OPERAÇÕES LIQ 05/05/2009</t>
  </si>
  <si>
    <t>IR SOBRE OPERAÇÕES LIQ 27/05/2009</t>
  </si>
  <si>
    <t>IR SOBRE OPERAÇÕES LIQ 26/05/2009</t>
  </si>
  <si>
    <t>VALOR LIQUIDO DA NOTA 1681 PREGÃO 27/05/2009</t>
  </si>
  <si>
    <t>VALOR LIQUIDO DA NOTA 1246 PREGÃO 28/05/2009</t>
  </si>
  <si>
    <t>VALOR LIQUIDO DA NOTA 1525 PREGÃO 29/05/2009</t>
  </si>
  <si>
    <t>JUROS S/ CAPITAL 100 AÇÕES ITSA4 IRRF 2,07</t>
  </si>
  <si>
    <t>VALOR LIQUIDO DA NOTA 993 PREGÃO 10/06/2009</t>
  </si>
  <si>
    <t>VALOR LIQUIDO DA NOTA 1584 PREGÃO 15/06/2009</t>
  </si>
  <si>
    <t>VALOR LIQUIDO DA NOTA 1048 PREGÃO 19/06/2009</t>
  </si>
  <si>
    <t>RENDIMENTO 200 AÇÕES PETR4 IRRF 0,89</t>
  </si>
  <si>
    <t>VALOR LIQUIDO DA NOTA 1298 PREGÃO 16/07/2009</t>
  </si>
  <si>
    <t>VALOR LIQUIDO DA NOTA 1240 PREGÃO 28/07/2009</t>
  </si>
  <si>
    <t>VALOR LIQUIDO DA NOTA 1305 PREGÃO 05/08/2009</t>
  </si>
  <si>
    <t>VALOR LIQUIDO DA NOTA 1257 PREGÃO 12/08/2009</t>
  </si>
  <si>
    <t>RENDIMENTO 200 AÇÕES PETR4 IRRF 0,10</t>
  </si>
  <si>
    <t>JUROS S/ CAPITAL 200 AÇÕES PETR4 IRRF 1,20</t>
  </si>
  <si>
    <t>VALOR LIQUIDO DA NOTA 1462 PREGÃO 17/09/2009</t>
  </si>
  <si>
    <t>VALOR LIQUIDO DA NOTA 1213 PREGÃO 24/09/2009</t>
  </si>
  <si>
    <t>JUROS S/ CAPITAL 200 AÇÕES PETR4 IRRF 9,00</t>
  </si>
  <si>
    <t>VALOR LIQUIDO DA NOTA 1267 PREGÃO 02/12/2009</t>
  </si>
  <si>
    <t>VALOR LIQUIDO DA NOTA 1168 PREGÃO 07/12/2009</t>
  </si>
  <si>
    <t>VALOR LIQUIDO DA NOTA 1183 PREGÃO 09/12/2009</t>
  </si>
  <si>
    <t>VALOR LIQUIDO DA NOTA 1281 PREGÃO 10/12/2009</t>
  </si>
  <si>
    <t>VALOR LIQUIDO DA NOTA 1171 PREGÃO 11/12/2009</t>
  </si>
  <si>
    <t>VALOR LIQUIDO DA NOTA 1082 PREGÃO 14/12/2009</t>
  </si>
  <si>
    <t>VALOR LIQUIDO DA NOTA 1020 PREGÃO 15/12/2009</t>
  </si>
  <si>
    <t>VALOR LIQUIDO DA NOTA 1129 PREGÃO 16/12/2009</t>
  </si>
  <si>
    <t>VALOR LIQUIDO DA NOTA 812 PREGÃO 30/12/2009</t>
  </si>
  <si>
    <t>IR SOBRE OPERAÇÕES LIQ 30/12/2009</t>
  </si>
  <si>
    <t>VALOR LIQUIDO DA NOTA 1288 PREGÃO 06/01/2010</t>
  </si>
  <si>
    <t>VALOR LIQUIDO DA NOTA 1482 PREGÃO 12/01/2010</t>
  </si>
  <si>
    <t>IR SOBRE OPERAÇÕES LIQ 06/01/2010</t>
  </si>
  <si>
    <t>IR SOBRE OPERAÇÕES LIQ 14/01/2010</t>
  </si>
  <si>
    <t>VALOR LIQUIDO DA NOTA 1256 PREGÃO 14/01/2010</t>
  </si>
  <si>
    <t>VALOR LIQUIDO DA NOTA 1239 PREGÃO 15/01/2010</t>
  </si>
  <si>
    <t>VALOR LIQUIDO DA NOTA 1165 PREGÃO 27/01/2010</t>
  </si>
  <si>
    <t>IR SOBRE OPERAÇÕES LIQ 27/01/2010</t>
  </si>
  <si>
    <t>VALOR LIQUIDO DA NOTA 1039 PREGÃO 01/02/2010</t>
  </si>
  <si>
    <t>VALOR LIQUIDO DA NOTA 1147 PREGÃO 02/02/2010</t>
  </si>
  <si>
    <t>VALOR LIQUIDO DA NOTA 1720 PREGÃO 04/02/2010</t>
  </si>
  <si>
    <t>VALOR LIQUIDO DA NOTA 1286 PREGÃO 09/03/2010</t>
  </si>
  <si>
    <t>VALOR LIQUIDO DA NOTA 957 PREGÃO 23/03/2010</t>
  </si>
  <si>
    <t>JUROS S/ CAPITAL 500 AÇÕES PETR4 IRRF 8,79</t>
  </si>
  <si>
    <t>DIVIDENDOS S/ 500 AÇÕES PETR4 IRRF 0,00</t>
  </si>
  <si>
    <t>RENDIMENTO 500 AÇÕES PETR4 IRRF 0,34</t>
  </si>
  <si>
    <t>RENDIMENTO 500 AÇÕES PETR4 IRRF 0,38</t>
  </si>
  <si>
    <t>DIVIDENDOS S/ 1.200 AÇÕES JHSF3 IRRF 0,00</t>
  </si>
  <si>
    <t>JUROS S/ CAPITAL 500 AÇÕES PETR4 IRRF 15,00</t>
  </si>
  <si>
    <t>DIVIDENDOS S/ 500 AÇÕES JBSS3 IRRF 0,00</t>
  </si>
  <si>
    <t>VALOR LIQUIDO DA NOTA 699 PREGÃO 22/10/2010</t>
  </si>
  <si>
    <t>TED ENVIADA</t>
  </si>
  <si>
    <t>JUROS S/ CAPITAL 1.200 AÇÕES JHSF3 IRRF 20,27</t>
  </si>
  <si>
    <t>JUROS S/ CAPITAL 500 AÇÕES PETR4 IRRF 10,50</t>
  </si>
  <si>
    <t>VALOR LIQUIDO DA NOTA 617 PREGÃO 28/12/2010</t>
  </si>
  <si>
    <t>JUROS S/ CAPITAL 500 AÇÕES PETR4 IRRF 11,19</t>
  </si>
  <si>
    <t>RENDIMENTO 500 AÇÕES PETR4 IRRF 0,45</t>
  </si>
  <si>
    <t>RENDIMENTO 500 AÇÕES PETR4 IRRF 0,73</t>
  </si>
  <si>
    <t>RENDIMENTO 500 AÇÕES PETR4 IRRF 0,32</t>
  </si>
  <si>
    <t>JUROS S/ CAPITAL 500 AÇÕES PETR4 IRRF 13,29</t>
  </si>
  <si>
    <t>RENDIMENTO 500 AÇÕES PETR4 IRRF 0,49</t>
  </si>
  <si>
    <t>TX CUSTODIA S/VLR RENDA VARIAVEL</t>
  </si>
  <si>
    <t>JUROS S/ CAPITAL 500 AÇÕES PETR4 IRRF 28,17</t>
  </si>
  <si>
    <t>RENDIMENTO 500 AÇÕES PETR4 IRRF 1,18</t>
  </si>
  <si>
    <t>RENDIMENTO 500 AÇÕES PETR4 IRRF 1,87</t>
  </si>
  <si>
    <t>VALOR LIQUIDO DA NOTA 368 PREGÃO 26/11/2013</t>
  </si>
  <si>
    <t>VALOR LIQUIDO DA NOTA 228 PREGÃO 06/12/2013</t>
  </si>
  <si>
    <t>VALOR LIQUIDO DA NOTA 244 PREGÃO 09/12/2013</t>
  </si>
  <si>
    <t>VALOR LIQUIDO DA NOTA 294 PREGÃO 11/12/2013</t>
  </si>
  <si>
    <t>VALOR LIQUIDO DA NOTA 277 PREGÃO 17/12/2013</t>
  </si>
  <si>
    <t>VALOR LIQUIDO DA NOTA 264 PREGÃO 20/12/2013</t>
  </si>
  <si>
    <t>VALOR LIQUIDO DA NOTA 189 PREGÃO 26/12/2013</t>
  </si>
  <si>
    <t>VALOR LIQUIDO DA NOTA 254 PREGÃO 02/01/2014</t>
  </si>
  <si>
    <t>TRANSFERENCIA FINANCEIRA CGD 08/09/2014</t>
  </si>
  <si>
    <t>VALOR REF. LIQUIDO DA NOTA 186587 DO PREGÃO 22/09/2014</t>
  </si>
  <si>
    <t>VALOR REF. LIQUIDO DA NOTA 188169 DO PREGÃO 23/09/2014</t>
  </si>
  <si>
    <t>VALOR REF. LIQUIDO DA NOTA 189482 DO PREGÃO 24/09/2014</t>
  </si>
  <si>
    <t>VALOR REF. LIQUIDO DA NOTA 190711 DO PREGÃO 25/09/2014</t>
  </si>
  <si>
    <t>VALOR REF. LIQUIDO DA NOTA 192007 DO PREGÃO 26/09/2014</t>
  </si>
  <si>
    <t>VALOR REF. LIQUIDO DA NOTA 200360 DO PREGÃO 03/10/2014</t>
  </si>
  <si>
    <t>REPASSE TX.CUSTÓDIA-BMFBOVESPA 09/2014</t>
  </si>
  <si>
    <t>ESTORNO REPASSE TX.CUSTÓDIA-BMFBOVESPA</t>
  </si>
  <si>
    <t>DIVIDENDOS 100 DE HGTX3</t>
  </si>
  <si>
    <t>VALOR REF. LIQUIDO DA NOTA 228968 DO PREGÃO 27/10/2014</t>
  </si>
  <si>
    <t>JUROS S/ CAPITAL DE 200 DE VALE5</t>
  </si>
  <si>
    <t>DIVIDENDOS 200 DE VALE5</t>
  </si>
  <si>
    <t>VALOR REF. LIQUIDO DA NOTA 236409 DO PREGÃO 31/10/2014</t>
  </si>
  <si>
    <t>VALOR REF. LIQUIDO DA NOTA 247516 DO PREGÃO 11/11/2014</t>
  </si>
  <si>
    <t>ESTORNO REP. TX.CUSTÓDIA-BMFBOVESPA 11/2014</t>
  </si>
  <si>
    <t>REPASSE TX.CUSTÓDIA-BMFBOVESPA 11/2014</t>
  </si>
  <si>
    <t>JUROS S/ CAPITAL DE 100 DE HGTX3</t>
  </si>
  <si>
    <t>REPASSE TX CUSTÓDIA FIXA-BMFBOVESPA 12/2014</t>
  </si>
  <si>
    <t>REPASSE TX.DE CUSTODIA FIXA-BMFBOVESPA</t>
  </si>
  <si>
    <t>REPASSE TX.CUSTÓDIA-BMFBOVESPA 02/2015</t>
  </si>
  <si>
    <t>REPASSE TX.CUSTÓDIA-BMFBOVESPA 03/2015</t>
  </si>
  <si>
    <t>REPASSE TX.CUSTÓDIA-BMFBOVESPA 04/2015</t>
  </si>
  <si>
    <t>REPASSE TX.CUSTÓDIA-BMFBOVESPA 05/2015</t>
  </si>
  <si>
    <t>REPASSE TX.CUSTÓDIA-BMFBOVESPA 06/2015</t>
  </si>
  <si>
    <t>REPASSE TX.CUSTÓDIA-BMFBOVESPA 07/2015</t>
  </si>
  <si>
    <t>ESTORNO REPASSE TX.CUSTÓDIA-BMFBOVESPA 07/2015</t>
  </si>
  <si>
    <t>VALOR REF. LIQUIDO DA NOTA 284689 DO PREGÃO 25/08/2015</t>
  </si>
  <si>
    <t>VALOR REF. LIQUIDO DA NOTA 286196 DO PREGÃO 26/08/2015</t>
  </si>
  <si>
    <t>REP.TX.CUSTÓDIA-BMFBOVESPA 08/2015</t>
  </si>
  <si>
    <t>REPASSE TX.CUSTÓDIA-BMFBOVESPA 09/2015</t>
  </si>
  <si>
    <t>REPASSE TX.CUSTÓDIA-BMFBOVESPA 10/2015</t>
  </si>
  <si>
    <t>REPASSE TX.CUSTÓDIA-BMFBOVESPA 11/2015</t>
  </si>
  <si>
    <t>REPASSE TX.CUSTÓDIA-BMFBOVESPA 12/2015</t>
  </si>
  <si>
    <t>COMPRA TIT PUBLICOS TD 18/01/16</t>
  </si>
  <si>
    <t>REPASSE TX.CUSTÓDIA-BMFBOVESPA 01/2016</t>
  </si>
  <si>
    <t>REPASSE TX.CUSTÓDIA-BMFBOVESPA 02/2016</t>
  </si>
  <si>
    <t>REPASSE TX.CUSTÓDIA-BMFBOVESPA 03/2016</t>
  </si>
  <si>
    <t>REPASSE TX.CUSTÓDIA-BMFBOVESPA 04/2016</t>
  </si>
  <si>
    <t>REPASSE TX.CUSTÓDIA-BMFBOVESPA 05/2016</t>
  </si>
  <si>
    <t>REPASSE TX.CUSTÓDIA-BMFBOVESPA 06/2016</t>
  </si>
  <si>
    <t>TED BCO 33 AGE 2005 CTA 010016328 6 - RETIRADA EM C/C</t>
  </si>
  <si>
    <t>TED - TED TED DEVOLVIDA</t>
  </si>
  <si>
    <t>REPASSE TX.CUSTÓDIA-BMFBOVESPA 07/2016</t>
  </si>
  <si>
    <t>TED BCO 33 AGE 2005 CTA 01016328 6 - RETIRADA EM C/C</t>
  </si>
  <si>
    <t>Data</t>
  </si>
  <si>
    <t>Crédito/Débito</t>
  </si>
  <si>
    <t>Data Pregão</t>
  </si>
  <si>
    <t>Nota</t>
  </si>
  <si>
    <t>Papel</t>
  </si>
  <si>
    <t>Qtde</t>
  </si>
  <si>
    <t>Preço</t>
  </si>
  <si>
    <t>Volume</t>
  </si>
  <si>
    <t>Taxa de Liquidação</t>
  </si>
  <si>
    <t>Emolumentos</t>
  </si>
  <si>
    <t>Corretagem</t>
  </si>
  <si>
    <t>ISS</t>
  </si>
  <si>
    <t>IRRF</t>
  </si>
  <si>
    <t>Total</t>
  </si>
  <si>
    <t>GGBR4</t>
  </si>
  <si>
    <t>PETR4</t>
  </si>
  <si>
    <t>VALE5</t>
  </si>
  <si>
    <t>ARCZ6</t>
  </si>
  <si>
    <t>BBAS3</t>
  </si>
  <si>
    <t>ITSA4</t>
  </si>
  <si>
    <t>BVMF3</t>
  </si>
  <si>
    <t>LAME4</t>
  </si>
  <si>
    <t>RDCD3</t>
  </si>
  <si>
    <t>VCPA4</t>
  </si>
  <si>
    <t>KLBN4</t>
  </si>
  <si>
    <t>NATU3</t>
  </si>
  <si>
    <t>FIBR3</t>
  </si>
  <si>
    <t>MMXM3</t>
  </si>
  <si>
    <t>ABYA3</t>
  </si>
  <si>
    <t>JBSS3</t>
  </si>
  <si>
    <t>GETI3</t>
  </si>
  <si>
    <t>JHSF3</t>
  </si>
  <si>
    <t>ECOD3</t>
  </si>
  <si>
    <t>OSXB3</t>
  </si>
  <si>
    <t>OGXP3</t>
  </si>
  <si>
    <t>OIBR3</t>
  </si>
  <si>
    <t>FNAM11</t>
  </si>
  <si>
    <t>LLXL3</t>
  </si>
  <si>
    <t>SANB3</t>
  </si>
  <si>
    <t>BISA3</t>
  </si>
  <si>
    <t>HETA4</t>
  </si>
  <si>
    <t>HGTX3</t>
  </si>
  <si>
    <t>VAGR3</t>
  </si>
  <si>
    <t>ELET3</t>
  </si>
  <si>
    <t>RPMG3</t>
  </si>
  <si>
    <t>FNOR11</t>
  </si>
  <si>
    <t>FNOR11F</t>
  </si>
  <si>
    <t>PDGR3</t>
  </si>
  <si>
    <t>TOYB4</t>
  </si>
  <si>
    <t>PRML3</t>
  </si>
  <si>
    <t>TIBR5F</t>
  </si>
  <si>
    <t>TOYB3</t>
  </si>
  <si>
    <t>ECOR3</t>
  </si>
  <si>
    <t>CESP6</t>
  </si>
  <si>
    <t>TAEE11</t>
  </si>
  <si>
    <t>GFSA3</t>
  </si>
  <si>
    <t>BTOW3</t>
  </si>
  <si>
    <t>BSEV3</t>
  </si>
  <si>
    <t>CMIG4</t>
  </si>
  <si>
    <t>USIM5</t>
  </si>
  <si>
    <t>TPIS3</t>
  </si>
  <si>
    <t>ETER3</t>
  </si>
  <si>
    <t>GOLL4</t>
  </si>
  <si>
    <t>SAPR4</t>
  </si>
  <si>
    <t>LINX3</t>
  </si>
  <si>
    <t>BEEF3</t>
  </si>
  <si>
    <t>BEES3</t>
  </si>
  <si>
    <t>BRKM5</t>
  </si>
  <si>
    <t>HYPE3</t>
  </si>
  <si>
    <t>MRFG3</t>
  </si>
  <si>
    <t>QGEP3</t>
  </si>
  <si>
    <t>RUMO3</t>
  </si>
  <si>
    <t>LOGN3</t>
  </si>
  <si>
    <t>TIET4</t>
  </si>
  <si>
    <t>RAIL3</t>
  </si>
  <si>
    <t>POSI3</t>
  </si>
  <si>
    <t>CSNA3</t>
  </si>
  <si>
    <t>DTEX3</t>
  </si>
  <si>
    <t>EMBR3</t>
  </si>
  <si>
    <t>POMO4</t>
  </si>
  <si>
    <t>AMAR3</t>
  </si>
  <si>
    <t>CRPG5</t>
  </si>
  <si>
    <t>OGSA3</t>
  </si>
  <si>
    <t>AZUL4</t>
  </si>
  <si>
    <t>PRML3F</t>
  </si>
  <si>
    <t>LUPA3</t>
  </si>
  <si>
    <t>SLCE3</t>
  </si>
  <si>
    <t>VALE3</t>
  </si>
  <si>
    <t>GOAU4</t>
  </si>
  <si>
    <t>MGLU3F</t>
  </si>
  <si>
    <t>MGLU3</t>
  </si>
  <si>
    <t>TOYB1</t>
  </si>
  <si>
    <t>TOYB2</t>
  </si>
  <si>
    <t>LOGN1F</t>
  </si>
  <si>
    <t>LOGN1</t>
  </si>
  <si>
    <t>TIET2F</t>
  </si>
  <si>
    <t>DMMO11</t>
  </si>
  <si>
    <t>ETER1</t>
  </si>
  <si>
    <t>VVAR3</t>
  </si>
  <si>
    <t>LUPA13F</t>
  </si>
  <si>
    <t>ITUB4</t>
  </si>
  <si>
    <t>RDOR3</t>
  </si>
  <si>
    <t>Lucro Bruto</t>
  </si>
  <si>
    <t>LAND3</t>
  </si>
  <si>
    <t>DMMO3</t>
  </si>
  <si>
    <t>Realizado</t>
  </si>
  <si>
    <t>Pendente</t>
  </si>
  <si>
    <t>Lucro</t>
  </si>
  <si>
    <t>Prejuízo</t>
  </si>
  <si>
    <t>Acumulado 2ª fase</t>
  </si>
  <si>
    <t>Vendas em Novembro/2016</t>
  </si>
  <si>
    <t>Vendas em Dezembro/2016</t>
  </si>
  <si>
    <t>Vendas em Janeiro/2017</t>
  </si>
  <si>
    <t>Vendas em Fevereiro/2017</t>
  </si>
  <si>
    <t>Acumulado Histórico</t>
  </si>
  <si>
    <t>AESB3</t>
  </si>
  <si>
    <t>VIIA3</t>
  </si>
  <si>
    <t>Alteração de Configuração de Ativo</t>
  </si>
  <si>
    <t>Documento não encontrado</t>
  </si>
  <si>
    <t>Informação proveniente de planilha de controle anterior</t>
  </si>
  <si>
    <t>Tx. Liquidação</t>
  </si>
  <si>
    <t>DTCAM</t>
  </si>
  <si>
    <t>IR</t>
  </si>
  <si>
    <t>Dízimo</t>
  </si>
  <si>
    <t>Lucro Líquido</t>
  </si>
  <si>
    <t>Fevereiro/2009</t>
  </si>
  <si>
    <t>Março/2009</t>
  </si>
  <si>
    <t>Abril/2009</t>
  </si>
  <si>
    <t>Maio/2009</t>
  </si>
  <si>
    <t>Junho/2009</t>
  </si>
  <si>
    <t>Julho/2009</t>
  </si>
  <si>
    <t>Agosto/2009</t>
  </si>
  <si>
    <t>Setembro/2009</t>
  </si>
  <si>
    <t>Dezembro/2009</t>
  </si>
  <si>
    <t>Janeiro/2010</t>
  </si>
  <si>
    <t>Fevereiro/2010</t>
  </si>
  <si>
    <t>Março/2010</t>
  </si>
  <si>
    <t>Outubro/2010</t>
  </si>
  <si>
    <t>Dezembro/2010</t>
  </si>
  <si>
    <t>Dezembro/2013</t>
  </si>
  <si>
    <t>Janeiro/2014</t>
  </si>
  <si>
    <t>Março/2014</t>
  </si>
  <si>
    <t>Abril/2014</t>
  </si>
  <si>
    <t>Maio/2014</t>
  </si>
  <si>
    <t>Junho/2014</t>
  </si>
  <si>
    <t>Julho/2014</t>
  </si>
  <si>
    <t>Agosto/2014</t>
  </si>
  <si>
    <t>Outubro/2014</t>
  </si>
  <si>
    <t>Agosto/2015</t>
  </si>
  <si>
    <t>Novembro/2016</t>
  </si>
  <si>
    <t>Dezembro/2016</t>
  </si>
  <si>
    <t>Janeiro/2017</t>
  </si>
  <si>
    <t>Fevereiro/2017</t>
  </si>
  <si>
    <t>Março/2017</t>
  </si>
  <si>
    <t>Abril/2017</t>
  </si>
  <si>
    <t>Maio/2017</t>
  </si>
  <si>
    <t>Junho/2017</t>
  </si>
  <si>
    <t>Julho/2017</t>
  </si>
  <si>
    <t>Agosto/2017</t>
  </si>
  <si>
    <t>CRPG5F</t>
  </si>
  <si>
    <t>Setembro/2017</t>
  </si>
  <si>
    <t>Outubro/2017</t>
  </si>
  <si>
    <t>Novembro/2017</t>
  </si>
  <si>
    <t>Janeiro/2018</t>
  </si>
  <si>
    <t>Fevereiro/2018</t>
  </si>
  <si>
    <t>GGRB4</t>
  </si>
  <si>
    <t>Maio/2018</t>
  </si>
  <si>
    <t>Junho/2018</t>
  </si>
  <si>
    <t>Julho/2018</t>
  </si>
  <si>
    <t>Agosto/2019</t>
  </si>
  <si>
    <t>Outubro/2019</t>
  </si>
  <si>
    <t>Maio/2020</t>
  </si>
  <si>
    <t>Junho/2020</t>
  </si>
  <si>
    <t>Novembro/2020</t>
  </si>
  <si>
    <t>Dezembro/2020</t>
  </si>
  <si>
    <t>Janeiro/2021</t>
  </si>
  <si>
    <t>Março/2021</t>
  </si>
  <si>
    <t>Abril/2021</t>
  </si>
  <si>
    <t>Maio/2021</t>
  </si>
  <si>
    <t>Nota de corretagem irregular</t>
  </si>
  <si>
    <t>Total mês</t>
  </si>
  <si>
    <t>JUROS S/ CAPITAL DE 1000 DE CESP6</t>
  </si>
  <si>
    <t>DIVIDENDOS 400 DE TAEE11</t>
  </si>
  <si>
    <t>JUROS S/ CAPITAL DE 400 DE TAEE11</t>
  </si>
  <si>
    <t>DIVIDENDOS 900 DE ITSA4</t>
  </si>
  <si>
    <t>DIVIDENDOS 4000 DE KLBN4</t>
  </si>
  <si>
    <t>JUROS SOBRE CAPITAL PROPRIO DE 900 DE ITSA4</t>
  </si>
  <si>
    <t>DIVIDENDO DE 900 DE BEEF3</t>
  </si>
  <si>
    <t>DIVIDENDO DE 700 DE LINX3</t>
  </si>
  <si>
    <t>DIVIDENDO DE 300 DE FIBR3</t>
  </si>
  <si>
    <t>DIVIDENDO DE 3800 DE TIET4</t>
  </si>
  <si>
    <t>DIVIDENDO DE 100 DE HGTX3</t>
  </si>
  <si>
    <t>DIVIDENDO DE 700 DE SAPR4</t>
  </si>
  <si>
    <t>JUROS SOBRE CAPITAL PROPRIO DE 100 DE HGTX3</t>
  </si>
  <si>
    <t>JUROS SOBRE CAPITAL PROPRIO DE 1000 DE CMIG4</t>
  </si>
  <si>
    <t>DIVIDENDO DE 600 DE CESP6</t>
  </si>
  <si>
    <t>DIVIDENDO DE 298 DE CRPG5</t>
  </si>
  <si>
    <t>JUROS SOBRE CAPITAL PROPRIO DE 600 DE ITSA4</t>
  </si>
  <si>
    <t>DIVIDENDO DE 400 DE SLCE3</t>
  </si>
  <si>
    <t>DIVIDENDO DE 400 DE TAEE11</t>
  </si>
  <si>
    <t>JUROS SOBRE CAPITAL PROPRIO DE 400 DE TAEE11</t>
  </si>
  <si>
    <t>JUROS SOBRE CAPITAL PROPRIO DE 3800 DE TIET4</t>
  </si>
  <si>
    <t>DIVIDENDO DE 900 DE GGBR4</t>
  </si>
  <si>
    <t>DIVIDENDO DE 600 DE GOAU4</t>
  </si>
  <si>
    <t>JUROS SOBRE CAPITAL PROPRIO DE 180 DE MGLU3</t>
  </si>
  <si>
    <t>JUROS SOBRE CAPITAL PROPRIO DE 500 DE PETR4</t>
  </si>
  <si>
    <t>JUROS SOBRE CAPITAL PROPRIO DE 700 DE SAPR4</t>
  </si>
  <si>
    <t>DIVIDENDO DE 700 DE JBSS3</t>
  </si>
  <si>
    <t>CREDITO FRACOES ETER3</t>
  </si>
  <si>
    <t>DIVIDENDO DE 900 DE CMIG4</t>
  </si>
  <si>
    <t>CRÉDITO REF. FRAÇÕES PDGR3</t>
  </si>
  <si>
    <t>VR. REF. RENDIMENTO SOBRE 500 PAPEL PETR4</t>
  </si>
  <si>
    <t>DIVIDENDOS DE 500 DE PETR4</t>
  </si>
  <si>
    <t>DIVIDENDOS DE 700 DE SAPR4</t>
  </si>
  <si>
    <t>JUROS SOBRE CAPITAL PROPRIO DE 900 DE CMIG4</t>
  </si>
  <si>
    <t>DIVIDENDOS DE 3.800 DE TIET4</t>
  </si>
  <si>
    <t>FRAÇÕES DE DMMO11</t>
  </si>
  <si>
    <t>FRAÇÕES DE DMMO3</t>
  </si>
  <si>
    <t>RENDIMENTO DE 500 DE PETR4</t>
  </si>
  <si>
    <t>DIVIDENDO DE 600 DE TAEE11</t>
  </si>
  <si>
    <t>DIVIDENDOS DE 5.000 DE TIET4</t>
  </si>
  <si>
    <t>JUROS SOBRE CAPITAL PROPRIO DE 600 DE TAEE11</t>
  </si>
  <si>
    <t>DIVIDENDOS 600 TAEE11</t>
  </si>
  <si>
    <t>DIVIDENDOS 7.100 TIET4</t>
  </si>
  <si>
    <t>JUROS S/CAPITAL 600 TAEE11</t>
  </si>
  <si>
    <t>JUROS S/CAPITAL 3.800 TIET4</t>
  </si>
  <si>
    <t>VR. REF. RENDIMENTO SOBRE 400 PAPEL BBAS3</t>
  </si>
  <si>
    <t>JUROS S/CAPITAL 400 BBAS3</t>
  </si>
  <si>
    <t>DIVIDENDOS 1.000 PETR4</t>
  </si>
  <si>
    <t>VR. REF. RENDIMENTO SOBRE 1.000 PAPEL PETR4</t>
  </si>
  <si>
    <t>DIVIDENDOS 900 CMIG4</t>
  </si>
  <si>
    <t>CRÉDITO REF. FRAÇÕES CMIG4</t>
  </si>
  <si>
    <t>JUROS S/CAPITAL 900 CMIG4</t>
  </si>
  <si>
    <t>DIVIDENDOS 500 JBSS3</t>
  </si>
  <si>
    <t>JUROS S/CAPITAL 7.100 TIET4</t>
  </si>
  <si>
    <t>DIVIDENDOS 400 BBAS3</t>
  </si>
  <si>
    <t>DIVIDENDOS 1.420 AESB3</t>
  </si>
  <si>
    <t>JUROS S/CAPITAL 3.000 SAPR4</t>
  </si>
  <si>
    <t>DIVIDENDOS 937 CMIG4</t>
  </si>
  <si>
    <t>JUROS S/CAPITAL 937 CMIG4</t>
  </si>
  <si>
    <t>CRÉDITO REF. FRAÇÕES SLCE3</t>
  </si>
  <si>
    <t>Descrição</t>
  </si>
  <si>
    <t>Valor</t>
  </si>
  <si>
    <t>Venda Ventilador</t>
  </si>
  <si>
    <t>Venda Wap</t>
  </si>
  <si>
    <t>Venda Ar Condicionado</t>
  </si>
  <si>
    <t>Presente Nicinha</t>
  </si>
  <si>
    <t>Restituição IRPF</t>
  </si>
  <si>
    <t>Resgate Tesouro Direto</t>
  </si>
  <si>
    <t>CEI 000002 DINHEIRO</t>
  </si>
  <si>
    <t>Violão</t>
  </si>
  <si>
    <t>CXE 000003 DEP CHQ</t>
  </si>
  <si>
    <t>Teclado</t>
  </si>
  <si>
    <t>TBI 7165.11930-1COZ. INF</t>
  </si>
  <si>
    <t>CEI 000004 DINHEIRO</t>
  </si>
  <si>
    <t>Formas Cozinha</t>
  </si>
  <si>
    <t>Cadeirinha Bebê Bicicleta</t>
  </si>
  <si>
    <t>REND PAGO APLIC AUT MAIS</t>
  </si>
  <si>
    <t>Microfone</t>
  </si>
  <si>
    <t>Presente Nicinha p/ Bibi</t>
  </si>
  <si>
    <t>REMUNERACAO CONTAMAX CDB DI</t>
  </si>
  <si>
    <t>TED 237.0927AVM IMOV HOR</t>
  </si>
  <si>
    <t>CEI 000005 DINHEIRO</t>
  </si>
  <si>
    <t>OP 74510209</t>
  </si>
  <si>
    <t>CEI 000006 DINHEIRO</t>
  </si>
  <si>
    <t>JUROS -ANIV.01</t>
  </si>
  <si>
    <t>JUROS -ANIV.13</t>
  </si>
  <si>
    <t>JUROS -ANIV.10</t>
  </si>
  <si>
    <t>JUROS -ANIV.17</t>
  </si>
  <si>
    <t>OP 74871522</t>
  </si>
  <si>
    <t>JUROS -ANIV.18</t>
  </si>
  <si>
    <t>JUROS -ANIV.27</t>
  </si>
  <si>
    <t>NOTA FISCAL PAULISTA</t>
  </si>
  <si>
    <t>JUROS -ANIV.20</t>
  </si>
  <si>
    <t>TED 237.0927AVM IMOV HOR       </t>
  </si>
  <si>
    <t>TED 033.0507EUNICE O CAR</t>
  </si>
  <si>
    <t>SISPAG ALFA METR IMOB E</t>
  </si>
  <si>
    <t>REMUNERACAO CTA BD - CDB</t>
  </si>
  <si>
    <t xml:space="preserve">SISPAG ALFA METR IMOB E </t>
  </si>
  <si>
    <t xml:space="preserve">REND PAGO APLIC AUT MAIS </t>
  </si>
  <si>
    <t>CILINDRO MARCIA</t>
  </si>
  <si>
    <t>REMUNERAÇÃO CTA BD - CDB DI</t>
  </si>
  <si>
    <t>REMUNERACAO CTA BD - CDB DI</t>
  </si>
  <si>
    <t>PRESENTES BIANCA</t>
  </si>
  <si>
    <t>Data de Entrega</t>
  </si>
  <si>
    <t>Dízimo devido:</t>
  </si>
  <si>
    <t>Referência</t>
  </si>
  <si>
    <t>Vencimento</t>
  </si>
  <si>
    <t>Valor Devido</t>
  </si>
  <si>
    <t>Pagamento</t>
  </si>
  <si>
    <t>Valor Pago</t>
  </si>
  <si>
    <t>Remanescente</t>
  </si>
  <si>
    <t>Cancelamento de Ordens</t>
  </si>
  <si>
    <t>Leilão de pré-abertura</t>
  </si>
  <si>
    <t>Negociação</t>
  </si>
  <si>
    <t>Call de Fechamento</t>
  </si>
  <si>
    <t>Início</t>
  </si>
  <si>
    <t>Fim</t>
  </si>
  <si>
    <t>Atividade</t>
  </si>
  <si>
    <t>Dedo-duro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</si>
</sst>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8" formatCode="&quot;R$&quot;\ #,##0.00;[Red]\-&quot;R$&quot;\ #,##0.00"/>
    <numFmt numFmtId="164" formatCode="&quot;R$&quot;\ #,##0.00"/>
    <numFmt numFmtId="165" formatCode="&quot;R$&quot;\ #,##0.00000;[Red]\-&quot;R$&quot;\ #,##0.00000"/>
    <numFmt numFmtId="166" formatCode="#,##0_ ;[Red]\-#,##0\ "/>
    <numFmt numFmtId="167" formatCode="&quot;R$&quot;\ #,##0.00000000000;[Red]\-&quot;R$&quot;\ #,##0.00000000000"/>
    <numFmt numFmtId="168" formatCode="0.0000%"/>
    <numFmt numFmtId="169" formatCode="h:mm;@"/>
    <numFmt numFmtId="170" formatCode="0.000000"/>
  </numFmts>
  <fonts count="16" x14ac:knownFonts="1">
    <font>
      <sz val="11"/>
      <color theme="1"/>
      <name val="Calibri"/>
      <family val="2"/>
      <scheme val="minor"/>
    </font>
    <font>
      <sz val="8"/>
      <color rgb="FF820096"/>
      <name val="Trebuchet MS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11"/>
      <color rgb="FFFF0000"/>
      <name val="Calibri"/>
      <family val="2"/>
      <scheme val="minor"/>
    </font>
    <font>
      <b/>
      <sz val="8"/>
      <color rgb="FFFFFFFF"/>
      <name val="Trebuchet MS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1"/>
      <color theme="8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indexed="81"/>
      <name val="Tahoma"/>
      <family val="2"/>
    </font>
    <font>
      <b/>
      <sz val="9"/>
      <color indexed="10"/>
      <name val="Tahoma"/>
      <family val="2"/>
    </font>
  </fonts>
  <fills count="15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  <fill>
      <patternFill patternType="solid">
        <fgColor rgb="FF6666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rgb="FFDDDDDD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6">
    <xf numFmtId="0" fontId="0" fillId="0" borderId="0" xfId="0"/>
    <xf numFmtId="49" fontId="0" fillId="0" borderId="0" xfId="0" applyNumberFormat="1" applyAlignment="1">
      <alignment vertical="top"/>
    </xf>
    <xf numFmtId="49" fontId="0" fillId="0" borderId="0" xfId="0" applyNumberFormat="1" applyAlignment="1">
      <alignment horizontal="left" vertical="top"/>
    </xf>
    <xf numFmtId="49" fontId="0" fillId="0" borderId="0" xfId="0" applyNumberFormat="1" applyAlignment="1">
      <alignment vertical="top" wrapText="1"/>
    </xf>
    <xf numFmtId="49" fontId="0" fillId="0" borderId="0" xfId="0" applyNumberFormat="1" applyAlignment="1">
      <alignment horizontal="left" vertical="top" indent="1"/>
    </xf>
    <xf numFmtId="49" fontId="0" fillId="0" borderId="0" xfId="0" applyNumberFormat="1" applyAlignment="1">
      <alignment horizontal="left" vertical="top" indent="2"/>
    </xf>
    <xf numFmtId="49" fontId="0" fillId="0" borderId="0" xfId="0" applyNumberFormat="1" applyAlignment="1">
      <alignment horizontal="left" vertical="top" indent="3"/>
    </xf>
    <xf numFmtId="49" fontId="0" fillId="0" borderId="0" xfId="0" applyNumberFormat="1" applyAlignment="1">
      <alignment horizontal="left" vertical="top" indent="4"/>
    </xf>
    <xf numFmtId="49" fontId="0" fillId="0" borderId="0" xfId="0" applyNumberFormat="1" applyAlignment="1">
      <alignment horizontal="left" vertical="top" indent="5"/>
    </xf>
    <xf numFmtId="0" fontId="1" fillId="0" borderId="2" xfId="0" applyFont="1" applyBorder="1" applyAlignment="1">
      <alignment horizontal="center" vertical="center" wrapText="1"/>
    </xf>
    <xf numFmtId="14" fontId="0" fillId="0" borderId="0" xfId="0" applyNumberFormat="1"/>
    <xf numFmtId="3" fontId="0" fillId="0" borderId="0" xfId="0" applyNumberFormat="1"/>
    <xf numFmtId="0" fontId="0" fillId="2" borderId="0" xfId="0" applyFill="1"/>
    <xf numFmtId="164" fontId="0" fillId="0" borderId="0" xfId="0" applyNumberFormat="1"/>
    <xf numFmtId="0" fontId="7" fillId="3" borderId="0" xfId="0" applyFont="1" applyFill="1" applyAlignment="1">
      <alignment horizontal="center" vertical="center" wrapText="1"/>
    </xf>
    <xf numFmtId="14" fontId="1" fillId="0" borderId="2" xfId="0" applyNumberFormat="1" applyFont="1" applyBorder="1" applyAlignment="1">
      <alignment horizontal="center" vertical="center" wrapText="1"/>
    </xf>
    <xf numFmtId="4" fontId="1" fillId="0" borderId="2" xfId="0" applyNumberFormat="1" applyFont="1" applyBorder="1" applyAlignment="1">
      <alignment horizontal="center" vertical="center" wrapText="1"/>
    </xf>
    <xf numFmtId="4" fontId="4" fillId="0" borderId="0" xfId="0" applyNumberFormat="1" applyFont="1"/>
    <xf numFmtId="0" fontId="6" fillId="0" borderId="0" xfId="0" applyFont="1"/>
    <xf numFmtId="8" fontId="6" fillId="0" borderId="0" xfId="0" applyNumberFormat="1" applyFont="1"/>
    <xf numFmtId="0" fontId="0" fillId="6" borderId="0" xfId="0" applyFill="1"/>
    <xf numFmtId="0" fontId="2" fillId="5" borderId="0" xfId="0" applyFont="1" applyFill="1"/>
    <xf numFmtId="8" fontId="0" fillId="0" borderId="0" xfId="0" applyNumberFormat="1"/>
    <xf numFmtId="8" fontId="2" fillId="0" borderId="0" xfId="0" applyNumberFormat="1" applyFont="1"/>
    <xf numFmtId="14" fontId="0" fillId="8" borderId="0" xfId="0" applyNumberFormat="1" applyFill="1"/>
    <xf numFmtId="0" fontId="0" fillId="8" borderId="0" xfId="0" applyFill="1"/>
    <xf numFmtId="14" fontId="2" fillId="0" borderId="0" xfId="0" applyNumberFormat="1" applyFont="1"/>
    <xf numFmtId="14" fontId="2" fillId="7" borderId="0" xfId="0" applyNumberFormat="1" applyFont="1" applyFill="1"/>
    <xf numFmtId="0" fontId="0" fillId="7" borderId="0" xfId="0" applyFill="1"/>
    <xf numFmtId="14" fontId="0" fillId="7" borderId="0" xfId="0" applyNumberFormat="1" applyFill="1"/>
    <xf numFmtId="14" fontId="3" fillId="0" borderId="0" xfId="0" applyNumberFormat="1" applyFont="1"/>
    <xf numFmtId="8" fontId="0" fillId="4" borderId="0" xfId="0" applyNumberFormat="1" applyFill="1"/>
    <xf numFmtId="8" fontId="0" fillId="7" borderId="0" xfId="0" applyNumberFormat="1" applyFill="1"/>
    <xf numFmtId="8" fontId="0" fillId="8" borderId="0" xfId="0" applyNumberFormat="1" applyFill="1"/>
    <xf numFmtId="8" fontId="2" fillId="6" borderId="0" xfId="0" applyNumberFormat="1" applyFont="1" applyFill="1"/>
    <xf numFmtId="8" fontId="0" fillId="6" borderId="0" xfId="0" applyNumberFormat="1" applyFill="1"/>
    <xf numFmtId="8" fontId="3" fillId="0" borderId="0" xfId="0" applyNumberFormat="1" applyFont="1"/>
    <xf numFmtId="8" fontId="3" fillId="6" borderId="0" xfId="0" applyNumberFormat="1" applyFont="1" applyFill="1"/>
    <xf numFmtId="8" fontId="4" fillId="0" borderId="0" xfId="0" applyNumberFormat="1" applyFont="1"/>
    <xf numFmtId="165" fontId="0" fillId="0" borderId="0" xfId="0" applyNumberFormat="1"/>
    <xf numFmtId="165" fontId="0" fillId="7" borderId="0" xfId="0" applyNumberFormat="1" applyFill="1"/>
    <xf numFmtId="0" fontId="4" fillId="0" borderId="0" xfId="0" applyFont="1"/>
    <xf numFmtId="14" fontId="0" fillId="0" borderId="3" xfId="0" applyNumberFormat="1" applyBorder="1"/>
    <xf numFmtId="0" fontId="0" fillId="0" borderId="3" xfId="0" applyBorder="1"/>
    <xf numFmtId="8" fontId="0" fillId="0" borderId="3" xfId="0" applyNumberFormat="1" applyBorder="1"/>
    <xf numFmtId="0" fontId="0" fillId="2" borderId="3" xfId="0" applyFill="1" applyBorder="1"/>
    <xf numFmtId="0" fontId="4" fillId="0" borderId="0" xfId="0" applyFont="1" applyAlignment="1">
      <alignment horizontal="right"/>
    </xf>
    <xf numFmtId="0" fontId="2" fillId="0" borderId="0" xfId="0" applyFont="1"/>
    <xf numFmtId="14" fontId="0" fillId="5" borderId="0" xfId="0" applyNumberFormat="1" applyFill="1"/>
    <xf numFmtId="0" fontId="0" fillId="5" borderId="0" xfId="0" applyFill="1"/>
    <xf numFmtId="8" fontId="0" fillId="5" borderId="0" xfId="0" applyNumberFormat="1" applyFill="1"/>
    <xf numFmtId="8" fontId="4" fillId="10" borderId="0" xfId="0" applyNumberFormat="1" applyFont="1" applyFill="1"/>
    <xf numFmtId="8" fontId="4" fillId="6" borderId="0" xfId="0" applyNumberFormat="1" applyFont="1" applyFill="1"/>
    <xf numFmtId="164" fontId="4" fillId="6" borderId="0" xfId="0" applyNumberFormat="1" applyFont="1" applyFill="1"/>
    <xf numFmtId="164" fontId="6" fillId="6" borderId="0" xfId="0" applyNumberFormat="1" applyFont="1" applyFill="1"/>
    <xf numFmtId="14" fontId="0" fillId="11" borderId="0" xfId="0" applyNumberFormat="1" applyFill="1"/>
    <xf numFmtId="0" fontId="0" fillId="11" borderId="0" xfId="0" applyFill="1"/>
    <xf numFmtId="8" fontId="2" fillId="11" borderId="0" xfId="0" applyNumberFormat="1" applyFont="1" applyFill="1"/>
    <xf numFmtId="8" fontId="0" fillId="11" borderId="0" xfId="0" applyNumberFormat="1" applyFill="1"/>
    <xf numFmtId="0" fontId="0" fillId="0" borderId="0" xfId="0" applyAlignment="1">
      <alignment wrapText="1"/>
    </xf>
    <xf numFmtId="17" fontId="0" fillId="0" borderId="0" xfId="0" applyNumberFormat="1"/>
    <xf numFmtId="0" fontId="0" fillId="0" borderId="0" xfId="0" applyAlignment="1">
      <alignment horizontal="right"/>
    </xf>
    <xf numFmtId="49" fontId="0" fillId="0" borderId="0" xfId="0" applyNumberFormat="1" applyAlignment="1">
      <alignment horizontal="right"/>
    </xf>
    <xf numFmtId="8" fontId="0" fillId="0" borderId="1" xfId="0" applyNumberFormat="1" applyBorder="1"/>
    <xf numFmtId="8" fontId="0" fillId="8" borderId="1" xfId="0" applyNumberFormat="1" applyFill="1" applyBorder="1"/>
    <xf numFmtId="0" fontId="2" fillId="6" borderId="0" xfId="0" applyFont="1" applyFill="1"/>
    <xf numFmtId="0" fontId="3" fillId="0" borderId="0" xfId="0" applyFont="1"/>
    <xf numFmtId="0" fontId="10" fillId="0" borderId="0" xfId="0" applyFont="1"/>
    <xf numFmtId="165" fontId="2" fillId="0" borderId="0" xfId="0" applyNumberFormat="1" applyFont="1"/>
    <xf numFmtId="165" fontId="3" fillId="0" borderId="0" xfId="0" applyNumberFormat="1" applyFont="1"/>
    <xf numFmtId="0" fontId="2" fillId="2" borderId="0" xfId="0" applyFont="1" applyFill="1"/>
    <xf numFmtId="14" fontId="11" fillId="0" borderId="0" xfId="0" applyNumberFormat="1" applyFont="1"/>
    <xf numFmtId="0" fontId="11" fillId="0" borderId="0" xfId="0" applyFont="1"/>
    <xf numFmtId="8" fontId="11" fillId="0" borderId="0" xfId="0" applyNumberFormat="1" applyFont="1"/>
    <xf numFmtId="8" fontId="12" fillId="0" borderId="0" xfId="0" applyNumberFormat="1" applyFont="1"/>
    <xf numFmtId="8" fontId="11" fillId="11" borderId="0" xfId="0" applyNumberFormat="1" applyFont="1" applyFill="1"/>
    <xf numFmtId="14" fontId="6" fillId="0" borderId="0" xfId="0" applyNumberFormat="1" applyFont="1"/>
    <xf numFmtId="165" fontId="11" fillId="0" borderId="0" xfId="0" applyNumberFormat="1" applyFont="1"/>
    <xf numFmtId="3" fontId="3" fillId="0" borderId="0" xfId="0" applyNumberFormat="1" applyFont="1"/>
    <xf numFmtId="0" fontId="0" fillId="12" borderId="0" xfId="0" applyFill="1"/>
    <xf numFmtId="8" fontId="0" fillId="12" borderId="0" xfId="0" applyNumberFormat="1" applyFill="1"/>
    <xf numFmtId="0" fontId="2" fillId="12" borderId="0" xfId="0" applyFont="1" applyFill="1"/>
    <xf numFmtId="14" fontId="0" fillId="12" borderId="0" xfId="0" applyNumberFormat="1" applyFill="1"/>
    <xf numFmtId="0" fontId="3" fillId="0" borderId="0" xfId="0" applyFont="1" applyAlignment="1">
      <alignment horizontal="right"/>
    </xf>
    <xf numFmtId="8" fontId="3" fillId="7" borderId="0" xfId="0" applyNumberFormat="1" applyFont="1" applyFill="1"/>
    <xf numFmtId="166" fontId="0" fillId="0" borderId="0" xfId="0" applyNumberFormat="1"/>
    <xf numFmtId="8" fontId="13" fillId="0" borderId="0" xfId="0" applyNumberFormat="1" applyFont="1"/>
    <xf numFmtId="167" fontId="0" fillId="0" borderId="0" xfId="0" applyNumberFormat="1"/>
    <xf numFmtId="8" fontId="11" fillId="13" borderId="0" xfId="0" applyNumberFormat="1" applyFont="1" applyFill="1"/>
    <xf numFmtId="14" fontId="0" fillId="9" borderId="0" xfId="0" applyNumberFormat="1" applyFill="1"/>
    <xf numFmtId="0" fontId="0" fillId="9" borderId="0" xfId="0" applyFill="1"/>
    <xf numFmtId="0" fontId="0" fillId="7" borderId="3" xfId="0" applyFill="1" applyBorder="1"/>
    <xf numFmtId="8" fontId="0" fillId="7" borderId="3" xfId="0" applyNumberFormat="1" applyFill="1" applyBorder="1"/>
    <xf numFmtId="0" fontId="0" fillId="6" borderId="3" xfId="0" applyFill="1" applyBorder="1"/>
    <xf numFmtId="0" fontId="2" fillId="5" borderId="3" xfId="0" applyFont="1" applyFill="1" applyBorder="1"/>
    <xf numFmtId="8" fontId="2" fillId="6" borderId="3" xfId="0" applyNumberFormat="1" applyFont="1" applyFill="1" applyBorder="1"/>
    <xf numFmtId="8" fontId="0" fillId="6" borderId="3" xfId="0" applyNumberFormat="1" applyFill="1" applyBorder="1"/>
    <xf numFmtId="8" fontId="3" fillId="0" borderId="3" xfId="0" applyNumberFormat="1" applyFont="1" applyBorder="1"/>
    <xf numFmtId="14" fontId="3" fillId="0" borderId="3" xfId="0" applyNumberFormat="1" applyFont="1" applyBorder="1"/>
    <xf numFmtId="0" fontId="3" fillId="0" borderId="3" xfId="0" applyFont="1" applyBorder="1"/>
    <xf numFmtId="8" fontId="2" fillId="0" borderId="3" xfId="0" applyNumberFormat="1" applyFont="1" applyBorder="1"/>
    <xf numFmtId="14" fontId="0" fillId="0" borderId="1" xfId="0" applyNumberFormat="1" applyBorder="1"/>
    <xf numFmtId="0" fontId="0" fillId="0" borderId="1" xfId="0" applyBorder="1"/>
    <xf numFmtId="8" fontId="3" fillId="0" borderId="1" xfId="0" applyNumberFormat="1" applyFont="1" applyBorder="1"/>
    <xf numFmtId="0" fontId="0" fillId="2" borderId="1" xfId="0" applyFill="1" applyBorder="1"/>
    <xf numFmtId="14" fontId="3" fillId="0" borderId="1" xfId="0" applyNumberFormat="1" applyFont="1" applyBorder="1"/>
    <xf numFmtId="0" fontId="3" fillId="0" borderId="1" xfId="0" applyFont="1" applyBorder="1"/>
    <xf numFmtId="0" fontId="2" fillId="5" borderId="1" xfId="0" applyFont="1" applyFill="1" applyBorder="1"/>
    <xf numFmtId="0" fontId="2" fillId="6" borderId="3" xfId="0" applyFont="1" applyFill="1" applyBorder="1"/>
    <xf numFmtId="165" fontId="0" fillId="0" borderId="3" xfId="0" applyNumberFormat="1" applyBorder="1"/>
    <xf numFmtId="8" fontId="0" fillId="4" borderId="3" xfId="0" applyNumberFormat="1" applyFill="1" applyBorder="1"/>
    <xf numFmtId="14" fontId="0" fillId="8" borderId="1" xfId="0" applyNumberFormat="1" applyFill="1" applyBorder="1"/>
    <xf numFmtId="0" fontId="0" fillId="8" borderId="1" xfId="0" applyFill="1" applyBorder="1"/>
    <xf numFmtId="165" fontId="0" fillId="0" borderId="1" xfId="0" applyNumberFormat="1" applyBorder="1"/>
    <xf numFmtId="0" fontId="0" fillId="7" borderId="1" xfId="0" applyFill="1" applyBorder="1"/>
    <xf numFmtId="8" fontId="0" fillId="4" borderId="1" xfId="0" applyNumberFormat="1" applyFill="1" applyBorder="1"/>
    <xf numFmtId="8" fontId="0" fillId="8" borderId="3" xfId="0" applyNumberFormat="1" applyFill="1" applyBorder="1"/>
    <xf numFmtId="8" fontId="3" fillId="6" borderId="3" xfId="0" applyNumberFormat="1" applyFont="1" applyFill="1" applyBorder="1"/>
    <xf numFmtId="14" fontId="0" fillId="0" borderId="0" xfId="0" applyNumberFormat="1" applyAlignment="1">
      <alignment vertical="center" wrapText="1"/>
    </xf>
    <xf numFmtId="164" fontId="0" fillId="9" borderId="0" xfId="0" applyNumberFormat="1" applyFill="1"/>
    <xf numFmtId="164" fontId="4" fillId="0" borderId="0" xfId="0" applyNumberFormat="1" applyFont="1"/>
    <xf numFmtId="14" fontId="0" fillId="7" borderId="3" xfId="0" applyNumberFormat="1" applyFill="1" applyBorder="1"/>
    <xf numFmtId="169" fontId="0" fillId="0" borderId="4" xfId="0" applyNumberFormat="1" applyBorder="1"/>
    <xf numFmtId="169" fontId="0" fillId="0" borderId="5" xfId="0" applyNumberFormat="1" applyBorder="1"/>
    <xf numFmtId="0" fontId="4" fillId="14" borderId="6" xfId="0" applyFont="1" applyFill="1" applyBorder="1"/>
    <xf numFmtId="0" fontId="4" fillId="14" borderId="5" xfId="0" applyFont="1" applyFill="1" applyBorder="1"/>
    <xf numFmtId="0" fontId="4" fillId="14" borderId="4" xfId="0" applyFont="1" applyFill="1" applyBorder="1"/>
    <xf numFmtId="0" fontId="4" fillId="14" borderId="7" xfId="0" applyFont="1" applyFill="1" applyBorder="1"/>
    <xf numFmtId="0" fontId="4" fillId="14" borderId="8" xfId="0" applyFont="1" applyFill="1" applyBorder="1"/>
    <xf numFmtId="168" fontId="0" fillId="0" borderId="5" xfId="0" applyNumberFormat="1" applyBorder="1"/>
    <xf numFmtId="9" fontId="0" fillId="0" borderId="5" xfId="0" applyNumberFormat="1" applyBorder="1"/>
    <xf numFmtId="0" fontId="2" fillId="7" borderId="0" xfId="0" applyFont="1" applyFill="1"/>
    <xf numFmtId="8" fontId="2" fillId="7" borderId="0" xfId="0" applyNumberFormat="1" applyFont="1" applyFill="1"/>
    <xf numFmtId="8" fontId="11" fillId="7" borderId="0" xfId="0" applyNumberFormat="1" applyFont="1" applyFill="1"/>
    <xf numFmtId="14" fontId="11" fillId="7" borderId="0" xfId="0" applyNumberFormat="1" applyFont="1" applyFill="1"/>
    <xf numFmtId="0" fontId="11" fillId="7" borderId="0" xfId="0" applyFont="1" applyFill="1"/>
    <xf numFmtId="165" fontId="11" fillId="7" borderId="0" xfId="0" applyNumberFormat="1" applyFont="1" applyFill="1"/>
    <xf numFmtId="170" fontId="2" fillId="0" borderId="0" xfId="0" applyNumberFormat="1" applyFont="1"/>
    <xf numFmtId="170" fontId="11" fillId="0" borderId="0" xfId="0" applyNumberFormat="1" applyFont="1"/>
    <xf numFmtId="170" fontId="2" fillId="11" borderId="0" xfId="0" applyNumberFormat="1" applyFont="1" applyFill="1"/>
    <xf numFmtId="0" fontId="4" fillId="14" borderId="6" xfId="0" applyFont="1" applyFill="1" applyBorder="1" applyAlignment="1">
      <alignment horizontal="center"/>
    </xf>
    <xf numFmtId="0" fontId="4" fillId="14" borderId="8" xfId="0" applyFont="1" applyFill="1" applyBorder="1" applyAlignment="1">
      <alignment horizontal="center"/>
    </xf>
    <xf numFmtId="0" fontId="4" fillId="14" borderId="9" xfId="0" applyFont="1" applyFill="1" applyBorder="1" applyAlignment="1">
      <alignment horizontal="center"/>
    </xf>
    <xf numFmtId="0" fontId="4" fillId="14" borderId="10" xfId="0" applyFont="1" applyFill="1" applyBorder="1" applyAlignment="1">
      <alignment horizontal="center"/>
    </xf>
    <xf numFmtId="49" fontId="4" fillId="9" borderId="0" xfId="0" applyNumberFormat="1" applyFont="1" applyFill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9F9F9"/>
      <color rgb="FFFDFDF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6"/>
  <sheetViews>
    <sheetView workbookViewId="0">
      <pane ySplit="1" topLeftCell="A44" activePane="bottomLeft" state="frozen"/>
      <selection pane="bottomLeft" activeCell="D5" sqref="D5"/>
    </sheetView>
  </sheetViews>
  <sheetFormatPr defaultColWidth="9.140625" defaultRowHeight="15" x14ac:dyDescent="0.25"/>
  <cols>
    <col min="1" max="1" width="50.42578125" style="1" bestFit="1" customWidth="1"/>
    <col min="2" max="2" width="55.85546875" style="1" customWidth="1"/>
    <col min="3" max="3" width="20.28515625" style="1" customWidth="1"/>
    <col min="4" max="4" width="41.42578125" style="1" customWidth="1"/>
    <col min="5" max="5" width="59.7109375" style="1" customWidth="1"/>
    <col min="6" max="16384" width="9.140625" style="1"/>
  </cols>
  <sheetData>
    <row r="1" spans="1:5" x14ac:dyDescent="0.25">
      <c r="A1" s="1" t="s">
        <v>0</v>
      </c>
      <c r="B1" s="1" t="s">
        <v>1</v>
      </c>
      <c r="D1" s="1" t="s">
        <v>2</v>
      </c>
      <c r="E1" s="1" t="s">
        <v>3</v>
      </c>
    </row>
    <row r="2" spans="1:5" x14ac:dyDescent="0.25">
      <c r="A2" s="1" t="s">
        <v>4</v>
      </c>
    </row>
    <row r="3" spans="1:5" x14ac:dyDescent="0.25">
      <c r="A3" s="4" t="s">
        <v>5</v>
      </c>
    </row>
    <row r="4" spans="1:5" x14ac:dyDescent="0.25">
      <c r="A4" s="4" t="s">
        <v>6</v>
      </c>
    </row>
    <row r="5" spans="1:5" x14ac:dyDescent="0.25">
      <c r="A5" s="4" t="s">
        <v>7</v>
      </c>
    </row>
    <row r="6" spans="1:5" x14ac:dyDescent="0.25">
      <c r="A6" s="4"/>
    </row>
    <row r="7" spans="1:5" x14ac:dyDescent="0.25">
      <c r="A7" s="2" t="s">
        <v>8</v>
      </c>
    </row>
    <row r="8" spans="1:5" x14ac:dyDescent="0.25">
      <c r="A8" s="2"/>
    </row>
    <row r="9" spans="1:5" ht="409.5" x14ac:dyDescent="0.25">
      <c r="A9" s="4" t="s">
        <v>9</v>
      </c>
      <c r="D9" s="3" t="s">
        <v>10</v>
      </c>
    </row>
    <row r="10" spans="1:5" ht="45" x14ac:dyDescent="0.25">
      <c r="A10" s="5" t="s">
        <v>6</v>
      </c>
      <c r="B10" s="3" t="s">
        <v>11</v>
      </c>
    </row>
    <row r="11" spans="1:5" x14ac:dyDescent="0.25">
      <c r="A11" s="6" t="s">
        <v>12</v>
      </c>
      <c r="B11" s="3"/>
      <c r="E11" s="3"/>
    </row>
    <row r="12" spans="1:5" x14ac:dyDescent="0.25">
      <c r="A12" s="6" t="s">
        <v>13</v>
      </c>
      <c r="B12" s="3"/>
      <c r="E12" s="3"/>
    </row>
    <row r="13" spans="1:5" x14ac:dyDescent="0.25">
      <c r="A13" s="6" t="s">
        <v>14</v>
      </c>
      <c r="B13" s="3"/>
      <c r="E13" s="3"/>
    </row>
    <row r="14" spans="1:5" ht="45" x14ac:dyDescent="0.25">
      <c r="A14" s="6" t="s">
        <v>15</v>
      </c>
      <c r="B14" s="3" t="s">
        <v>16</v>
      </c>
    </row>
    <row r="15" spans="1:5" ht="30" x14ac:dyDescent="0.25">
      <c r="A15" s="7" t="s">
        <v>17</v>
      </c>
      <c r="B15" s="3" t="s">
        <v>18</v>
      </c>
    </row>
    <row r="16" spans="1:5" x14ac:dyDescent="0.25">
      <c r="A16" s="7" t="s">
        <v>19</v>
      </c>
      <c r="B16" s="3"/>
    </row>
    <row r="17" spans="1:5" x14ac:dyDescent="0.25">
      <c r="A17" s="8" t="s">
        <v>20</v>
      </c>
      <c r="B17" s="3" t="s">
        <v>21</v>
      </c>
    </row>
    <row r="18" spans="1:5" x14ac:dyDescent="0.25">
      <c r="A18" s="8" t="s">
        <v>22</v>
      </c>
      <c r="B18" s="3"/>
    </row>
    <row r="19" spans="1:5" ht="225" x14ac:dyDescent="0.25">
      <c r="A19" s="5" t="s">
        <v>23</v>
      </c>
      <c r="B19" s="3" t="s">
        <v>24</v>
      </c>
    </row>
    <row r="20" spans="1:5" ht="60" x14ac:dyDescent="0.25">
      <c r="A20" s="5" t="s">
        <v>25</v>
      </c>
      <c r="D20" s="3" t="s">
        <v>26</v>
      </c>
    </row>
    <row r="21" spans="1:5" x14ac:dyDescent="0.25">
      <c r="A21" s="5" t="s">
        <v>27</v>
      </c>
      <c r="B21" s="1" t="s">
        <v>28</v>
      </c>
    </row>
    <row r="22" spans="1:5" x14ac:dyDescent="0.25">
      <c r="A22" s="5" t="s">
        <v>29</v>
      </c>
    </row>
    <row r="23" spans="1:5" x14ac:dyDescent="0.25">
      <c r="A23" s="5" t="s">
        <v>30</v>
      </c>
      <c r="D23" s="1" t="s">
        <v>31</v>
      </c>
    </row>
    <row r="24" spans="1:5" x14ac:dyDescent="0.25">
      <c r="A24" s="1" t="s">
        <v>32</v>
      </c>
      <c r="B24" s="1" t="s">
        <v>33</v>
      </c>
    </row>
    <row r="25" spans="1:5" x14ac:dyDescent="0.25">
      <c r="A25" s="5" t="s">
        <v>34</v>
      </c>
    </row>
    <row r="26" spans="1:5" x14ac:dyDescent="0.25">
      <c r="A26" s="5" t="s">
        <v>35</v>
      </c>
    </row>
    <row r="27" spans="1:5" x14ac:dyDescent="0.25">
      <c r="A27" s="5" t="s">
        <v>36</v>
      </c>
    </row>
    <row r="28" spans="1:5" x14ac:dyDescent="0.25">
      <c r="A28" s="5" t="s">
        <v>37</v>
      </c>
    </row>
    <row r="29" spans="1:5" ht="330" x14ac:dyDescent="0.25">
      <c r="A29" s="1" t="s">
        <v>25</v>
      </c>
      <c r="D29" s="3" t="s">
        <v>38</v>
      </c>
      <c r="E29" s="3" t="s">
        <v>39</v>
      </c>
    </row>
    <row r="30" spans="1:5" ht="45" x14ac:dyDescent="0.25">
      <c r="A30" s="5" t="s">
        <v>40</v>
      </c>
      <c r="D30" s="3" t="s">
        <v>41</v>
      </c>
    </row>
    <row r="31" spans="1:5" ht="45" x14ac:dyDescent="0.25">
      <c r="A31" s="5" t="s">
        <v>42</v>
      </c>
      <c r="B31" s="1" t="s">
        <v>43</v>
      </c>
      <c r="D31" s="3" t="s">
        <v>44</v>
      </c>
    </row>
    <row r="32" spans="1:5" x14ac:dyDescent="0.25">
      <c r="A32" s="2" t="s">
        <v>45</v>
      </c>
    </row>
    <row r="33" spans="1:3" x14ac:dyDescent="0.25">
      <c r="A33" s="5" t="s">
        <v>46</v>
      </c>
      <c r="B33" s="1" t="s">
        <v>47</v>
      </c>
    </row>
    <row r="34" spans="1:3" x14ac:dyDescent="0.25">
      <c r="A34" s="2" t="s">
        <v>48</v>
      </c>
    </row>
    <row r="35" spans="1:3" x14ac:dyDescent="0.25">
      <c r="A35" s="1" t="s">
        <v>49</v>
      </c>
      <c r="B35" s="1" t="s">
        <v>50</v>
      </c>
    </row>
    <row r="36" spans="1:3" x14ac:dyDescent="0.25">
      <c r="B36" s="1" t="s">
        <v>51</v>
      </c>
    </row>
    <row r="37" spans="1:3" x14ac:dyDescent="0.25">
      <c r="B37" s="1" t="s">
        <v>52</v>
      </c>
    </row>
    <row r="38" spans="1:3" x14ac:dyDescent="0.25">
      <c r="B38" s="1" t="s">
        <v>53</v>
      </c>
    </row>
    <row r="40" spans="1:3" x14ac:dyDescent="0.25">
      <c r="A40" s="1" t="s">
        <v>54</v>
      </c>
      <c r="B40" s="1" t="s">
        <v>55</v>
      </c>
      <c r="C40" s="1" t="s">
        <v>56</v>
      </c>
    </row>
    <row r="41" spans="1:3" x14ac:dyDescent="0.25">
      <c r="B41" s="1" t="s">
        <v>57</v>
      </c>
      <c r="C41" s="1" t="s">
        <v>58</v>
      </c>
    </row>
    <row r="42" spans="1:3" x14ac:dyDescent="0.25">
      <c r="B42" s="1" t="s">
        <v>30</v>
      </c>
      <c r="C42" s="1" t="s">
        <v>59</v>
      </c>
    </row>
    <row r="43" spans="1:3" x14ac:dyDescent="0.25">
      <c r="B43" s="1" t="s">
        <v>60</v>
      </c>
      <c r="C43" s="1" t="s">
        <v>61</v>
      </c>
    </row>
    <row r="44" spans="1:3" ht="90" x14ac:dyDescent="0.25">
      <c r="B44" s="1" t="s">
        <v>62</v>
      </c>
      <c r="C44" s="3" t="s">
        <v>63</v>
      </c>
    </row>
    <row r="45" spans="1:3" x14ac:dyDescent="0.25">
      <c r="B45" s="1" t="s">
        <v>64</v>
      </c>
    </row>
    <row r="46" spans="1:3" x14ac:dyDescent="0.25">
      <c r="C46" s="1" t="s">
        <v>65</v>
      </c>
    </row>
    <row r="48" spans="1:3" x14ac:dyDescent="0.25">
      <c r="A48" s="1" t="s">
        <v>66</v>
      </c>
    </row>
    <row r="49" spans="1:2" x14ac:dyDescent="0.25">
      <c r="A49" s="4" t="s">
        <v>67</v>
      </c>
    </row>
    <row r="50" spans="1:2" x14ac:dyDescent="0.25">
      <c r="A50" s="4" t="s">
        <v>68</v>
      </c>
    </row>
    <row r="52" spans="1:2" x14ac:dyDescent="0.25">
      <c r="A52" s="1" t="s">
        <v>69</v>
      </c>
    </row>
    <row r="53" spans="1:2" x14ac:dyDescent="0.25">
      <c r="A53" s="4" t="s">
        <v>70</v>
      </c>
    </row>
    <row r="54" spans="1:2" x14ac:dyDescent="0.25">
      <c r="A54" s="4" t="s">
        <v>71</v>
      </c>
    </row>
    <row r="55" spans="1:2" x14ac:dyDescent="0.25">
      <c r="A55" s="4" t="s">
        <v>72</v>
      </c>
    </row>
    <row r="56" spans="1:2" x14ac:dyDescent="0.25">
      <c r="A56" s="4" t="s">
        <v>73</v>
      </c>
    </row>
    <row r="58" spans="1:2" x14ac:dyDescent="0.25">
      <c r="A58" s="1" t="s">
        <v>74</v>
      </c>
    </row>
    <row r="59" spans="1:2" x14ac:dyDescent="0.25">
      <c r="A59" s="1" t="s">
        <v>75</v>
      </c>
    </row>
    <row r="60" spans="1:2" x14ac:dyDescent="0.25">
      <c r="B60" s="1" t="s">
        <v>76</v>
      </c>
    </row>
    <row r="61" spans="1:2" x14ac:dyDescent="0.25">
      <c r="B61" s="1" t="s">
        <v>77</v>
      </c>
    </row>
    <row r="62" spans="1:2" x14ac:dyDescent="0.25">
      <c r="B62" s="1" t="s">
        <v>78</v>
      </c>
    </row>
    <row r="63" spans="1:2" x14ac:dyDescent="0.25">
      <c r="B63" s="1" t="s">
        <v>79</v>
      </c>
    </row>
    <row r="64" spans="1:2" x14ac:dyDescent="0.25">
      <c r="B64" s="1" t="s">
        <v>80</v>
      </c>
    </row>
    <row r="66" spans="1:1" x14ac:dyDescent="0.25">
      <c r="A66" s="1" t="s">
        <v>81</v>
      </c>
    </row>
    <row r="67" spans="1:1" x14ac:dyDescent="0.25">
      <c r="A67" s="1" t="s">
        <v>82</v>
      </c>
    </row>
    <row r="68" spans="1:1" x14ac:dyDescent="0.25">
      <c r="A68" s="1" t="s">
        <v>83</v>
      </c>
    </row>
    <row r="69" spans="1:1" x14ac:dyDescent="0.25">
      <c r="A69" s="1" t="s">
        <v>84</v>
      </c>
    </row>
    <row r="70" spans="1:1" x14ac:dyDescent="0.25">
      <c r="A70" s="1" t="s">
        <v>85</v>
      </c>
    </row>
    <row r="71" spans="1:1" x14ac:dyDescent="0.25">
      <c r="A71" s="1" t="s">
        <v>86</v>
      </c>
    </row>
    <row r="72" spans="1:1" x14ac:dyDescent="0.25">
      <c r="A72" s="1" t="s">
        <v>87</v>
      </c>
    </row>
    <row r="73" spans="1:1" x14ac:dyDescent="0.25">
      <c r="A73" s="1" t="s">
        <v>88</v>
      </c>
    </row>
    <row r="74" spans="1:1" x14ac:dyDescent="0.25">
      <c r="A74" s="1" t="s">
        <v>89</v>
      </c>
    </row>
    <row r="75" spans="1:1" x14ac:dyDescent="0.25">
      <c r="A75" s="1" t="s">
        <v>90</v>
      </c>
    </row>
    <row r="76" spans="1:1" x14ac:dyDescent="0.25">
      <c r="A76" s="1" t="s">
        <v>91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172"/>
  <sheetViews>
    <sheetView topLeftCell="A131" workbookViewId="0">
      <selection activeCell="C171" sqref="C171"/>
    </sheetView>
  </sheetViews>
  <sheetFormatPr defaultRowHeight="15" x14ac:dyDescent="0.25"/>
  <cols>
    <col min="1" max="1" width="10.5703125" bestFit="1" customWidth="1"/>
    <col min="2" max="2" width="31" bestFit="1" customWidth="1"/>
    <col min="3" max="3" width="13" style="13" bestFit="1" customWidth="1"/>
    <col min="4" max="4" width="11.7109375" bestFit="1" customWidth="1"/>
  </cols>
  <sheetData>
    <row r="1" spans="1:3" x14ac:dyDescent="0.25">
      <c r="A1" t="s">
        <v>253</v>
      </c>
      <c r="B1" t="s">
        <v>494</v>
      </c>
      <c r="C1" s="13" t="s">
        <v>495</v>
      </c>
    </row>
    <row r="2" spans="1:3" x14ac:dyDescent="0.25">
      <c r="B2" t="s">
        <v>496</v>
      </c>
      <c r="C2" s="13">
        <v>95</v>
      </c>
    </row>
    <row r="3" spans="1:3" x14ac:dyDescent="0.25">
      <c r="B3" t="s">
        <v>497</v>
      </c>
      <c r="C3" s="13">
        <v>300</v>
      </c>
    </row>
    <row r="4" spans="1:3" x14ac:dyDescent="0.25">
      <c r="B4" t="s">
        <v>498</v>
      </c>
      <c r="C4" s="13">
        <v>900</v>
      </c>
    </row>
    <row r="5" spans="1:3" x14ac:dyDescent="0.25">
      <c r="B5" t="s">
        <v>499</v>
      </c>
      <c r="C5" s="13">
        <v>300</v>
      </c>
    </row>
    <row r="6" spans="1:3" x14ac:dyDescent="0.25">
      <c r="A6" s="10">
        <v>43084</v>
      </c>
      <c r="B6" t="s">
        <v>500</v>
      </c>
      <c r="C6" s="13">
        <v>5845.44</v>
      </c>
    </row>
    <row r="7" spans="1:3" x14ac:dyDescent="0.25">
      <c r="A7" s="10">
        <v>43097</v>
      </c>
      <c r="B7" t="s">
        <v>499</v>
      </c>
      <c r="C7" s="13">
        <v>430</v>
      </c>
    </row>
    <row r="8" spans="1:3" x14ac:dyDescent="0.25">
      <c r="A8" s="10">
        <v>43102</v>
      </c>
      <c r="B8" t="s">
        <v>501</v>
      </c>
      <c r="C8" s="13">
        <v>407.5</v>
      </c>
    </row>
    <row r="9" spans="1:3" x14ac:dyDescent="0.25">
      <c r="A9" s="10">
        <v>43133</v>
      </c>
      <c r="B9" t="s">
        <v>502</v>
      </c>
      <c r="C9" s="13">
        <v>70</v>
      </c>
    </row>
    <row r="10" spans="1:3" x14ac:dyDescent="0.25">
      <c r="A10" s="10">
        <v>43133</v>
      </c>
      <c r="B10" t="s">
        <v>503</v>
      </c>
      <c r="C10" s="13">
        <v>370</v>
      </c>
    </row>
    <row r="11" spans="1:3" x14ac:dyDescent="0.25">
      <c r="A11" s="10">
        <v>43140</v>
      </c>
      <c r="B11" t="s">
        <v>504</v>
      </c>
      <c r="C11" s="13">
        <v>60</v>
      </c>
    </row>
    <row r="12" spans="1:3" x14ac:dyDescent="0.25">
      <c r="A12" s="10">
        <v>43146</v>
      </c>
      <c r="B12" t="s">
        <v>505</v>
      </c>
      <c r="C12" s="13">
        <v>400</v>
      </c>
    </row>
    <row r="13" spans="1:3" x14ac:dyDescent="0.25">
      <c r="A13" s="10">
        <v>43151</v>
      </c>
      <c r="B13" t="s">
        <v>506</v>
      </c>
      <c r="C13" s="13">
        <v>25</v>
      </c>
    </row>
    <row r="14" spans="1:3" x14ac:dyDescent="0.25">
      <c r="A14" s="10">
        <v>43153</v>
      </c>
      <c r="B14" t="s">
        <v>507</v>
      </c>
      <c r="C14" s="13">
        <v>214</v>
      </c>
    </row>
    <row r="15" spans="1:3" x14ac:dyDescent="0.25">
      <c r="A15" s="10">
        <v>43178</v>
      </c>
      <c r="B15" t="s">
        <v>508</v>
      </c>
      <c r="C15" s="13">
        <v>90</v>
      </c>
    </row>
    <row r="16" spans="1:3" x14ac:dyDescent="0.25">
      <c r="A16" s="10">
        <v>43180</v>
      </c>
      <c r="B16" t="s">
        <v>509</v>
      </c>
      <c r="C16" s="13">
        <v>40</v>
      </c>
    </row>
    <row r="17" spans="1:3" x14ac:dyDescent="0.25">
      <c r="A17" s="10">
        <v>43192</v>
      </c>
      <c r="B17" t="s">
        <v>510</v>
      </c>
      <c r="C17" s="13">
        <v>0.44</v>
      </c>
    </row>
    <row r="18" spans="1:3" x14ac:dyDescent="0.25">
      <c r="A18" s="10">
        <v>43220</v>
      </c>
      <c r="B18" t="s">
        <v>511</v>
      </c>
      <c r="C18" s="13">
        <v>115</v>
      </c>
    </row>
    <row r="19" spans="1:3" x14ac:dyDescent="0.25">
      <c r="A19" s="10">
        <v>43222</v>
      </c>
      <c r="B19" t="s">
        <v>510</v>
      </c>
      <c r="C19" s="13">
        <v>0.53</v>
      </c>
    </row>
    <row r="20" spans="1:3" x14ac:dyDescent="0.25">
      <c r="A20" s="10">
        <v>43230</v>
      </c>
      <c r="B20" t="s">
        <v>510</v>
      </c>
      <c r="C20" s="13">
        <v>0.17</v>
      </c>
    </row>
    <row r="21" spans="1:3" x14ac:dyDescent="0.25">
      <c r="A21" s="10">
        <v>43249</v>
      </c>
      <c r="B21" t="s">
        <v>510</v>
      </c>
      <c r="C21" s="13">
        <v>2.06</v>
      </c>
    </row>
    <row r="22" spans="1:3" x14ac:dyDescent="0.25">
      <c r="A22" s="10">
        <v>43252</v>
      </c>
      <c r="B22" t="s">
        <v>510</v>
      </c>
      <c r="C22" s="13">
        <v>2.81</v>
      </c>
    </row>
    <row r="23" spans="1:3" x14ac:dyDescent="0.25">
      <c r="A23" s="10">
        <v>43252</v>
      </c>
      <c r="B23" t="s">
        <v>511</v>
      </c>
      <c r="C23" s="13">
        <v>100</v>
      </c>
    </row>
    <row r="24" spans="1:3" x14ac:dyDescent="0.25">
      <c r="A24" s="10">
        <v>43273</v>
      </c>
      <c r="B24" t="s">
        <v>510</v>
      </c>
      <c r="C24" s="13">
        <v>2.3199999999999998</v>
      </c>
    </row>
    <row r="25" spans="1:3" x14ac:dyDescent="0.25">
      <c r="A25" s="10">
        <v>43279</v>
      </c>
      <c r="B25" t="s">
        <v>510</v>
      </c>
      <c r="C25" s="13">
        <v>0.7</v>
      </c>
    </row>
    <row r="26" spans="1:3" x14ac:dyDescent="0.25">
      <c r="A26" s="10">
        <v>43318</v>
      </c>
      <c r="B26" t="s">
        <v>510</v>
      </c>
      <c r="C26" s="13">
        <v>0.18</v>
      </c>
    </row>
    <row r="27" spans="1:3" x14ac:dyDescent="0.25">
      <c r="A27" s="10">
        <v>43346</v>
      </c>
      <c r="B27" t="s">
        <v>510</v>
      </c>
      <c r="C27" s="13">
        <v>1.23</v>
      </c>
    </row>
    <row r="28" spans="1:3" x14ac:dyDescent="0.25">
      <c r="A28" s="10">
        <v>43349</v>
      </c>
      <c r="B28" t="s">
        <v>510</v>
      </c>
      <c r="C28" s="13">
        <v>2.89</v>
      </c>
    </row>
    <row r="29" spans="1:3" x14ac:dyDescent="0.25">
      <c r="A29" s="10">
        <v>43353</v>
      </c>
      <c r="B29" t="s">
        <v>510</v>
      </c>
      <c r="C29" s="13">
        <v>0.21</v>
      </c>
    </row>
    <row r="30" spans="1:3" x14ac:dyDescent="0.25">
      <c r="A30" s="10">
        <v>43368</v>
      </c>
      <c r="B30" t="s">
        <v>510</v>
      </c>
      <c r="C30" s="13">
        <v>0.1</v>
      </c>
    </row>
    <row r="31" spans="1:3" x14ac:dyDescent="0.25">
      <c r="A31" s="10">
        <v>43375</v>
      </c>
      <c r="B31" t="s">
        <v>510</v>
      </c>
      <c r="C31" s="13">
        <v>0.31</v>
      </c>
    </row>
    <row r="32" spans="1:3" x14ac:dyDescent="0.25">
      <c r="A32" s="10">
        <v>43381</v>
      </c>
      <c r="B32" t="s">
        <v>512</v>
      </c>
      <c r="C32" s="13">
        <v>500</v>
      </c>
    </row>
    <row r="33" spans="1:3" x14ac:dyDescent="0.25">
      <c r="A33" s="10">
        <v>43395</v>
      </c>
      <c r="B33" t="s">
        <v>510</v>
      </c>
      <c r="C33" s="13">
        <v>0.38</v>
      </c>
    </row>
    <row r="34" spans="1:3" x14ac:dyDescent="0.25">
      <c r="A34" s="10">
        <v>43425</v>
      </c>
      <c r="B34" t="s">
        <v>510</v>
      </c>
      <c r="C34" s="13">
        <v>0.24</v>
      </c>
    </row>
    <row r="35" spans="1:3" x14ac:dyDescent="0.25">
      <c r="A35" s="10">
        <v>43425</v>
      </c>
      <c r="B35" t="s">
        <v>510</v>
      </c>
      <c r="C35" s="13">
        <v>1.49</v>
      </c>
    </row>
    <row r="36" spans="1:3" x14ac:dyDescent="0.25">
      <c r="A36" s="10">
        <v>43430</v>
      </c>
      <c r="B36" t="s">
        <v>510</v>
      </c>
      <c r="C36" s="13">
        <v>0.2</v>
      </c>
    </row>
    <row r="37" spans="1:3" x14ac:dyDescent="0.25">
      <c r="A37" s="10">
        <v>43437</v>
      </c>
      <c r="B37" t="s">
        <v>510</v>
      </c>
      <c r="C37" s="13">
        <v>0.56999999999999995</v>
      </c>
    </row>
    <row r="38" spans="1:3" x14ac:dyDescent="0.25">
      <c r="A38" s="10">
        <v>43451</v>
      </c>
      <c r="B38" t="s">
        <v>510</v>
      </c>
      <c r="C38" s="13">
        <v>3.58</v>
      </c>
    </row>
    <row r="39" spans="1:3" x14ac:dyDescent="0.25">
      <c r="A39" s="10">
        <v>43460</v>
      </c>
      <c r="B39" t="s">
        <v>510</v>
      </c>
      <c r="C39" s="13">
        <v>1.9</v>
      </c>
    </row>
    <row r="40" spans="1:3" x14ac:dyDescent="0.25">
      <c r="A40" s="10">
        <v>43444</v>
      </c>
      <c r="B40" t="s">
        <v>513</v>
      </c>
      <c r="C40" s="13">
        <v>0.03</v>
      </c>
    </row>
    <row r="41" spans="1:3" x14ac:dyDescent="0.25">
      <c r="A41" s="10">
        <v>43462</v>
      </c>
      <c r="B41" t="s">
        <v>510</v>
      </c>
      <c r="C41" s="13">
        <v>0.65</v>
      </c>
    </row>
    <row r="42" spans="1:3" x14ac:dyDescent="0.25">
      <c r="A42" s="10">
        <v>43465</v>
      </c>
      <c r="B42" t="s">
        <v>510</v>
      </c>
      <c r="C42" s="13">
        <v>3.24</v>
      </c>
    </row>
    <row r="43" spans="1:3" x14ac:dyDescent="0.25">
      <c r="A43" s="10">
        <v>43474</v>
      </c>
      <c r="B43" t="s">
        <v>510</v>
      </c>
      <c r="C43" s="13">
        <v>1.37</v>
      </c>
    </row>
    <row r="44" spans="1:3" x14ac:dyDescent="0.25">
      <c r="A44" s="10">
        <v>43480</v>
      </c>
      <c r="B44" t="s">
        <v>510</v>
      </c>
      <c r="C44" s="13">
        <v>1.68</v>
      </c>
    </row>
    <row r="45" spans="1:3" x14ac:dyDescent="0.25">
      <c r="A45" s="10">
        <v>43486</v>
      </c>
      <c r="B45" t="s">
        <v>510</v>
      </c>
      <c r="C45" s="13">
        <v>0.36</v>
      </c>
    </row>
    <row r="46" spans="1:3" x14ac:dyDescent="0.25">
      <c r="A46" s="10">
        <v>43488</v>
      </c>
      <c r="B46" t="s">
        <v>514</v>
      </c>
      <c r="C46" s="13">
        <v>307.22000000000003</v>
      </c>
    </row>
    <row r="47" spans="1:3" x14ac:dyDescent="0.25">
      <c r="A47" s="10">
        <v>43493</v>
      </c>
      <c r="B47" t="s">
        <v>513</v>
      </c>
      <c r="C47" s="13">
        <v>0.02</v>
      </c>
    </row>
    <row r="48" spans="1:3" x14ac:dyDescent="0.25">
      <c r="A48" s="10">
        <v>43502</v>
      </c>
      <c r="B48" t="s">
        <v>510</v>
      </c>
      <c r="C48" s="13">
        <v>3.06</v>
      </c>
    </row>
    <row r="49" spans="1:3" x14ac:dyDescent="0.25">
      <c r="A49" s="10">
        <v>43522</v>
      </c>
      <c r="B49" t="s">
        <v>514</v>
      </c>
      <c r="C49" s="13">
        <v>1674.55</v>
      </c>
    </row>
    <row r="50" spans="1:3" x14ac:dyDescent="0.25">
      <c r="A50" s="10">
        <v>43524</v>
      </c>
      <c r="B50" t="s">
        <v>510</v>
      </c>
      <c r="C50" s="13">
        <v>1.64</v>
      </c>
    </row>
    <row r="51" spans="1:3" x14ac:dyDescent="0.25">
      <c r="A51" s="10">
        <v>43524</v>
      </c>
      <c r="B51" t="s">
        <v>513</v>
      </c>
      <c r="C51" s="13">
        <v>0.02</v>
      </c>
    </row>
    <row r="52" spans="1:3" x14ac:dyDescent="0.25">
      <c r="A52" s="10">
        <v>43525</v>
      </c>
      <c r="B52" t="s">
        <v>515</v>
      </c>
      <c r="C52" s="13">
        <v>1000</v>
      </c>
    </row>
    <row r="53" spans="1:3" x14ac:dyDescent="0.25">
      <c r="A53" s="10">
        <v>43525</v>
      </c>
      <c r="B53" t="s">
        <v>516</v>
      </c>
      <c r="C53" s="13">
        <v>0.01</v>
      </c>
    </row>
    <row r="54" spans="1:3" x14ac:dyDescent="0.25">
      <c r="A54" s="10">
        <v>43530</v>
      </c>
      <c r="B54" t="s">
        <v>517</v>
      </c>
      <c r="C54" s="13">
        <v>100</v>
      </c>
    </row>
    <row r="55" spans="1:3" x14ac:dyDescent="0.25">
      <c r="A55" s="10">
        <v>43525</v>
      </c>
      <c r="B55" t="s">
        <v>510</v>
      </c>
      <c r="C55" s="13">
        <v>1.62</v>
      </c>
    </row>
    <row r="56" spans="1:3" x14ac:dyDescent="0.25">
      <c r="A56" s="10">
        <v>43551</v>
      </c>
      <c r="B56" t="s">
        <v>514</v>
      </c>
      <c r="C56" s="13">
        <v>1540</v>
      </c>
    </row>
    <row r="57" spans="1:3" x14ac:dyDescent="0.25">
      <c r="A57" s="10">
        <v>43556</v>
      </c>
      <c r="B57" t="s">
        <v>510</v>
      </c>
      <c r="C57" s="13">
        <v>22.53</v>
      </c>
    </row>
    <row r="58" spans="1:3" x14ac:dyDescent="0.25">
      <c r="A58" s="10">
        <v>43556</v>
      </c>
      <c r="B58" t="s">
        <v>513</v>
      </c>
      <c r="C58" s="13">
        <v>0.02</v>
      </c>
    </row>
    <row r="59" spans="1:3" x14ac:dyDescent="0.25">
      <c r="A59" s="10">
        <v>43570</v>
      </c>
      <c r="B59" t="s">
        <v>513</v>
      </c>
      <c r="C59" s="13">
        <v>0.01</v>
      </c>
    </row>
    <row r="60" spans="1:3" x14ac:dyDescent="0.25">
      <c r="A60" s="10">
        <v>43581</v>
      </c>
      <c r="B60" t="s">
        <v>514</v>
      </c>
      <c r="C60" s="13">
        <v>1629.23</v>
      </c>
    </row>
    <row r="61" spans="1:3" x14ac:dyDescent="0.25">
      <c r="A61" s="10">
        <v>43587</v>
      </c>
      <c r="B61" t="s">
        <v>518</v>
      </c>
      <c r="C61" s="13">
        <v>23.78</v>
      </c>
    </row>
    <row r="62" spans="1:3" x14ac:dyDescent="0.25">
      <c r="A62" s="10">
        <v>43598</v>
      </c>
      <c r="B62" t="s">
        <v>510</v>
      </c>
      <c r="C62" s="13">
        <v>0.04</v>
      </c>
    </row>
    <row r="63" spans="1:3" x14ac:dyDescent="0.25">
      <c r="A63" s="10">
        <v>43599</v>
      </c>
      <c r="B63" t="s">
        <v>510</v>
      </c>
      <c r="C63" s="13">
        <v>0.01</v>
      </c>
    </row>
    <row r="64" spans="1:3" x14ac:dyDescent="0.25">
      <c r="A64" s="10">
        <v>43613</v>
      </c>
      <c r="B64" t="s">
        <v>514</v>
      </c>
      <c r="C64" s="13">
        <v>1579.71</v>
      </c>
    </row>
    <row r="65" spans="1:3" x14ac:dyDescent="0.25">
      <c r="A65" s="10">
        <v>43619</v>
      </c>
      <c r="B65" t="s">
        <v>518</v>
      </c>
      <c r="C65" s="13">
        <v>23.86</v>
      </c>
    </row>
    <row r="66" spans="1:3" x14ac:dyDescent="0.25">
      <c r="A66" s="10">
        <v>43626</v>
      </c>
      <c r="B66" t="s">
        <v>510</v>
      </c>
      <c r="C66" s="13">
        <v>0.03</v>
      </c>
    </row>
    <row r="67" spans="1:3" x14ac:dyDescent="0.25">
      <c r="A67" s="10">
        <v>43629</v>
      </c>
      <c r="B67" t="s">
        <v>519</v>
      </c>
      <c r="C67" s="13">
        <v>4.92</v>
      </c>
    </row>
    <row r="68" spans="1:3" x14ac:dyDescent="0.25">
      <c r="A68" s="10">
        <v>43647</v>
      </c>
      <c r="B68" t="s">
        <v>514</v>
      </c>
      <c r="C68" s="13">
        <v>1570</v>
      </c>
    </row>
    <row r="69" spans="1:3" x14ac:dyDescent="0.25">
      <c r="A69" s="10">
        <v>43647</v>
      </c>
      <c r="B69" t="s">
        <v>518</v>
      </c>
      <c r="C69" s="13">
        <v>23.95</v>
      </c>
    </row>
    <row r="70" spans="1:3" x14ac:dyDescent="0.25">
      <c r="A70" s="10">
        <v>43656</v>
      </c>
      <c r="B70" t="s">
        <v>510</v>
      </c>
      <c r="C70" s="13">
        <v>0.05</v>
      </c>
    </row>
    <row r="71" spans="1:3" x14ac:dyDescent="0.25">
      <c r="A71" s="10">
        <v>43656</v>
      </c>
      <c r="B71" t="s">
        <v>520</v>
      </c>
      <c r="C71" s="13">
        <v>4.6399999999999997</v>
      </c>
    </row>
    <row r="72" spans="1:3" x14ac:dyDescent="0.25">
      <c r="A72" s="10">
        <v>43661</v>
      </c>
      <c r="B72" t="s">
        <v>519</v>
      </c>
      <c r="C72" s="13">
        <v>4.9400000000000004</v>
      </c>
    </row>
    <row r="73" spans="1:3" x14ac:dyDescent="0.25">
      <c r="A73" s="10">
        <v>43663</v>
      </c>
      <c r="B73" t="s">
        <v>510</v>
      </c>
      <c r="C73" s="13">
        <v>0.08</v>
      </c>
    </row>
    <row r="74" spans="1:3" x14ac:dyDescent="0.25">
      <c r="A74" s="10">
        <v>43672</v>
      </c>
      <c r="B74" t="s">
        <v>514</v>
      </c>
      <c r="C74" s="13">
        <v>1579.71</v>
      </c>
    </row>
    <row r="75" spans="1:3" x14ac:dyDescent="0.25">
      <c r="A75" s="10">
        <v>43675</v>
      </c>
      <c r="B75" t="s">
        <v>510</v>
      </c>
      <c r="C75" s="13">
        <v>0.02</v>
      </c>
    </row>
    <row r="76" spans="1:3" x14ac:dyDescent="0.25">
      <c r="A76" s="10">
        <v>43678</v>
      </c>
      <c r="B76" t="s">
        <v>518</v>
      </c>
      <c r="C76" s="13">
        <v>24.04</v>
      </c>
    </row>
    <row r="77" spans="1:3" x14ac:dyDescent="0.25">
      <c r="A77" s="10">
        <v>43689</v>
      </c>
      <c r="B77" t="s">
        <v>510</v>
      </c>
      <c r="C77" s="13">
        <v>0.01</v>
      </c>
    </row>
    <row r="78" spans="1:3" x14ac:dyDescent="0.25">
      <c r="A78" s="10">
        <v>43689</v>
      </c>
      <c r="B78" t="s">
        <v>520</v>
      </c>
      <c r="C78" s="13">
        <v>4.66</v>
      </c>
    </row>
    <row r="79" spans="1:3" x14ac:dyDescent="0.25">
      <c r="A79" s="10">
        <v>43690</v>
      </c>
      <c r="B79" t="s">
        <v>519</v>
      </c>
      <c r="C79" s="13">
        <v>4.96</v>
      </c>
    </row>
    <row r="80" spans="1:3" x14ac:dyDescent="0.25">
      <c r="A80" s="10">
        <v>43696</v>
      </c>
      <c r="B80" t="s">
        <v>521</v>
      </c>
      <c r="C80" s="13">
        <v>7.43</v>
      </c>
    </row>
    <row r="81" spans="1:3" x14ac:dyDescent="0.25">
      <c r="A81" s="10">
        <v>43705</v>
      </c>
      <c r="B81" t="s">
        <v>514</v>
      </c>
      <c r="C81" s="13">
        <v>1580</v>
      </c>
    </row>
    <row r="82" spans="1:3" x14ac:dyDescent="0.25">
      <c r="A82" s="10">
        <v>43707</v>
      </c>
      <c r="B82" t="s">
        <v>510</v>
      </c>
      <c r="C82" s="13">
        <v>0.01</v>
      </c>
    </row>
    <row r="83" spans="1:3" x14ac:dyDescent="0.25">
      <c r="A83" s="89">
        <v>43710</v>
      </c>
      <c r="B83" s="90" t="s">
        <v>518</v>
      </c>
      <c r="C83" s="119">
        <v>27.46</v>
      </c>
    </row>
    <row r="84" spans="1:3" x14ac:dyDescent="0.25">
      <c r="A84" s="89">
        <v>43718</v>
      </c>
      <c r="B84" s="90" t="s">
        <v>520</v>
      </c>
      <c r="C84" s="119">
        <v>4.32</v>
      </c>
    </row>
    <row r="85" spans="1:3" x14ac:dyDescent="0.25">
      <c r="A85" s="89">
        <v>43721</v>
      </c>
      <c r="B85" s="90" t="s">
        <v>519</v>
      </c>
      <c r="C85" s="119">
        <v>4.5999999999999996</v>
      </c>
    </row>
    <row r="86" spans="1:3" x14ac:dyDescent="0.25">
      <c r="A86" s="89">
        <v>43725</v>
      </c>
      <c r="B86" s="90" t="s">
        <v>521</v>
      </c>
      <c r="C86" s="119">
        <v>6.38</v>
      </c>
    </row>
    <row r="87" spans="1:3" x14ac:dyDescent="0.25">
      <c r="A87" s="10">
        <v>43735</v>
      </c>
      <c r="B87" t="s">
        <v>514</v>
      </c>
      <c r="C87" s="13">
        <v>1580</v>
      </c>
    </row>
    <row r="88" spans="1:3" x14ac:dyDescent="0.25">
      <c r="A88" s="89">
        <v>43738</v>
      </c>
      <c r="B88" s="90" t="s">
        <v>522</v>
      </c>
      <c r="C88" s="119">
        <v>6.66</v>
      </c>
    </row>
    <row r="89" spans="1:3" x14ac:dyDescent="0.25">
      <c r="A89" s="89">
        <v>43738</v>
      </c>
      <c r="B89" s="90" t="s">
        <v>510</v>
      </c>
      <c r="C89" s="119">
        <v>0.04</v>
      </c>
    </row>
    <row r="90" spans="1:3" x14ac:dyDescent="0.25">
      <c r="A90" s="89">
        <v>43739</v>
      </c>
      <c r="B90" s="90" t="s">
        <v>518</v>
      </c>
      <c r="C90" s="119">
        <v>33.049999999999997</v>
      </c>
    </row>
    <row r="91" spans="1:3" x14ac:dyDescent="0.25">
      <c r="A91" s="89">
        <v>43748</v>
      </c>
      <c r="B91" s="90" t="s">
        <v>520</v>
      </c>
      <c r="C91" s="119">
        <v>4.34</v>
      </c>
    </row>
    <row r="92" spans="1:3" x14ac:dyDescent="0.25">
      <c r="A92" s="10">
        <v>43749</v>
      </c>
      <c r="B92" t="s">
        <v>510</v>
      </c>
      <c r="C92" s="13">
        <v>0.01</v>
      </c>
    </row>
    <row r="93" spans="1:3" x14ac:dyDescent="0.25">
      <c r="A93" s="89">
        <v>43752</v>
      </c>
      <c r="B93" s="90" t="s">
        <v>519</v>
      </c>
      <c r="C93" s="119">
        <v>4.6100000000000003</v>
      </c>
    </row>
    <row r="94" spans="1:3" x14ac:dyDescent="0.25">
      <c r="A94" s="89">
        <v>43755</v>
      </c>
      <c r="B94" s="90" t="s">
        <v>521</v>
      </c>
      <c r="C94" s="119">
        <v>6.4</v>
      </c>
    </row>
    <row r="95" spans="1:3" x14ac:dyDescent="0.25">
      <c r="A95" s="10">
        <v>43767</v>
      </c>
      <c r="B95" t="s">
        <v>514</v>
      </c>
      <c r="C95" s="13">
        <v>1571.87</v>
      </c>
    </row>
    <row r="96" spans="1:3" x14ac:dyDescent="0.25">
      <c r="A96" s="10">
        <v>43770</v>
      </c>
      <c r="B96" t="s">
        <v>510</v>
      </c>
      <c r="C96" s="13">
        <v>0.01</v>
      </c>
    </row>
    <row r="97" spans="1:3" x14ac:dyDescent="0.25">
      <c r="A97" s="10">
        <v>43770</v>
      </c>
      <c r="B97" t="s">
        <v>518</v>
      </c>
      <c r="C97" s="13">
        <v>33.97</v>
      </c>
    </row>
    <row r="98" spans="1:3" x14ac:dyDescent="0.25">
      <c r="A98" s="10">
        <v>43782</v>
      </c>
      <c r="B98" t="s">
        <v>519</v>
      </c>
      <c r="C98" s="13">
        <v>4.25</v>
      </c>
    </row>
    <row r="99" spans="1:3" x14ac:dyDescent="0.25">
      <c r="A99" s="10">
        <v>43787</v>
      </c>
      <c r="B99" t="s">
        <v>521</v>
      </c>
      <c r="C99" s="13">
        <v>5.9</v>
      </c>
    </row>
    <row r="100" spans="1:3" x14ac:dyDescent="0.25">
      <c r="A100" s="10">
        <v>43796</v>
      </c>
      <c r="B100" t="s">
        <v>514</v>
      </c>
      <c r="C100" s="13">
        <v>1571.95</v>
      </c>
    </row>
    <row r="101" spans="1:3" x14ac:dyDescent="0.25">
      <c r="A101" s="10">
        <v>43801</v>
      </c>
      <c r="B101" t="s">
        <v>518</v>
      </c>
      <c r="C101" s="13">
        <v>34.04</v>
      </c>
    </row>
    <row r="102" spans="1:3" x14ac:dyDescent="0.25">
      <c r="A102" s="10">
        <v>43812</v>
      </c>
      <c r="B102" t="s">
        <v>519</v>
      </c>
      <c r="C102" s="13">
        <v>3.88</v>
      </c>
    </row>
    <row r="103" spans="1:3" x14ac:dyDescent="0.25">
      <c r="A103" s="10">
        <v>43816</v>
      </c>
      <c r="B103" t="s">
        <v>521</v>
      </c>
      <c r="C103" s="13">
        <v>5.39</v>
      </c>
    </row>
    <row r="104" spans="1:3" x14ac:dyDescent="0.25">
      <c r="A104" s="10">
        <v>43817</v>
      </c>
      <c r="B104" t="s">
        <v>523</v>
      </c>
      <c r="C104" s="13">
        <v>23.11</v>
      </c>
    </row>
    <row r="105" spans="1:3" x14ac:dyDescent="0.25">
      <c r="A105" s="10">
        <v>43826</v>
      </c>
      <c r="B105" t="s">
        <v>524</v>
      </c>
      <c r="C105" s="13">
        <v>4.16</v>
      </c>
    </row>
    <row r="106" spans="1:3" x14ac:dyDescent="0.25">
      <c r="A106" s="10">
        <v>43830</v>
      </c>
      <c r="B106" t="s">
        <v>510</v>
      </c>
      <c r="C106" s="13">
        <v>0.03</v>
      </c>
    </row>
    <row r="107" spans="1:3" x14ac:dyDescent="0.25">
      <c r="A107" s="10">
        <v>43832</v>
      </c>
      <c r="B107" t="s">
        <v>518</v>
      </c>
      <c r="C107" s="13">
        <v>34.14</v>
      </c>
    </row>
    <row r="108" spans="1:3" x14ac:dyDescent="0.25">
      <c r="A108" s="10">
        <v>43843</v>
      </c>
      <c r="B108" t="s">
        <v>519</v>
      </c>
      <c r="C108" s="13">
        <v>3.51</v>
      </c>
    </row>
    <row r="109" spans="1:3" x14ac:dyDescent="0.25">
      <c r="A109" s="10">
        <v>43843</v>
      </c>
      <c r="B109" t="s">
        <v>514</v>
      </c>
      <c r="C109" s="13">
        <v>1718.41</v>
      </c>
    </row>
    <row r="110" spans="1:3" x14ac:dyDescent="0.25">
      <c r="A110" s="10">
        <v>43847</v>
      </c>
      <c r="B110" t="s">
        <v>521</v>
      </c>
      <c r="C110" s="13">
        <v>4.87</v>
      </c>
    </row>
    <row r="111" spans="1:3" x14ac:dyDescent="0.25">
      <c r="A111" s="10">
        <v>43850</v>
      </c>
      <c r="B111" t="s">
        <v>523</v>
      </c>
      <c r="C111" s="13">
        <v>20.89</v>
      </c>
    </row>
    <row r="112" spans="1:3" x14ac:dyDescent="0.25">
      <c r="A112" s="10">
        <v>43853</v>
      </c>
      <c r="B112" t="s">
        <v>525</v>
      </c>
      <c r="C112" s="13">
        <v>72.42</v>
      </c>
    </row>
    <row r="113" spans="1:3" x14ac:dyDescent="0.25">
      <c r="A113" s="10">
        <v>43857</v>
      </c>
      <c r="B113" t="s">
        <v>524</v>
      </c>
      <c r="C113" s="13">
        <v>3.76</v>
      </c>
    </row>
    <row r="114" spans="1:3" x14ac:dyDescent="0.25">
      <c r="A114" s="10">
        <v>43858</v>
      </c>
      <c r="B114" t="s">
        <v>514</v>
      </c>
      <c r="C114" s="13">
        <v>1637.28</v>
      </c>
    </row>
    <row r="115" spans="1:3" x14ac:dyDescent="0.25">
      <c r="A115" s="10">
        <v>43864</v>
      </c>
      <c r="B115" t="s">
        <v>518</v>
      </c>
      <c r="C115" s="13">
        <v>30.87</v>
      </c>
    </row>
    <row r="116" spans="1:3" x14ac:dyDescent="0.25">
      <c r="A116" s="10">
        <v>43874</v>
      </c>
      <c r="B116" t="s">
        <v>519</v>
      </c>
      <c r="C116" s="13">
        <v>3.52</v>
      </c>
    </row>
    <row r="117" spans="1:3" x14ac:dyDescent="0.25">
      <c r="A117" s="10">
        <v>43878</v>
      </c>
      <c r="B117" t="s">
        <v>521</v>
      </c>
      <c r="C117" s="13">
        <v>4.88</v>
      </c>
    </row>
    <row r="118" spans="1:3" x14ac:dyDescent="0.25">
      <c r="A118" s="10">
        <v>43879</v>
      </c>
      <c r="B118" t="s">
        <v>523</v>
      </c>
      <c r="C118" s="13">
        <v>20.95</v>
      </c>
    </row>
    <row r="119" spans="1:3" x14ac:dyDescent="0.25">
      <c r="A119" s="10">
        <v>43881</v>
      </c>
      <c r="B119" t="s">
        <v>526</v>
      </c>
      <c r="C119" s="13">
        <v>4.7300000000000004</v>
      </c>
    </row>
    <row r="120" spans="1:3" x14ac:dyDescent="0.25">
      <c r="A120" s="10">
        <v>43888</v>
      </c>
      <c r="B120" t="s">
        <v>524</v>
      </c>
      <c r="C120" s="13">
        <v>3.77</v>
      </c>
    </row>
    <row r="121" spans="1:3" x14ac:dyDescent="0.25">
      <c r="A121" s="10">
        <v>43901</v>
      </c>
      <c r="B121" t="s">
        <v>527</v>
      </c>
      <c r="C121" s="13">
        <v>4210.88</v>
      </c>
    </row>
    <row r="122" spans="1:3" x14ac:dyDescent="0.25">
      <c r="A122" s="10">
        <v>43944</v>
      </c>
      <c r="B122" t="s">
        <v>528</v>
      </c>
      <c r="C122" s="13">
        <v>61906.48</v>
      </c>
    </row>
    <row r="123" spans="1:3" x14ac:dyDescent="0.25">
      <c r="A123" s="10">
        <v>43992</v>
      </c>
      <c r="B123" t="s">
        <v>510</v>
      </c>
      <c r="C123" s="13">
        <v>0.01</v>
      </c>
    </row>
    <row r="124" spans="1:3" x14ac:dyDescent="0.25">
      <c r="A124" s="10">
        <v>44102</v>
      </c>
      <c r="B124" t="s">
        <v>510</v>
      </c>
      <c r="C124" s="13">
        <v>0.01</v>
      </c>
    </row>
    <row r="125" spans="1:3" x14ac:dyDescent="0.25">
      <c r="A125" s="10">
        <v>44111</v>
      </c>
      <c r="B125" t="s">
        <v>528</v>
      </c>
      <c r="C125" s="13">
        <v>500</v>
      </c>
    </row>
    <row r="126" spans="1:3" x14ac:dyDescent="0.25">
      <c r="A126" s="10">
        <v>44130</v>
      </c>
      <c r="B126" t="s">
        <v>529</v>
      </c>
      <c r="C126" s="13">
        <v>198.25</v>
      </c>
    </row>
    <row r="127" spans="1:3" x14ac:dyDescent="0.25">
      <c r="A127" s="10">
        <v>44131</v>
      </c>
      <c r="B127" t="s">
        <v>529</v>
      </c>
      <c r="C127" s="13">
        <v>233.44</v>
      </c>
    </row>
    <row r="128" spans="1:3" x14ac:dyDescent="0.25">
      <c r="A128" s="10">
        <v>44162</v>
      </c>
      <c r="B128" t="s">
        <v>529</v>
      </c>
      <c r="C128" s="13">
        <v>1538.44</v>
      </c>
    </row>
    <row r="129" spans="1:3" x14ac:dyDescent="0.25">
      <c r="A129" s="10">
        <v>44176</v>
      </c>
      <c r="B129" t="s">
        <v>510</v>
      </c>
      <c r="C129" s="13">
        <v>0.03</v>
      </c>
    </row>
    <row r="130" spans="1:3" x14ac:dyDescent="0.25">
      <c r="A130" s="10">
        <v>44188</v>
      </c>
      <c r="B130" t="s">
        <v>529</v>
      </c>
      <c r="C130" s="13">
        <v>1538.44</v>
      </c>
    </row>
    <row r="131" spans="1:3" x14ac:dyDescent="0.25">
      <c r="A131" s="10">
        <v>44200</v>
      </c>
      <c r="B131" t="s">
        <v>510</v>
      </c>
      <c r="C131" s="13">
        <v>0.22</v>
      </c>
    </row>
    <row r="132" spans="1:3" x14ac:dyDescent="0.25">
      <c r="A132" s="10">
        <v>44222</v>
      </c>
      <c r="B132" t="s">
        <v>529</v>
      </c>
      <c r="C132" s="13">
        <v>1571.79</v>
      </c>
    </row>
    <row r="133" spans="1:3" x14ac:dyDescent="0.25">
      <c r="A133" s="10">
        <v>44239</v>
      </c>
      <c r="B133" t="s">
        <v>530</v>
      </c>
      <c r="C133" s="13">
        <v>0.21</v>
      </c>
    </row>
    <row r="134" spans="1:3" x14ac:dyDescent="0.25">
      <c r="A134" s="118">
        <v>44253</v>
      </c>
      <c r="B134" t="s">
        <v>531</v>
      </c>
      <c r="C134" s="13">
        <v>1603.04</v>
      </c>
    </row>
    <row r="135" spans="1:3" x14ac:dyDescent="0.25">
      <c r="A135" s="118">
        <v>44256</v>
      </c>
      <c r="B135" t="s">
        <v>532</v>
      </c>
      <c r="C135" s="13">
        <v>0.04</v>
      </c>
    </row>
    <row r="136" spans="1:3" x14ac:dyDescent="0.25">
      <c r="A136" s="10">
        <v>44277</v>
      </c>
      <c r="B136" t="s">
        <v>530</v>
      </c>
      <c r="C136" s="13">
        <v>0.2</v>
      </c>
    </row>
    <row r="137" spans="1:3" x14ac:dyDescent="0.25">
      <c r="A137" s="10">
        <v>44277</v>
      </c>
      <c r="B137" t="s">
        <v>530</v>
      </c>
      <c r="C137" s="13">
        <v>1.1499999999999999</v>
      </c>
    </row>
    <row r="138" spans="1:3" x14ac:dyDescent="0.25">
      <c r="A138" s="118">
        <v>44281</v>
      </c>
      <c r="B138" t="s">
        <v>531</v>
      </c>
      <c r="C138" s="13">
        <v>1644.84</v>
      </c>
    </row>
    <row r="139" spans="1:3" x14ac:dyDescent="0.25">
      <c r="A139" s="118">
        <v>44312</v>
      </c>
      <c r="B139" t="s">
        <v>531</v>
      </c>
      <c r="C139" s="13">
        <v>1582.99</v>
      </c>
    </row>
    <row r="140" spans="1:3" x14ac:dyDescent="0.25">
      <c r="A140" s="10">
        <v>44319</v>
      </c>
      <c r="B140" t="s">
        <v>532</v>
      </c>
      <c r="C140" s="13">
        <v>0.01</v>
      </c>
    </row>
    <row r="141" spans="1:3" x14ac:dyDescent="0.25">
      <c r="A141" s="10">
        <v>44342</v>
      </c>
      <c r="B141" t="s">
        <v>531</v>
      </c>
      <c r="C141" s="13">
        <v>1575.75</v>
      </c>
    </row>
    <row r="142" spans="1:3" x14ac:dyDescent="0.25">
      <c r="A142" s="10">
        <v>44369</v>
      </c>
      <c r="B142" t="s">
        <v>532</v>
      </c>
      <c r="C142" s="13">
        <v>7.0000000000000007E-2</v>
      </c>
    </row>
    <row r="143" spans="1:3" x14ac:dyDescent="0.25">
      <c r="A143" s="10">
        <v>44372</v>
      </c>
      <c r="B143" t="s">
        <v>531</v>
      </c>
      <c r="C143" s="13">
        <v>1577.79</v>
      </c>
    </row>
    <row r="144" spans="1:3" x14ac:dyDescent="0.25">
      <c r="A144" s="10">
        <v>44403</v>
      </c>
      <c r="B144" t="s">
        <v>531</v>
      </c>
      <c r="C144" s="13">
        <v>1565.42</v>
      </c>
    </row>
    <row r="145" spans="1:3" x14ac:dyDescent="0.25">
      <c r="A145" s="10">
        <v>44412</v>
      </c>
      <c r="B145" t="s">
        <v>532</v>
      </c>
      <c r="C145" s="13">
        <v>0.01</v>
      </c>
    </row>
    <row r="146" spans="1:3" x14ac:dyDescent="0.25">
      <c r="A146" s="10">
        <v>44434</v>
      </c>
      <c r="B146" t="s">
        <v>531</v>
      </c>
      <c r="C146" s="13">
        <v>1579.88</v>
      </c>
    </row>
    <row r="147" spans="1:3" x14ac:dyDescent="0.25">
      <c r="A147" s="10">
        <v>44439</v>
      </c>
      <c r="B147" t="s">
        <v>532</v>
      </c>
      <c r="C147" s="13">
        <v>0.02</v>
      </c>
    </row>
    <row r="148" spans="1:3" x14ac:dyDescent="0.25">
      <c r="A148" s="10">
        <v>44449</v>
      </c>
      <c r="B148" t="s">
        <v>533</v>
      </c>
      <c r="C148" s="13">
        <v>649.99</v>
      </c>
    </row>
    <row r="149" spans="1:3" x14ac:dyDescent="0.25">
      <c r="A149" s="10">
        <v>44463</v>
      </c>
      <c r="B149" t="s">
        <v>531</v>
      </c>
      <c r="C149" s="13">
        <v>1596.4</v>
      </c>
    </row>
    <row r="150" spans="1:3" x14ac:dyDescent="0.25">
      <c r="A150" s="10">
        <v>44470</v>
      </c>
      <c r="B150" t="s">
        <v>532</v>
      </c>
      <c r="C150" s="13">
        <v>0.01</v>
      </c>
    </row>
    <row r="151" spans="1:3" x14ac:dyDescent="0.25">
      <c r="A151" s="10">
        <v>44475</v>
      </c>
      <c r="B151" t="s">
        <v>534</v>
      </c>
      <c r="C151" s="13">
        <v>96.35</v>
      </c>
    </row>
    <row r="152" spans="1:3" x14ac:dyDescent="0.25">
      <c r="A152" s="10">
        <v>44477</v>
      </c>
      <c r="B152" t="s">
        <v>534</v>
      </c>
      <c r="C152" s="13">
        <v>3.24</v>
      </c>
    </row>
    <row r="153" spans="1:3" x14ac:dyDescent="0.25">
      <c r="A153" s="10">
        <v>44477</v>
      </c>
      <c r="B153" t="s">
        <v>534</v>
      </c>
      <c r="C153" s="13">
        <v>24.41</v>
      </c>
    </row>
    <row r="154" spans="1:3" x14ac:dyDescent="0.25">
      <c r="A154" s="10">
        <v>44477</v>
      </c>
      <c r="B154" t="s">
        <v>535</v>
      </c>
      <c r="C154" s="13">
        <v>5.89</v>
      </c>
    </row>
    <row r="155" spans="1:3" x14ac:dyDescent="0.25">
      <c r="A155" s="10">
        <v>44477</v>
      </c>
      <c r="B155" t="s">
        <v>535</v>
      </c>
      <c r="C155" s="13">
        <v>12.15</v>
      </c>
    </row>
    <row r="156" spans="1:3" x14ac:dyDescent="0.25">
      <c r="A156" s="10">
        <v>44478</v>
      </c>
      <c r="B156" t="s">
        <v>536</v>
      </c>
      <c r="C156" s="13">
        <v>400</v>
      </c>
    </row>
    <row r="157" spans="1:3" x14ac:dyDescent="0.25">
      <c r="A157" s="10">
        <v>44490</v>
      </c>
      <c r="B157" t="s">
        <v>534</v>
      </c>
      <c r="C157" s="13">
        <v>4.08</v>
      </c>
    </row>
    <row r="158" spans="1:3" x14ac:dyDescent="0.25">
      <c r="A158" s="10">
        <v>44490</v>
      </c>
      <c r="B158" t="s">
        <v>534</v>
      </c>
      <c r="C158" s="13">
        <v>10.130000000000001</v>
      </c>
    </row>
    <row r="159" spans="1:3" x14ac:dyDescent="0.25">
      <c r="A159" s="10">
        <v>44490</v>
      </c>
      <c r="B159" t="s">
        <v>534</v>
      </c>
      <c r="C159" s="13">
        <v>1.36</v>
      </c>
    </row>
    <row r="160" spans="1:3" x14ac:dyDescent="0.25">
      <c r="A160" s="10">
        <v>44490</v>
      </c>
      <c r="B160" t="s">
        <v>534</v>
      </c>
      <c r="C160" s="13">
        <v>4.5</v>
      </c>
    </row>
    <row r="161" spans="1:4" x14ac:dyDescent="0.25">
      <c r="A161" s="10">
        <v>44490</v>
      </c>
      <c r="B161" t="s">
        <v>534</v>
      </c>
      <c r="C161" s="13">
        <v>38.5</v>
      </c>
    </row>
    <row r="162" spans="1:4" x14ac:dyDescent="0.25">
      <c r="A162" s="10">
        <v>44494</v>
      </c>
      <c r="B162" t="s">
        <v>534</v>
      </c>
      <c r="C162" s="13">
        <v>1.32</v>
      </c>
    </row>
    <row r="163" spans="1:4" x14ac:dyDescent="0.25">
      <c r="A163" s="10">
        <v>44494</v>
      </c>
      <c r="B163" t="s">
        <v>534</v>
      </c>
      <c r="C163" s="13">
        <v>0.88</v>
      </c>
      <c r="D163" s="22"/>
    </row>
    <row r="164" spans="1:4" x14ac:dyDescent="0.25">
      <c r="A164" s="10">
        <v>44494</v>
      </c>
      <c r="B164" t="s">
        <v>534</v>
      </c>
      <c r="C164" s="13">
        <v>10.8</v>
      </c>
      <c r="D164" s="22"/>
    </row>
    <row r="165" spans="1:4" x14ac:dyDescent="0.25">
      <c r="A165" s="10">
        <v>44494</v>
      </c>
      <c r="B165" t="s">
        <v>534</v>
      </c>
      <c r="C165" s="13">
        <v>49.84</v>
      </c>
      <c r="D165" s="22"/>
    </row>
    <row r="166" spans="1:4" x14ac:dyDescent="0.25">
      <c r="A166" s="10">
        <v>44495</v>
      </c>
      <c r="B166" t="s">
        <v>534</v>
      </c>
      <c r="C166" s="13">
        <v>1.57</v>
      </c>
      <c r="D166" s="22"/>
    </row>
    <row r="167" spans="1:4" x14ac:dyDescent="0.25">
      <c r="A167" s="10">
        <v>44495</v>
      </c>
      <c r="B167" t="s">
        <v>534</v>
      </c>
      <c r="C167" s="13">
        <v>14.1</v>
      </c>
      <c r="D167" s="22"/>
    </row>
    <row r="168" spans="1:4" x14ac:dyDescent="0.25">
      <c r="A168" s="10">
        <v>44495</v>
      </c>
      <c r="B168" t="s">
        <v>534</v>
      </c>
      <c r="C168" s="13">
        <v>60.01</v>
      </c>
      <c r="D168" s="22"/>
    </row>
    <row r="169" spans="1:4" x14ac:dyDescent="0.25">
      <c r="A169" s="10">
        <v>44495</v>
      </c>
      <c r="B169" t="s">
        <v>534</v>
      </c>
      <c r="C169" s="13">
        <v>2.71</v>
      </c>
      <c r="D169" s="22"/>
    </row>
    <row r="170" spans="1:4" x14ac:dyDescent="0.25">
      <c r="A170" s="10">
        <v>44495</v>
      </c>
      <c r="B170" t="s">
        <v>531</v>
      </c>
      <c r="C170" s="13">
        <v>1756.92</v>
      </c>
    </row>
    <row r="171" spans="1:4" x14ac:dyDescent="0.25">
      <c r="A171" s="10"/>
      <c r="C171" s="120">
        <f>SUM(C2:C170)</f>
        <v>119083.36</v>
      </c>
    </row>
    <row r="172" spans="1:4" x14ac:dyDescent="0.25">
      <c r="A172" s="10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48"/>
  <sheetViews>
    <sheetView topLeftCell="A25" workbookViewId="0">
      <selection activeCell="B13" sqref="B13"/>
    </sheetView>
  </sheetViews>
  <sheetFormatPr defaultRowHeight="15" x14ac:dyDescent="0.25"/>
  <cols>
    <col min="1" max="2" width="10.7109375" bestFit="1" customWidth="1"/>
    <col min="3" max="3" width="51.140625" bestFit="1" customWidth="1"/>
    <col min="4" max="4" width="9.85546875" bestFit="1" customWidth="1"/>
    <col min="6" max="6" width="18.7109375" bestFit="1" customWidth="1"/>
    <col min="7" max="7" width="10.7109375" bestFit="1" customWidth="1"/>
    <col min="8" max="8" width="46.42578125" bestFit="1" customWidth="1"/>
    <col min="9" max="9" width="8.85546875" bestFit="1" customWidth="1"/>
    <col min="11" max="12" width="10.7109375" bestFit="1" customWidth="1"/>
    <col min="13" max="13" width="51.140625" bestFit="1" customWidth="1"/>
  </cols>
  <sheetData>
    <row r="1" spans="1:10" x14ac:dyDescent="0.25">
      <c r="A1" s="14" t="s">
        <v>92</v>
      </c>
      <c r="B1" s="14" t="s">
        <v>93</v>
      </c>
      <c r="C1" s="14" t="s">
        <v>94</v>
      </c>
      <c r="D1" s="14" t="s">
        <v>95</v>
      </c>
    </row>
    <row r="2" spans="1:10" x14ac:dyDescent="0.25">
      <c r="A2" s="10">
        <v>41068</v>
      </c>
      <c r="B2" s="10">
        <v>41068</v>
      </c>
      <c r="C2" t="s">
        <v>196</v>
      </c>
      <c r="D2" s="23">
        <v>-6.9</v>
      </c>
      <c r="J2" s="22"/>
    </row>
    <row r="3" spans="1:10" x14ac:dyDescent="0.25">
      <c r="A3" s="10">
        <v>41096</v>
      </c>
      <c r="B3" s="10">
        <v>41096</v>
      </c>
      <c r="C3" t="s">
        <v>196</v>
      </c>
      <c r="D3" s="23">
        <v>-6.9</v>
      </c>
      <c r="F3" s="61"/>
      <c r="J3" s="22"/>
    </row>
    <row r="4" spans="1:10" x14ac:dyDescent="0.25">
      <c r="A4" s="10">
        <v>41129</v>
      </c>
      <c r="B4" s="10">
        <v>41129</v>
      </c>
      <c r="C4" t="s">
        <v>196</v>
      </c>
      <c r="D4" s="23">
        <v>-6.9</v>
      </c>
      <c r="F4" s="61"/>
      <c r="J4" s="22"/>
    </row>
    <row r="5" spans="1:10" x14ac:dyDescent="0.25">
      <c r="A5" s="10">
        <v>41162</v>
      </c>
      <c r="B5" s="10">
        <v>41162</v>
      </c>
      <c r="C5" t="s">
        <v>196</v>
      </c>
      <c r="D5" s="23">
        <v>-6.9</v>
      </c>
      <c r="F5" s="61"/>
      <c r="J5" s="22"/>
    </row>
    <row r="6" spans="1:10" x14ac:dyDescent="0.25">
      <c r="A6" s="10">
        <v>41187</v>
      </c>
      <c r="B6" s="10">
        <v>41187</v>
      </c>
      <c r="C6" t="s">
        <v>196</v>
      </c>
      <c r="D6" s="23">
        <v>-6.9</v>
      </c>
      <c r="F6" s="62"/>
      <c r="J6" s="22"/>
    </row>
    <row r="7" spans="1:10" x14ac:dyDescent="0.25">
      <c r="A7" s="10">
        <v>41221</v>
      </c>
      <c r="B7" s="10">
        <v>41221</v>
      </c>
      <c r="C7" t="s">
        <v>196</v>
      </c>
      <c r="D7" s="23">
        <v>-6.9</v>
      </c>
      <c r="F7" s="61"/>
      <c r="J7" s="22"/>
    </row>
    <row r="8" spans="1:10" x14ac:dyDescent="0.25">
      <c r="A8" s="10">
        <v>41250</v>
      </c>
      <c r="B8" s="10">
        <v>41250</v>
      </c>
      <c r="C8" t="s">
        <v>196</v>
      </c>
      <c r="D8" s="23">
        <v>-6.9</v>
      </c>
      <c r="F8" s="61"/>
      <c r="J8" s="22"/>
    </row>
    <row r="9" spans="1:10" x14ac:dyDescent="0.25">
      <c r="A9" s="10">
        <v>41282</v>
      </c>
      <c r="B9" s="10">
        <v>41282</v>
      </c>
      <c r="C9" t="s">
        <v>196</v>
      </c>
      <c r="D9" s="23">
        <v>-6.9</v>
      </c>
      <c r="F9" s="61"/>
      <c r="J9" s="22"/>
    </row>
    <row r="10" spans="1:10" x14ac:dyDescent="0.25">
      <c r="A10" s="10">
        <v>41312</v>
      </c>
      <c r="B10" s="10">
        <v>41312</v>
      </c>
      <c r="C10" t="s">
        <v>196</v>
      </c>
      <c r="D10" s="23">
        <v>-6.9</v>
      </c>
      <c r="F10" s="61"/>
      <c r="J10" s="22"/>
    </row>
    <row r="11" spans="1:10" x14ac:dyDescent="0.25">
      <c r="A11" s="10">
        <v>41340</v>
      </c>
      <c r="B11" s="10">
        <v>41340</v>
      </c>
      <c r="C11" t="s">
        <v>196</v>
      </c>
      <c r="D11" s="23">
        <v>-6.9</v>
      </c>
      <c r="F11" s="61"/>
      <c r="J11" s="22"/>
    </row>
    <row r="12" spans="1:10" x14ac:dyDescent="0.25">
      <c r="A12" s="10">
        <v>41372</v>
      </c>
      <c r="B12" s="10">
        <v>41372</v>
      </c>
      <c r="C12" t="s">
        <v>196</v>
      </c>
      <c r="D12" s="23">
        <v>-6.9</v>
      </c>
      <c r="J12" s="22"/>
    </row>
    <row r="13" spans="1:10" x14ac:dyDescent="0.25">
      <c r="A13" s="10">
        <v>41402</v>
      </c>
      <c r="B13" s="10">
        <v>41402</v>
      </c>
      <c r="C13" t="s">
        <v>196</v>
      </c>
      <c r="D13" s="23">
        <v>-6.9</v>
      </c>
      <c r="J13" s="22"/>
    </row>
    <row r="14" spans="1:10" x14ac:dyDescent="0.25">
      <c r="A14" s="10">
        <v>41435</v>
      </c>
      <c r="B14" s="10">
        <v>41435</v>
      </c>
      <c r="C14" t="s">
        <v>196</v>
      </c>
      <c r="D14" s="23">
        <v>-6.9</v>
      </c>
      <c r="J14" s="22"/>
    </row>
    <row r="15" spans="1:10" x14ac:dyDescent="0.25">
      <c r="A15" s="10">
        <v>41460</v>
      </c>
      <c r="B15" s="10">
        <v>41460</v>
      </c>
      <c r="C15" t="s">
        <v>196</v>
      </c>
      <c r="D15" s="23">
        <v>-6.9</v>
      </c>
      <c r="J15" s="22"/>
    </row>
    <row r="16" spans="1:10" x14ac:dyDescent="0.25">
      <c r="A16" s="10">
        <v>41493</v>
      </c>
      <c r="B16" s="10">
        <v>41493</v>
      </c>
      <c r="C16" t="s">
        <v>196</v>
      </c>
      <c r="D16" s="23">
        <v>-6.9</v>
      </c>
      <c r="J16" s="22"/>
    </row>
    <row r="17" spans="1:10" x14ac:dyDescent="0.25">
      <c r="A17" s="10">
        <v>41523</v>
      </c>
      <c r="B17" s="10">
        <v>41523</v>
      </c>
      <c r="C17" t="s">
        <v>196</v>
      </c>
      <c r="D17" s="23">
        <v>-6.9</v>
      </c>
      <c r="J17" s="22"/>
    </row>
    <row r="18" spans="1:10" x14ac:dyDescent="0.25">
      <c r="A18" s="10">
        <v>41554</v>
      </c>
      <c r="B18" s="10">
        <v>41554</v>
      </c>
      <c r="C18" t="s">
        <v>196</v>
      </c>
      <c r="D18" s="23">
        <v>-6.9</v>
      </c>
      <c r="J18" s="22"/>
    </row>
    <row r="19" spans="1:10" x14ac:dyDescent="0.25">
      <c r="A19" s="10">
        <v>41596</v>
      </c>
      <c r="B19" s="10">
        <v>41596</v>
      </c>
      <c r="C19" t="s">
        <v>196</v>
      </c>
      <c r="D19" s="23">
        <v>-6.9</v>
      </c>
      <c r="J19" s="22"/>
    </row>
    <row r="20" spans="1:10" x14ac:dyDescent="0.25">
      <c r="A20" s="10">
        <v>41921</v>
      </c>
      <c r="B20" s="10">
        <v>41932</v>
      </c>
      <c r="C20" t="s">
        <v>215</v>
      </c>
      <c r="D20" s="22">
        <v>-9.8000000000000007</v>
      </c>
      <c r="J20" s="22"/>
    </row>
    <row r="21" spans="1:10" x14ac:dyDescent="0.25">
      <c r="A21" s="10">
        <v>41928</v>
      </c>
      <c r="B21" s="10">
        <v>41932</v>
      </c>
      <c r="C21" t="s">
        <v>216</v>
      </c>
      <c r="D21" s="22">
        <v>9.8000000000000007</v>
      </c>
    </row>
    <row r="22" spans="1:10" x14ac:dyDescent="0.25">
      <c r="A22" s="10">
        <v>41991</v>
      </c>
      <c r="B22" s="10">
        <v>41991</v>
      </c>
      <c r="C22" t="s">
        <v>223</v>
      </c>
      <c r="D22" s="22">
        <v>6.9</v>
      </c>
    </row>
    <row r="23" spans="1:10" x14ac:dyDescent="0.25">
      <c r="A23" s="10">
        <v>41991</v>
      </c>
      <c r="B23" s="10">
        <v>41991</v>
      </c>
      <c r="C23" t="s">
        <v>224</v>
      </c>
      <c r="D23" s="22">
        <v>-6.9</v>
      </c>
      <c r="J23" s="22"/>
    </row>
    <row r="24" spans="1:10" x14ac:dyDescent="0.25">
      <c r="A24" s="10">
        <v>42016</v>
      </c>
      <c r="B24" s="10">
        <v>42023</v>
      </c>
      <c r="C24" t="s">
        <v>226</v>
      </c>
      <c r="D24" s="22">
        <v>-6.9</v>
      </c>
      <c r="J24" s="22"/>
    </row>
    <row r="25" spans="1:10" x14ac:dyDescent="0.25">
      <c r="A25" s="10">
        <v>42039</v>
      </c>
      <c r="B25" s="10">
        <v>42053</v>
      </c>
      <c r="C25" t="s">
        <v>227</v>
      </c>
      <c r="D25" s="22">
        <v>-6.9</v>
      </c>
      <c r="J25" s="22"/>
    </row>
    <row r="26" spans="1:10" x14ac:dyDescent="0.25">
      <c r="A26" s="10">
        <v>42069</v>
      </c>
      <c r="B26" s="10">
        <v>42079</v>
      </c>
      <c r="C26" t="s">
        <v>228</v>
      </c>
      <c r="D26" s="22">
        <v>-6.9</v>
      </c>
      <c r="J26" s="22"/>
    </row>
    <row r="27" spans="1:10" x14ac:dyDescent="0.25">
      <c r="A27" s="10">
        <v>42102</v>
      </c>
      <c r="B27" s="10">
        <v>42114</v>
      </c>
      <c r="C27" t="s">
        <v>229</v>
      </c>
      <c r="D27" s="22">
        <v>-12.5</v>
      </c>
      <c r="J27" s="22"/>
    </row>
    <row r="28" spans="1:10" x14ac:dyDescent="0.25">
      <c r="A28" s="10">
        <v>42131</v>
      </c>
      <c r="B28" s="10">
        <v>42142</v>
      </c>
      <c r="C28" t="s">
        <v>230</v>
      </c>
      <c r="D28" s="22">
        <v>-12.5</v>
      </c>
      <c r="J28" s="22"/>
    </row>
    <row r="29" spans="1:10" x14ac:dyDescent="0.25">
      <c r="A29" s="10">
        <v>42164</v>
      </c>
      <c r="B29" s="10">
        <v>42170</v>
      </c>
      <c r="C29" t="s">
        <v>231</v>
      </c>
      <c r="D29" s="22">
        <v>-12.5</v>
      </c>
      <c r="J29" s="22"/>
    </row>
    <row r="30" spans="1:10" x14ac:dyDescent="0.25">
      <c r="A30" s="10">
        <v>42187</v>
      </c>
      <c r="B30" s="10">
        <v>42205</v>
      </c>
      <c r="C30" t="s">
        <v>232</v>
      </c>
      <c r="D30" s="22">
        <v>-12.5</v>
      </c>
      <c r="J30" s="22"/>
    </row>
    <row r="31" spans="1:10" x14ac:dyDescent="0.25">
      <c r="A31" s="10">
        <v>42222</v>
      </c>
      <c r="B31" s="10">
        <v>42233</v>
      </c>
      <c r="C31" t="s">
        <v>233</v>
      </c>
      <c r="D31" s="22">
        <v>-7.3</v>
      </c>
      <c r="J31" s="22"/>
    </row>
    <row r="32" spans="1:10" x14ac:dyDescent="0.25">
      <c r="A32" s="10">
        <v>42223</v>
      </c>
      <c r="B32" s="10">
        <v>42233</v>
      </c>
      <c r="C32" t="s">
        <v>233</v>
      </c>
      <c r="D32" s="22">
        <v>-12.5</v>
      </c>
      <c r="J32" s="22"/>
    </row>
    <row r="33" spans="1:10" x14ac:dyDescent="0.25">
      <c r="A33" s="10">
        <v>42223</v>
      </c>
      <c r="B33" s="10">
        <v>42233</v>
      </c>
      <c r="C33" t="s">
        <v>234</v>
      </c>
      <c r="D33" s="22">
        <v>7.3</v>
      </c>
    </row>
    <row r="34" spans="1:10" x14ac:dyDescent="0.25">
      <c r="A34" s="10">
        <v>42251</v>
      </c>
      <c r="B34" s="10">
        <v>42268</v>
      </c>
      <c r="C34" t="s">
        <v>237</v>
      </c>
      <c r="D34" s="22">
        <v>-12.5</v>
      </c>
      <c r="J34" s="22"/>
    </row>
    <row r="35" spans="1:10" x14ac:dyDescent="0.25">
      <c r="A35" s="10">
        <v>42279</v>
      </c>
      <c r="B35" s="10">
        <v>42296</v>
      </c>
      <c r="C35" t="s">
        <v>238</v>
      </c>
      <c r="D35" s="22">
        <v>-12.5</v>
      </c>
      <c r="J35" s="22"/>
    </row>
    <row r="36" spans="1:10" x14ac:dyDescent="0.25">
      <c r="A36" s="10">
        <v>42314</v>
      </c>
      <c r="B36" s="10">
        <v>42324</v>
      </c>
      <c r="C36" t="s">
        <v>239</v>
      </c>
      <c r="D36" s="22">
        <v>-12.5</v>
      </c>
      <c r="J36" s="22"/>
    </row>
    <row r="37" spans="1:10" x14ac:dyDescent="0.25">
      <c r="A37" s="10">
        <v>42346</v>
      </c>
      <c r="B37" s="10">
        <v>42359</v>
      </c>
      <c r="C37" t="s">
        <v>240</v>
      </c>
      <c r="D37" s="22">
        <v>-12.5</v>
      </c>
      <c r="J37" s="22"/>
    </row>
    <row r="38" spans="1:10" x14ac:dyDescent="0.25">
      <c r="A38" s="10">
        <v>42377</v>
      </c>
      <c r="B38" s="10">
        <v>42387</v>
      </c>
      <c r="C38" t="s">
        <v>241</v>
      </c>
      <c r="D38" s="22">
        <v>-12.5</v>
      </c>
      <c r="J38" s="22"/>
    </row>
    <row r="39" spans="1:10" x14ac:dyDescent="0.25">
      <c r="A39" s="10">
        <v>42404</v>
      </c>
      <c r="B39" s="10">
        <v>42415</v>
      </c>
      <c r="C39" t="s">
        <v>243</v>
      </c>
      <c r="D39" s="22">
        <v>-12.5</v>
      </c>
      <c r="J39" s="22"/>
    </row>
    <row r="40" spans="1:10" x14ac:dyDescent="0.25">
      <c r="A40" s="10">
        <v>42433</v>
      </c>
      <c r="B40" s="10">
        <v>42450</v>
      </c>
      <c r="C40" t="s">
        <v>244</v>
      </c>
      <c r="D40" s="22">
        <v>-12.5</v>
      </c>
      <c r="J40" s="22"/>
    </row>
    <row r="41" spans="1:10" x14ac:dyDescent="0.25">
      <c r="A41" s="10">
        <v>42465</v>
      </c>
      <c r="B41" s="10">
        <v>42478</v>
      </c>
      <c r="C41" t="s">
        <v>245</v>
      </c>
      <c r="D41" s="22">
        <v>-12.5</v>
      </c>
      <c r="J41" s="22"/>
    </row>
    <row r="42" spans="1:10" x14ac:dyDescent="0.25">
      <c r="A42" s="10">
        <v>42496</v>
      </c>
      <c r="B42" s="10">
        <v>42506</v>
      </c>
      <c r="C42" t="s">
        <v>246</v>
      </c>
      <c r="D42" s="22">
        <v>-12.5</v>
      </c>
      <c r="J42" s="22"/>
    </row>
    <row r="43" spans="1:10" x14ac:dyDescent="0.25">
      <c r="A43" s="10">
        <v>42523</v>
      </c>
      <c r="B43" s="10">
        <v>42569</v>
      </c>
      <c r="C43" t="s">
        <v>247</v>
      </c>
      <c r="D43" s="22">
        <v>-12.5</v>
      </c>
    </row>
    <row r="44" spans="1:10" x14ac:dyDescent="0.25">
      <c r="A44" s="10">
        <v>42556</v>
      </c>
      <c r="B44" s="10">
        <v>42569</v>
      </c>
      <c r="C44" t="s">
        <v>248</v>
      </c>
      <c r="D44" s="22">
        <v>-12.5</v>
      </c>
    </row>
    <row r="45" spans="1:10" x14ac:dyDescent="0.25">
      <c r="A45" s="10">
        <v>42584</v>
      </c>
      <c r="B45" s="10">
        <v>42597</v>
      </c>
      <c r="C45" t="s">
        <v>251</v>
      </c>
      <c r="D45" s="22">
        <v>-12.5</v>
      </c>
    </row>
    <row r="46" spans="1:10" x14ac:dyDescent="0.25">
      <c r="D46" s="38">
        <f>SUM(D2:D45)</f>
        <v>-357.40000000000009</v>
      </c>
    </row>
    <row r="48" spans="1:10" x14ac:dyDescent="0.25">
      <c r="D48" s="18"/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31"/>
  <sheetViews>
    <sheetView workbookViewId="0">
      <selection activeCell="J17" sqref="J17"/>
    </sheetView>
  </sheetViews>
  <sheetFormatPr defaultRowHeight="15" x14ac:dyDescent="0.25"/>
  <cols>
    <col min="1" max="1" width="15.140625" bestFit="1" customWidth="1"/>
    <col min="2" max="2" width="10.7109375" bestFit="1" customWidth="1"/>
    <col min="4" max="4" width="14.28515625" bestFit="1" customWidth="1"/>
    <col min="5" max="5" width="11.42578125" bestFit="1" customWidth="1"/>
    <col min="7" max="7" width="10.5703125" bestFit="1" customWidth="1"/>
    <col min="8" max="8" width="11.85546875" bestFit="1" customWidth="1"/>
    <col min="9" max="9" width="12.42578125" bestFit="1" customWidth="1"/>
    <col min="10" max="10" width="11" bestFit="1" customWidth="1"/>
    <col min="11" max="11" width="10.7109375" bestFit="1" customWidth="1"/>
    <col min="12" max="12" width="14.28515625" bestFit="1" customWidth="1"/>
  </cols>
  <sheetData>
    <row r="1" spans="1:12" x14ac:dyDescent="0.25">
      <c r="A1" s="14" t="s">
        <v>537</v>
      </c>
      <c r="B1" s="14" t="s">
        <v>495</v>
      </c>
      <c r="D1" s="18" t="s">
        <v>538</v>
      </c>
      <c r="E1" s="86">
        <f>'Apuração de Resultado'!AA316 + ('(+) Dividendos'!C274 / 10) + ('(+) Receitas Extras'!C171 / 10) - SUM(B2:B27)</f>
        <v>-6.5471271955175325E-4</v>
      </c>
      <c r="G1" t="s">
        <v>539</v>
      </c>
      <c r="H1" t="s">
        <v>540</v>
      </c>
      <c r="I1" t="s">
        <v>541</v>
      </c>
      <c r="J1" t="s">
        <v>542</v>
      </c>
      <c r="K1" t="s">
        <v>543</v>
      </c>
      <c r="L1" t="s">
        <v>544</v>
      </c>
    </row>
    <row r="2" spans="1:12" x14ac:dyDescent="0.25">
      <c r="A2" s="10">
        <v>41654</v>
      </c>
      <c r="B2" s="22">
        <v>1691.6</v>
      </c>
      <c r="G2" s="60">
        <v>39934</v>
      </c>
      <c r="I2" s="22">
        <f>'Apuração de Resultado'!Z28</f>
        <v>398.67300000000017</v>
      </c>
      <c r="L2" s="23">
        <f>I2-K2</f>
        <v>398.67300000000017</v>
      </c>
    </row>
    <row r="3" spans="1:12" x14ac:dyDescent="0.25">
      <c r="A3" s="10">
        <v>42797</v>
      </c>
      <c r="B3" s="22">
        <v>2375.77</v>
      </c>
      <c r="G3" s="60">
        <v>40148</v>
      </c>
      <c r="I3" s="22">
        <f>'Apuração de Resultado'!Z56</f>
        <v>239.82935500000102</v>
      </c>
      <c r="L3" s="23">
        <f>I3-K3</f>
        <v>239.82935500000102</v>
      </c>
    </row>
    <row r="4" spans="1:12" x14ac:dyDescent="0.25">
      <c r="A4" s="10">
        <v>42913</v>
      </c>
      <c r="B4" s="22">
        <v>1157.82</v>
      </c>
      <c r="E4" s="38"/>
      <c r="G4" s="60">
        <v>40179</v>
      </c>
      <c r="I4" s="22">
        <f>'Apuração de Resultado'!Z62</f>
        <v>154.74270900000036</v>
      </c>
      <c r="L4" s="23">
        <f>I4-K4</f>
        <v>154.74270900000036</v>
      </c>
    </row>
    <row r="5" spans="1:12" x14ac:dyDescent="0.25">
      <c r="A5" s="10">
        <v>42996</v>
      </c>
      <c r="B5" s="22">
        <v>920.55</v>
      </c>
      <c r="C5" s="23"/>
    </row>
    <row r="6" spans="1:12" x14ac:dyDescent="0.25">
      <c r="A6" s="10">
        <v>43035</v>
      </c>
      <c r="B6" s="22">
        <v>241.14</v>
      </c>
      <c r="G6" s="60">
        <v>42736</v>
      </c>
      <c r="H6" s="10">
        <v>42793</v>
      </c>
      <c r="I6" s="22">
        <f>'Apuração de Resultado'!Z77 + 'Apuração de Resultado'!Z101 + 'Apuração de Resultado'!Z148 - 'Apuração de Resultado'!V28 - 'Apuração de Resultado'!V56 - 'Apuração de Resultado'!V62</f>
        <v>496.49270549999949</v>
      </c>
      <c r="J6" s="10">
        <v>42793</v>
      </c>
      <c r="K6" s="23">
        <v>458.93</v>
      </c>
      <c r="L6" s="23">
        <f>I6-K6</f>
        <v>37.562705499999481</v>
      </c>
    </row>
    <row r="7" spans="1:12" x14ac:dyDescent="0.25">
      <c r="A7" s="10">
        <v>43066</v>
      </c>
      <c r="B7" s="22">
        <v>326.20999999999998</v>
      </c>
      <c r="G7" s="60">
        <v>42767</v>
      </c>
      <c r="H7" s="10">
        <v>42825</v>
      </c>
      <c r="I7" s="22">
        <f>'Apuração de Resultado'!Z163</f>
        <v>2431.5289925000016</v>
      </c>
      <c r="J7" s="26">
        <v>42828</v>
      </c>
      <c r="K7" s="23">
        <v>2416.6</v>
      </c>
      <c r="L7" s="23">
        <f>I7-K7+7.97+24.16</f>
        <v>47.058992500001636</v>
      </c>
    </row>
    <row r="8" spans="1:12" x14ac:dyDescent="0.25">
      <c r="A8" s="10">
        <v>43130</v>
      </c>
      <c r="B8" s="22">
        <v>913.66</v>
      </c>
      <c r="G8" s="60">
        <v>42795</v>
      </c>
      <c r="H8" s="10">
        <v>42853</v>
      </c>
      <c r="I8" s="22">
        <f>'Apuração de Resultado'!Z169</f>
        <v>239.1155292750008</v>
      </c>
      <c r="J8" s="10">
        <v>42853</v>
      </c>
      <c r="K8" s="22">
        <v>242.12</v>
      </c>
      <c r="L8" s="22">
        <f>I8-K8</f>
        <v>-3.0044707249992086</v>
      </c>
    </row>
    <row r="9" spans="1:12" x14ac:dyDescent="0.25">
      <c r="A9" s="10">
        <v>43159</v>
      </c>
      <c r="B9" s="22">
        <v>856.61</v>
      </c>
      <c r="G9" s="60">
        <v>42826</v>
      </c>
      <c r="H9" s="10">
        <v>42886</v>
      </c>
      <c r="I9" s="22">
        <f>'Apuração de Resultado'!Z174</f>
        <v>389.87281499999989</v>
      </c>
      <c r="J9" s="10">
        <v>42888</v>
      </c>
      <c r="K9" s="22">
        <f>392.87 + 2.59 + 3.92</f>
        <v>399.38</v>
      </c>
      <c r="L9" s="23">
        <f>I9 - K9 + 2.59 + 3.92</f>
        <v>-2.9971850000001066</v>
      </c>
    </row>
    <row r="10" spans="1:12" x14ac:dyDescent="0.25">
      <c r="A10" s="10">
        <v>43462</v>
      </c>
      <c r="B10" s="22">
        <v>498.87</v>
      </c>
      <c r="G10" s="60">
        <v>42856</v>
      </c>
      <c r="H10" s="10">
        <v>42916</v>
      </c>
      <c r="I10" s="22">
        <f>'Apuração de Resultado'!Z187</f>
        <v>929.42332750000014</v>
      </c>
      <c r="J10" s="10">
        <v>42916</v>
      </c>
      <c r="K10" s="22">
        <v>932.42</v>
      </c>
      <c r="L10" s="23">
        <f t="shared" ref="L10:L16" si="0">I10-K10</f>
        <v>-2.9966724999998178</v>
      </c>
    </row>
    <row r="11" spans="1:12" x14ac:dyDescent="0.25">
      <c r="A11" s="10">
        <v>43749</v>
      </c>
      <c r="B11" s="22">
        <v>1626.06</v>
      </c>
      <c r="G11" s="60">
        <v>42887</v>
      </c>
      <c r="H11" s="10">
        <v>42947</v>
      </c>
      <c r="I11" s="22">
        <f>'Apuração de Resultado'!Z193</f>
        <v>217.80217660714271</v>
      </c>
      <c r="J11" s="10">
        <v>43449</v>
      </c>
      <c r="K11" s="22">
        <v>281.68</v>
      </c>
      <c r="L11" s="23">
        <f t="shared" si="0"/>
        <v>-63.877823392857294</v>
      </c>
    </row>
    <row r="12" spans="1:12" x14ac:dyDescent="0.25">
      <c r="A12" s="10">
        <v>43770</v>
      </c>
      <c r="B12" s="22">
        <v>157.19</v>
      </c>
      <c r="G12" s="60">
        <v>42917</v>
      </c>
      <c r="H12" s="10">
        <v>42978</v>
      </c>
      <c r="I12" s="22">
        <f>'Apuração de Resultado'!Z200</f>
        <v>449.87921249999994</v>
      </c>
      <c r="J12" s="10">
        <v>42978</v>
      </c>
      <c r="K12" s="22">
        <v>449.88</v>
      </c>
      <c r="L12" s="23">
        <f t="shared" si="0"/>
        <v>-7.8750000005811671E-4</v>
      </c>
    </row>
    <row r="13" spans="1:12" x14ac:dyDescent="0.25">
      <c r="A13" s="10">
        <v>43929</v>
      </c>
      <c r="B13" s="22">
        <v>1211.01</v>
      </c>
      <c r="G13" s="60">
        <v>42948</v>
      </c>
      <c r="H13" s="10">
        <v>43007</v>
      </c>
      <c r="I13" s="22">
        <f>'Apuração de Resultado'!Z219</f>
        <v>1060.4447905178579</v>
      </c>
      <c r="J13" s="10">
        <v>43007</v>
      </c>
      <c r="K13" s="22">
        <v>1060.44</v>
      </c>
      <c r="L13" s="23">
        <f t="shared" si="0"/>
        <v>4.7905178578275809E-3</v>
      </c>
    </row>
    <row r="14" spans="1:12" x14ac:dyDescent="0.25">
      <c r="A14" s="10">
        <v>43956</v>
      </c>
      <c r="B14" s="22">
        <v>6190.65</v>
      </c>
      <c r="G14" s="60">
        <v>42979</v>
      </c>
      <c r="H14" s="10">
        <v>43039</v>
      </c>
      <c r="I14" s="22">
        <f>'Apuração de Resultado'!Z227</f>
        <v>388.92677499999991</v>
      </c>
      <c r="J14" s="10">
        <v>43039</v>
      </c>
      <c r="K14" s="22">
        <v>390.63</v>
      </c>
      <c r="L14" s="23">
        <f t="shared" si="0"/>
        <v>-1.7032250000000886</v>
      </c>
    </row>
    <row r="15" spans="1:12" x14ac:dyDescent="0.25">
      <c r="A15" s="10">
        <v>44041</v>
      </c>
      <c r="B15" s="22">
        <v>495.69</v>
      </c>
      <c r="G15" s="60">
        <v>43009</v>
      </c>
      <c r="H15" s="10">
        <v>43069</v>
      </c>
      <c r="I15" s="22">
        <f>'Apuração de Resultado'!Z233</f>
        <v>141.59413124999986</v>
      </c>
      <c r="J15" s="10">
        <v>43069</v>
      </c>
      <c r="K15" s="22">
        <v>141.59</v>
      </c>
      <c r="L15" s="23">
        <f t="shared" si="0"/>
        <v>4.1312499998582553E-3</v>
      </c>
    </row>
    <row r="16" spans="1:12" x14ac:dyDescent="0.25">
      <c r="A16" s="10">
        <v>44238</v>
      </c>
      <c r="B16" s="22">
        <v>3188.53</v>
      </c>
      <c r="G16" s="60">
        <v>43132</v>
      </c>
      <c r="H16" s="10">
        <v>43190</v>
      </c>
      <c r="I16" s="22">
        <f>'Apuração de Resultado'!Z251</f>
        <v>1243.9163924999998</v>
      </c>
      <c r="J16" s="10">
        <v>43190</v>
      </c>
      <c r="K16" s="22">
        <f xml:space="preserve"> I16 + 77.99 + 12.43</f>
        <v>1334.3363924999999</v>
      </c>
      <c r="L16" s="23">
        <f t="shared" si="0"/>
        <v>-90.420000000000073</v>
      </c>
    </row>
    <row r="17" spans="1:9" x14ac:dyDescent="0.25">
      <c r="A17" s="10">
        <v>44499</v>
      </c>
      <c r="B17" s="22">
        <v>5316.55</v>
      </c>
      <c r="G17" s="60">
        <v>43983</v>
      </c>
      <c r="H17" s="10">
        <v>44043</v>
      </c>
      <c r="I17" s="22">
        <f>'Apuração de Resultado'!Z284</f>
        <v>511.24444540000013</v>
      </c>
    </row>
    <row r="18" spans="1:9" x14ac:dyDescent="0.25">
      <c r="B18" s="22"/>
    </row>
    <row r="19" spans="1:9" x14ac:dyDescent="0.25">
      <c r="B19" s="22"/>
    </row>
    <row r="20" spans="1:9" x14ac:dyDescent="0.25">
      <c r="B20" s="22"/>
    </row>
    <row r="21" spans="1:9" x14ac:dyDescent="0.25">
      <c r="B21" s="22"/>
    </row>
    <row r="22" spans="1:9" x14ac:dyDescent="0.25">
      <c r="B22" s="22"/>
    </row>
    <row r="23" spans="1:9" x14ac:dyDescent="0.25">
      <c r="B23" s="22"/>
    </row>
    <row r="24" spans="1:9" x14ac:dyDescent="0.25">
      <c r="B24" s="22"/>
    </row>
    <row r="25" spans="1:9" x14ac:dyDescent="0.25">
      <c r="B25" s="22"/>
    </row>
    <row r="26" spans="1:9" x14ac:dyDescent="0.25">
      <c r="B26" s="22"/>
    </row>
    <row r="27" spans="1:9" x14ac:dyDescent="0.25">
      <c r="B27" s="22"/>
    </row>
    <row r="28" spans="1:9" x14ac:dyDescent="0.25">
      <c r="B28" s="22"/>
    </row>
    <row r="29" spans="1:9" x14ac:dyDescent="0.25">
      <c r="B29" s="22"/>
    </row>
    <row r="30" spans="1:9" x14ac:dyDescent="0.25">
      <c r="B30" s="22"/>
    </row>
    <row r="31" spans="1:9" x14ac:dyDescent="0.25">
      <c r="B31" s="22"/>
    </row>
  </sheetData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99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0.7109375" bestFit="1" customWidth="1"/>
    <col min="2" max="2" width="11.42578125" bestFit="1" customWidth="1"/>
    <col min="3" max="3" width="56.5703125" bestFit="1" customWidth="1"/>
    <col min="4" max="4" width="12.42578125" bestFit="1" customWidth="1"/>
    <col min="5" max="5" width="11.7109375" bestFit="1" customWidth="1"/>
    <col min="6" max="7" width="10.7109375" bestFit="1" customWidth="1"/>
    <col min="8" max="8" width="28.28515625" bestFit="1" customWidth="1"/>
    <col min="9" max="9" width="11.42578125" bestFit="1" customWidth="1"/>
  </cols>
  <sheetData>
    <row r="1" spans="1:5" x14ac:dyDescent="0.25">
      <c r="A1" s="14" t="s">
        <v>92</v>
      </c>
      <c r="B1" s="14" t="s">
        <v>93</v>
      </c>
      <c r="C1" s="14" t="s">
        <v>94</v>
      </c>
      <c r="D1" s="14" t="s">
        <v>95</v>
      </c>
      <c r="E1" s="14" t="s">
        <v>96</v>
      </c>
    </row>
    <row r="2" spans="1:5" x14ac:dyDescent="0.25">
      <c r="A2" s="10">
        <v>39756</v>
      </c>
      <c r="B2" s="10">
        <v>39756</v>
      </c>
      <c r="C2" t="s">
        <v>97</v>
      </c>
      <c r="D2" s="23"/>
      <c r="E2" s="22">
        <v>10000</v>
      </c>
    </row>
    <row r="3" spans="1:5" x14ac:dyDescent="0.25">
      <c r="A3" s="10">
        <v>39757</v>
      </c>
      <c r="B3" s="10">
        <v>39757</v>
      </c>
      <c r="C3" t="s">
        <v>98</v>
      </c>
      <c r="D3" s="23"/>
      <c r="E3" s="22">
        <v>2000</v>
      </c>
    </row>
    <row r="4" spans="1:5" x14ac:dyDescent="0.25">
      <c r="A4" s="10">
        <v>39757</v>
      </c>
      <c r="B4" s="10">
        <v>39762</v>
      </c>
      <c r="C4" t="s">
        <v>99</v>
      </c>
      <c r="D4" s="23">
        <v>-9373.2199999999993</v>
      </c>
      <c r="E4" s="22"/>
    </row>
    <row r="5" spans="1:5" x14ac:dyDescent="0.25">
      <c r="A5" s="10">
        <v>39758</v>
      </c>
      <c r="B5" s="10">
        <v>39763</v>
      </c>
      <c r="C5" t="s">
        <v>100</v>
      </c>
      <c r="D5" s="23">
        <v>-2605.86</v>
      </c>
      <c r="E5" s="22"/>
    </row>
    <row r="6" spans="1:5" x14ac:dyDescent="0.25">
      <c r="A6" s="10">
        <v>39777</v>
      </c>
      <c r="B6" s="10">
        <v>39777</v>
      </c>
      <c r="C6" t="s">
        <v>101</v>
      </c>
      <c r="D6" s="23"/>
      <c r="E6" s="22">
        <v>13.4</v>
      </c>
    </row>
    <row r="7" spans="1:5" x14ac:dyDescent="0.25">
      <c r="A7" s="10">
        <v>39778</v>
      </c>
      <c r="B7" s="10">
        <v>39778</v>
      </c>
      <c r="C7" t="s">
        <v>102</v>
      </c>
      <c r="D7" s="23"/>
      <c r="E7" s="22">
        <v>18</v>
      </c>
    </row>
    <row r="8" spans="1:5" x14ac:dyDescent="0.25">
      <c r="A8" s="10">
        <v>39792</v>
      </c>
      <c r="B8" s="10">
        <v>39792</v>
      </c>
      <c r="C8" t="s">
        <v>103</v>
      </c>
      <c r="D8" s="23"/>
      <c r="E8" s="22">
        <v>79.95</v>
      </c>
    </row>
    <row r="9" spans="1:5" x14ac:dyDescent="0.25">
      <c r="A9" s="10">
        <v>39815</v>
      </c>
      <c r="B9" s="10">
        <v>39815</v>
      </c>
      <c r="C9" t="s">
        <v>104</v>
      </c>
      <c r="D9" s="23"/>
      <c r="E9" s="22">
        <v>1.4</v>
      </c>
    </row>
    <row r="10" spans="1:5" x14ac:dyDescent="0.25">
      <c r="A10" s="10">
        <v>39849</v>
      </c>
      <c r="B10" s="10">
        <v>39854</v>
      </c>
      <c r="C10" t="s">
        <v>105</v>
      </c>
      <c r="D10" s="23"/>
      <c r="E10" s="22">
        <v>3132.91</v>
      </c>
    </row>
    <row r="11" spans="1:5" x14ac:dyDescent="0.25">
      <c r="A11" s="10">
        <v>39853</v>
      </c>
      <c r="B11" s="10">
        <v>39856</v>
      </c>
      <c r="C11" t="s">
        <v>106</v>
      </c>
      <c r="D11" s="23"/>
      <c r="E11" s="22">
        <v>1753.4</v>
      </c>
    </row>
    <row r="12" spans="1:5" x14ac:dyDescent="0.25">
      <c r="A12" s="10">
        <v>39854</v>
      </c>
      <c r="B12" s="10">
        <v>39857</v>
      </c>
      <c r="C12" t="s">
        <v>107</v>
      </c>
      <c r="D12" s="23">
        <v>-4826.6499999999996</v>
      </c>
      <c r="E12" s="22"/>
    </row>
    <row r="13" spans="1:5" x14ac:dyDescent="0.25">
      <c r="A13" s="10">
        <v>39869</v>
      </c>
      <c r="B13" s="10">
        <v>39869</v>
      </c>
      <c r="C13" t="s">
        <v>97</v>
      </c>
      <c r="D13" s="23"/>
      <c r="E13" s="22">
        <v>2800</v>
      </c>
    </row>
    <row r="14" spans="1:5" x14ac:dyDescent="0.25">
      <c r="A14" s="10">
        <v>39869</v>
      </c>
      <c r="B14" s="10">
        <v>39874</v>
      </c>
      <c r="C14" t="s">
        <v>108</v>
      </c>
      <c r="D14" s="23">
        <v>-2545.44</v>
      </c>
      <c r="E14" s="22"/>
    </row>
    <row r="15" spans="1:5" x14ac:dyDescent="0.25">
      <c r="A15" s="10">
        <v>39875</v>
      </c>
      <c r="B15" s="10">
        <v>39875</v>
      </c>
      <c r="C15" t="s">
        <v>109</v>
      </c>
      <c r="D15" s="23"/>
      <c r="E15" s="22">
        <v>0.25</v>
      </c>
    </row>
    <row r="16" spans="1:5" x14ac:dyDescent="0.25">
      <c r="A16" s="10">
        <v>39875</v>
      </c>
      <c r="B16" s="10">
        <v>39875</v>
      </c>
      <c r="C16" t="s">
        <v>110</v>
      </c>
      <c r="D16" s="23"/>
      <c r="E16" s="22">
        <v>0.47</v>
      </c>
    </row>
    <row r="17" spans="1:10" x14ac:dyDescent="0.25">
      <c r="A17" s="10">
        <v>39875</v>
      </c>
      <c r="B17" s="10">
        <v>39875</v>
      </c>
      <c r="C17" t="s">
        <v>101</v>
      </c>
      <c r="D17" s="23"/>
      <c r="E17" s="22">
        <v>29.91</v>
      </c>
    </row>
    <row r="18" spans="1:10" x14ac:dyDescent="0.25">
      <c r="A18" s="10">
        <v>39875</v>
      </c>
      <c r="B18" s="10">
        <v>39875</v>
      </c>
      <c r="C18" t="s">
        <v>111</v>
      </c>
      <c r="D18" s="23"/>
      <c r="E18" s="22">
        <v>13.6</v>
      </c>
    </row>
    <row r="19" spans="1:10" x14ac:dyDescent="0.25">
      <c r="A19" s="10">
        <v>39884</v>
      </c>
      <c r="B19" s="10">
        <v>39884</v>
      </c>
      <c r="C19" t="s">
        <v>112</v>
      </c>
      <c r="D19" s="23"/>
      <c r="E19" s="22">
        <v>8</v>
      </c>
    </row>
    <row r="20" spans="1:10" x14ac:dyDescent="0.25">
      <c r="A20" s="10">
        <v>39885</v>
      </c>
      <c r="B20" s="10">
        <v>39890</v>
      </c>
      <c r="C20" t="s">
        <v>113</v>
      </c>
      <c r="D20" s="23"/>
      <c r="E20" s="22">
        <v>1303.56</v>
      </c>
    </row>
    <row r="21" spans="1:10" x14ac:dyDescent="0.25">
      <c r="A21" s="10">
        <v>39889</v>
      </c>
      <c r="B21" s="10">
        <v>39889</v>
      </c>
      <c r="C21" t="s">
        <v>114</v>
      </c>
      <c r="D21" s="23"/>
      <c r="E21" s="22">
        <v>3.63</v>
      </c>
    </row>
    <row r="22" spans="1:10" x14ac:dyDescent="0.25">
      <c r="A22" s="10">
        <v>39889</v>
      </c>
      <c r="B22" s="10">
        <v>39889</v>
      </c>
      <c r="C22" t="s">
        <v>115</v>
      </c>
      <c r="D22" s="23"/>
      <c r="E22" s="22">
        <v>11.16</v>
      </c>
    </row>
    <row r="23" spans="1:10" x14ac:dyDescent="0.25">
      <c r="A23" s="10">
        <v>39892</v>
      </c>
      <c r="B23" s="10">
        <v>39897</v>
      </c>
      <c r="C23" t="s">
        <v>116</v>
      </c>
      <c r="D23" s="23"/>
      <c r="E23" s="22">
        <v>5903.95</v>
      </c>
    </row>
    <row r="24" spans="1:10" x14ac:dyDescent="0.25">
      <c r="A24" s="10">
        <v>39904</v>
      </c>
      <c r="B24" s="10">
        <v>39904</v>
      </c>
      <c r="C24" t="s">
        <v>104</v>
      </c>
      <c r="D24" s="23"/>
      <c r="E24" s="22">
        <v>1.4</v>
      </c>
    </row>
    <row r="25" spans="1:10" x14ac:dyDescent="0.25">
      <c r="A25" s="10">
        <v>39904</v>
      </c>
      <c r="B25" s="10">
        <v>39909</v>
      </c>
      <c r="C25" t="s">
        <v>117</v>
      </c>
      <c r="D25" s="23">
        <v>-2583.88</v>
      </c>
      <c r="E25" s="22"/>
    </row>
    <row r="26" spans="1:10" x14ac:dyDescent="0.25">
      <c r="A26" s="10">
        <v>39905</v>
      </c>
      <c r="B26" s="10">
        <v>39910</v>
      </c>
      <c r="C26" t="s">
        <v>118</v>
      </c>
      <c r="D26" s="23"/>
      <c r="E26" s="22">
        <v>1843.37</v>
      </c>
    </row>
    <row r="27" spans="1:10" x14ac:dyDescent="0.25">
      <c r="A27" s="10">
        <v>39912</v>
      </c>
      <c r="B27" s="10">
        <v>39918</v>
      </c>
      <c r="C27" t="s">
        <v>119</v>
      </c>
      <c r="D27" s="23"/>
      <c r="E27" s="22">
        <v>7163.51</v>
      </c>
    </row>
    <row r="28" spans="1:10" x14ac:dyDescent="0.25">
      <c r="A28" s="10">
        <v>39927</v>
      </c>
      <c r="B28" s="10">
        <v>39932</v>
      </c>
      <c r="C28" t="s">
        <v>120</v>
      </c>
      <c r="D28" s="23">
        <v>-3035.05</v>
      </c>
      <c r="E28" s="22"/>
      <c r="F28" s="10">
        <v>39932</v>
      </c>
      <c r="G28" s="10">
        <v>39932</v>
      </c>
      <c r="H28" t="s">
        <v>121</v>
      </c>
      <c r="I28" s="23">
        <v>-2968.24</v>
      </c>
      <c r="J28" t="s">
        <v>122</v>
      </c>
    </row>
    <row r="29" spans="1:10" x14ac:dyDescent="0.25">
      <c r="A29" s="10">
        <v>39930</v>
      </c>
      <c r="B29" s="10">
        <v>39933</v>
      </c>
      <c r="C29" t="s">
        <v>123</v>
      </c>
      <c r="D29" s="23">
        <v>-5958.06</v>
      </c>
      <c r="E29" s="22"/>
    </row>
    <row r="30" spans="1:10" x14ac:dyDescent="0.25">
      <c r="A30" s="10">
        <v>39931</v>
      </c>
      <c r="B30" s="10">
        <v>39937</v>
      </c>
      <c r="C30" t="s">
        <v>124</v>
      </c>
      <c r="D30" s="23">
        <v>-4367.5</v>
      </c>
      <c r="E30" s="22"/>
    </row>
    <row r="31" spans="1:10" x14ac:dyDescent="0.25">
      <c r="A31" s="10">
        <v>39932</v>
      </c>
      <c r="B31" s="10">
        <v>39932</v>
      </c>
      <c r="C31" t="s">
        <v>125</v>
      </c>
      <c r="D31" s="23"/>
      <c r="E31" s="22">
        <v>64.599999999999994</v>
      </c>
    </row>
    <row r="32" spans="1:10" x14ac:dyDescent="0.25">
      <c r="A32" s="10">
        <v>39932</v>
      </c>
      <c r="B32" s="10">
        <v>39932</v>
      </c>
      <c r="C32" t="s">
        <v>126</v>
      </c>
      <c r="D32" s="23"/>
      <c r="E32" s="22">
        <v>2.21</v>
      </c>
    </row>
    <row r="33" spans="1:5" x14ac:dyDescent="0.25">
      <c r="A33" s="10">
        <v>39933</v>
      </c>
      <c r="B33" s="10">
        <v>39939</v>
      </c>
      <c r="C33" t="s">
        <v>127</v>
      </c>
      <c r="D33" s="23"/>
      <c r="E33" s="22">
        <v>906.7</v>
      </c>
    </row>
    <row r="34" spans="1:5" x14ac:dyDescent="0.25">
      <c r="A34" s="10">
        <v>39937</v>
      </c>
      <c r="B34" s="10">
        <v>39940</v>
      </c>
      <c r="C34" t="s">
        <v>128</v>
      </c>
      <c r="D34" s="23"/>
      <c r="E34" s="22">
        <v>11723.97</v>
      </c>
    </row>
    <row r="35" spans="1:5" x14ac:dyDescent="0.25">
      <c r="A35" s="10">
        <v>39938</v>
      </c>
      <c r="B35" s="10">
        <v>39941</v>
      </c>
      <c r="C35" t="s">
        <v>129</v>
      </c>
      <c r="D35" s="23"/>
      <c r="E35" s="22">
        <v>286.92</v>
      </c>
    </row>
    <row r="36" spans="1:5" x14ac:dyDescent="0.25">
      <c r="A36" s="10">
        <v>39944</v>
      </c>
      <c r="B36" s="10">
        <v>39947</v>
      </c>
      <c r="C36" t="s">
        <v>130</v>
      </c>
      <c r="D36" s="23">
        <v>-6418.19</v>
      </c>
      <c r="E36" s="22"/>
    </row>
    <row r="37" spans="1:5" x14ac:dyDescent="0.25">
      <c r="A37" s="10">
        <v>39946</v>
      </c>
      <c r="B37" s="10">
        <v>39951</v>
      </c>
      <c r="C37" t="s">
        <v>131</v>
      </c>
      <c r="D37" s="23">
        <v>-7294.47</v>
      </c>
      <c r="E37" s="22"/>
    </row>
    <row r="38" spans="1:5" x14ac:dyDescent="0.25">
      <c r="A38" s="10">
        <v>39959</v>
      </c>
      <c r="B38" s="10">
        <v>39962</v>
      </c>
      <c r="C38" t="s">
        <v>132</v>
      </c>
      <c r="D38" s="23"/>
      <c r="E38" s="22">
        <v>4662.3999999999996</v>
      </c>
    </row>
    <row r="39" spans="1:5" x14ac:dyDescent="0.25">
      <c r="A39" s="10">
        <v>39960</v>
      </c>
      <c r="B39" s="10">
        <v>39960</v>
      </c>
      <c r="C39" t="s">
        <v>133</v>
      </c>
      <c r="D39" s="23"/>
      <c r="E39" s="22">
        <v>14.83</v>
      </c>
    </row>
    <row r="40" spans="1:5" x14ac:dyDescent="0.25">
      <c r="A40" s="10">
        <v>39960</v>
      </c>
      <c r="B40" s="10">
        <v>39965</v>
      </c>
      <c r="C40" t="s">
        <v>134</v>
      </c>
      <c r="D40" s="23">
        <v>-0.57999999999999996</v>
      </c>
      <c r="E40" s="22"/>
    </row>
    <row r="41" spans="1:5" x14ac:dyDescent="0.25">
      <c r="A41" s="10">
        <v>39960</v>
      </c>
      <c r="B41" s="10">
        <v>39965</v>
      </c>
      <c r="C41" t="s">
        <v>135</v>
      </c>
      <c r="D41" s="23">
        <v>-0.01</v>
      </c>
      <c r="E41" s="22"/>
    </row>
    <row r="42" spans="1:5" x14ac:dyDescent="0.25">
      <c r="A42" s="10">
        <v>39960</v>
      </c>
      <c r="B42" s="10">
        <v>39965</v>
      </c>
      <c r="C42" t="s">
        <v>136</v>
      </c>
      <c r="D42" s="23">
        <v>-0.34</v>
      </c>
      <c r="E42" s="22"/>
    </row>
    <row r="43" spans="1:5" x14ac:dyDescent="0.25">
      <c r="A43" s="10">
        <v>39960</v>
      </c>
      <c r="B43" s="10">
        <v>39965</v>
      </c>
      <c r="C43" t="s">
        <v>137</v>
      </c>
      <c r="D43" s="23">
        <v>-0.23</v>
      </c>
      <c r="E43" s="22"/>
    </row>
    <row r="44" spans="1:5" x14ac:dyDescent="0.25">
      <c r="A44" s="10">
        <v>39960</v>
      </c>
      <c r="B44" s="10">
        <v>39965</v>
      </c>
      <c r="C44" t="s">
        <v>138</v>
      </c>
      <c r="D44" s="23"/>
      <c r="E44" s="22">
        <v>6789.67</v>
      </c>
    </row>
    <row r="45" spans="1:5" x14ac:dyDescent="0.25">
      <c r="A45" s="10">
        <v>39961</v>
      </c>
      <c r="B45" s="10">
        <v>39966</v>
      </c>
      <c r="C45" t="s">
        <v>139</v>
      </c>
      <c r="D45" s="23">
        <v>-3327.12</v>
      </c>
      <c r="E45" s="22"/>
    </row>
    <row r="46" spans="1:5" x14ac:dyDescent="0.25">
      <c r="A46" s="10">
        <v>39962</v>
      </c>
      <c r="B46" s="10">
        <v>39967</v>
      </c>
      <c r="C46" t="s">
        <v>140</v>
      </c>
      <c r="D46" s="23">
        <v>-8034.74</v>
      </c>
      <c r="E46" s="22"/>
    </row>
    <row r="47" spans="1:5" x14ac:dyDescent="0.25">
      <c r="A47" s="10">
        <v>39974</v>
      </c>
      <c r="B47" s="10">
        <v>39974</v>
      </c>
      <c r="C47" t="s">
        <v>141</v>
      </c>
      <c r="D47" s="23"/>
      <c r="E47" s="22">
        <v>11.73</v>
      </c>
    </row>
    <row r="48" spans="1:5" x14ac:dyDescent="0.25">
      <c r="A48" s="10">
        <v>39974</v>
      </c>
      <c r="B48" s="10">
        <v>39980</v>
      </c>
      <c r="C48" t="s">
        <v>142</v>
      </c>
      <c r="D48" s="23"/>
      <c r="E48" s="22">
        <v>6131.9</v>
      </c>
    </row>
    <row r="49" spans="1:5" x14ac:dyDescent="0.25">
      <c r="A49" s="10">
        <v>39979</v>
      </c>
      <c r="B49" s="10">
        <v>39982</v>
      </c>
      <c r="C49" t="s">
        <v>143</v>
      </c>
      <c r="D49" s="23">
        <v>-5517.88</v>
      </c>
      <c r="E49" s="22"/>
    </row>
    <row r="50" spans="1:5" x14ac:dyDescent="0.25">
      <c r="A50" s="10">
        <v>39983</v>
      </c>
      <c r="B50" s="10">
        <v>39988</v>
      </c>
      <c r="C50" t="s">
        <v>144</v>
      </c>
      <c r="D50" s="23">
        <v>-514.25</v>
      </c>
      <c r="E50" s="22"/>
    </row>
    <row r="51" spans="1:5" x14ac:dyDescent="0.25">
      <c r="A51" s="10">
        <v>39988</v>
      </c>
      <c r="B51" s="10">
        <v>39988</v>
      </c>
      <c r="C51" t="s">
        <v>145</v>
      </c>
      <c r="D51" s="23"/>
      <c r="E51" s="22">
        <v>3.07</v>
      </c>
    </row>
    <row r="52" spans="1:5" x14ac:dyDescent="0.25">
      <c r="A52" s="10">
        <v>39988</v>
      </c>
      <c r="B52" s="10">
        <v>39988</v>
      </c>
      <c r="C52" t="s">
        <v>125</v>
      </c>
      <c r="D52" s="23"/>
      <c r="E52" s="22">
        <v>64.599999999999994</v>
      </c>
    </row>
    <row r="53" spans="1:5" x14ac:dyDescent="0.25">
      <c r="A53" s="10">
        <v>40010</v>
      </c>
      <c r="B53" s="10">
        <v>40015</v>
      </c>
      <c r="C53" t="s">
        <v>146</v>
      </c>
      <c r="D53" s="23"/>
      <c r="E53" s="22">
        <v>2814.05</v>
      </c>
    </row>
    <row r="54" spans="1:5" x14ac:dyDescent="0.25">
      <c r="A54" s="10">
        <v>40022</v>
      </c>
      <c r="B54" s="10">
        <v>40025</v>
      </c>
      <c r="C54" t="s">
        <v>147</v>
      </c>
      <c r="D54" s="23"/>
      <c r="E54" s="22">
        <v>3482.81</v>
      </c>
    </row>
    <row r="55" spans="1:5" x14ac:dyDescent="0.25">
      <c r="A55" s="10">
        <v>40030</v>
      </c>
      <c r="B55" s="10">
        <v>40035</v>
      </c>
      <c r="C55" t="s">
        <v>148</v>
      </c>
      <c r="D55" s="23"/>
      <c r="E55" s="22">
        <v>3752.72</v>
      </c>
    </row>
    <row r="56" spans="1:5" x14ac:dyDescent="0.25">
      <c r="A56" s="10">
        <v>40037</v>
      </c>
      <c r="B56" s="10">
        <v>40042</v>
      </c>
      <c r="C56" t="s">
        <v>149</v>
      </c>
      <c r="D56" s="23">
        <v>-5297.8</v>
      </c>
      <c r="E56" s="22"/>
    </row>
    <row r="57" spans="1:5" x14ac:dyDescent="0.25">
      <c r="A57" s="10">
        <v>40039</v>
      </c>
      <c r="B57" s="10">
        <v>40039</v>
      </c>
      <c r="C57" t="s">
        <v>150</v>
      </c>
      <c r="D57" s="23"/>
      <c r="E57" s="22">
        <v>0.42</v>
      </c>
    </row>
    <row r="58" spans="1:5" x14ac:dyDescent="0.25">
      <c r="A58" s="10">
        <v>40039</v>
      </c>
      <c r="B58" s="10">
        <v>40039</v>
      </c>
      <c r="C58" t="s">
        <v>151</v>
      </c>
      <c r="D58" s="23"/>
      <c r="E58" s="22">
        <v>6.8</v>
      </c>
    </row>
    <row r="59" spans="1:5" x14ac:dyDescent="0.25">
      <c r="A59" s="10">
        <v>40073</v>
      </c>
      <c r="B59" s="10">
        <v>40078</v>
      </c>
      <c r="C59" t="s">
        <v>152</v>
      </c>
      <c r="D59" s="23"/>
      <c r="E59" s="22">
        <v>19361.34</v>
      </c>
    </row>
    <row r="60" spans="1:5" x14ac:dyDescent="0.25">
      <c r="A60" s="10">
        <v>40080</v>
      </c>
      <c r="B60" s="10">
        <v>40085</v>
      </c>
      <c r="C60" t="s">
        <v>153</v>
      </c>
      <c r="D60" s="23">
        <v>-24024.27</v>
      </c>
      <c r="E60" s="22"/>
    </row>
    <row r="61" spans="1:5" x14ac:dyDescent="0.25">
      <c r="A61" s="10">
        <v>40147</v>
      </c>
      <c r="B61" s="10">
        <v>40147</v>
      </c>
      <c r="C61" t="s">
        <v>154</v>
      </c>
      <c r="D61" s="23"/>
      <c r="E61" s="22">
        <v>51</v>
      </c>
    </row>
    <row r="62" spans="1:5" x14ac:dyDescent="0.25">
      <c r="A62" s="10">
        <v>40149</v>
      </c>
      <c r="B62" s="10">
        <v>40154</v>
      </c>
      <c r="C62" t="s">
        <v>155</v>
      </c>
      <c r="D62" s="23"/>
      <c r="E62" s="22">
        <v>24632.78</v>
      </c>
    </row>
    <row r="63" spans="1:5" x14ac:dyDescent="0.25">
      <c r="A63" s="10">
        <v>40154</v>
      </c>
      <c r="B63" s="10">
        <v>40157</v>
      </c>
      <c r="C63" t="s">
        <v>156</v>
      </c>
      <c r="D63" s="23">
        <v>-12520.3</v>
      </c>
      <c r="E63" s="22"/>
    </row>
    <row r="64" spans="1:5" x14ac:dyDescent="0.25">
      <c r="A64" s="10">
        <v>40156</v>
      </c>
      <c r="B64" s="10">
        <v>40161</v>
      </c>
      <c r="C64" t="s">
        <v>157</v>
      </c>
      <c r="D64" s="23">
        <v>-11920.09</v>
      </c>
      <c r="E64" s="22"/>
    </row>
    <row r="65" spans="1:5" x14ac:dyDescent="0.25">
      <c r="A65" s="10">
        <v>40157</v>
      </c>
      <c r="B65" s="10">
        <v>40162</v>
      </c>
      <c r="C65" t="s">
        <v>158</v>
      </c>
      <c r="D65" s="23"/>
      <c r="E65" s="22">
        <v>170.3</v>
      </c>
    </row>
    <row r="66" spans="1:5" x14ac:dyDescent="0.25">
      <c r="A66" s="10">
        <v>40158</v>
      </c>
      <c r="B66" s="10">
        <v>40163</v>
      </c>
      <c r="C66" t="s">
        <v>159</v>
      </c>
      <c r="D66" s="23"/>
      <c r="E66" s="22">
        <v>25128.09</v>
      </c>
    </row>
    <row r="67" spans="1:5" x14ac:dyDescent="0.25">
      <c r="A67" s="10">
        <v>40161</v>
      </c>
      <c r="B67" s="10">
        <v>40164</v>
      </c>
      <c r="C67" t="s">
        <v>160</v>
      </c>
      <c r="D67" s="23">
        <v>-8550.93</v>
      </c>
      <c r="E67" s="22"/>
    </row>
    <row r="68" spans="1:5" x14ac:dyDescent="0.25">
      <c r="A68" s="10">
        <v>40162</v>
      </c>
      <c r="B68" s="10">
        <v>40165</v>
      </c>
      <c r="C68" t="s">
        <v>161</v>
      </c>
      <c r="D68" s="23">
        <v>-11659.99</v>
      </c>
      <c r="E68" s="22"/>
    </row>
    <row r="69" spans="1:5" x14ac:dyDescent="0.25">
      <c r="A69" s="10">
        <v>40163</v>
      </c>
      <c r="B69" s="10">
        <v>40168</v>
      </c>
      <c r="C69" t="s">
        <v>162</v>
      </c>
      <c r="D69" s="23">
        <v>-4777.62</v>
      </c>
      <c r="E69" s="22"/>
    </row>
    <row r="70" spans="1:5" x14ac:dyDescent="0.25">
      <c r="A70" s="10">
        <v>40176</v>
      </c>
      <c r="B70" s="10">
        <v>40176</v>
      </c>
      <c r="C70" t="s">
        <v>97</v>
      </c>
      <c r="D70" s="23"/>
      <c r="E70" s="22">
        <v>4000</v>
      </c>
    </row>
    <row r="71" spans="1:5" x14ac:dyDescent="0.25">
      <c r="A71" s="10">
        <v>40177</v>
      </c>
      <c r="B71" s="10">
        <v>40184</v>
      </c>
      <c r="C71" t="s">
        <v>163</v>
      </c>
      <c r="D71" s="23"/>
      <c r="E71" s="22">
        <v>4922.32</v>
      </c>
    </row>
    <row r="72" spans="1:5" x14ac:dyDescent="0.25">
      <c r="A72" s="10">
        <v>40177</v>
      </c>
      <c r="B72" s="10">
        <v>40184</v>
      </c>
      <c r="C72" t="s">
        <v>164</v>
      </c>
      <c r="D72" s="23">
        <v>-0.24</v>
      </c>
      <c r="E72" s="22"/>
    </row>
    <row r="73" spans="1:5" x14ac:dyDescent="0.25">
      <c r="A73" s="10">
        <v>40184</v>
      </c>
      <c r="B73" s="10">
        <v>40189</v>
      </c>
      <c r="C73" t="s">
        <v>165</v>
      </c>
      <c r="D73" s="23"/>
      <c r="E73" s="22">
        <v>8836.9599999999991</v>
      </c>
    </row>
    <row r="74" spans="1:5" x14ac:dyDescent="0.25">
      <c r="A74" s="10">
        <v>40190</v>
      </c>
      <c r="B74" s="10">
        <v>40193</v>
      </c>
      <c r="C74" t="s">
        <v>166</v>
      </c>
      <c r="D74" s="23">
        <v>-18122.22</v>
      </c>
      <c r="E74" s="22"/>
    </row>
    <row r="75" spans="1:5" x14ac:dyDescent="0.25">
      <c r="A75" s="10">
        <v>40192</v>
      </c>
      <c r="B75" s="10">
        <v>40197</v>
      </c>
      <c r="C75" t="s">
        <v>167</v>
      </c>
      <c r="D75" s="23">
        <v>-0.44</v>
      </c>
      <c r="E75" s="22"/>
    </row>
    <row r="76" spans="1:5" x14ac:dyDescent="0.25">
      <c r="A76" s="10">
        <v>40192</v>
      </c>
      <c r="B76" s="10">
        <v>40197</v>
      </c>
      <c r="C76" t="s">
        <v>168</v>
      </c>
      <c r="D76" s="23">
        <v>-0.61</v>
      </c>
      <c r="E76" s="22"/>
    </row>
    <row r="77" spans="1:5" x14ac:dyDescent="0.25">
      <c r="A77" s="10">
        <v>40192</v>
      </c>
      <c r="B77" s="10">
        <v>40197</v>
      </c>
      <c r="C77" t="s">
        <v>169</v>
      </c>
      <c r="D77" s="23"/>
      <c r="E77" s="22">
        <v>12375.74</v>
      </c>
    </row>
    <row r="78" spans="1:5" x14ac:dyDescent="0.25">
      <c r="A78" s="10">
        <v>40193</v>
      </c>
      <c r="B78" s="10">
        <v>40198</v>
      </c>
      <c r="C78" t="s">
        <v>170</v>
      </c>
      <c r="D78" s="23">
        <v>-11850.06</v>
      </c>
      <c r="E78" s="22"/>
    </row>
    <row r="79" spans="1:5" x14ac:dyDescent="0.25">
      <c r="A79" s="10">
        <v>40205</v>
      </c>
      <c r="B79" s="10">
        <v>40210</v>
      </c>
      <c r="C79" t="s">
        <v>171</v>
      </c>
      <c r="D79" s="23"/>
      <c r="E79" s="22">
        <v>11879.91</v>
      </c>
    </row>
    <row r="80" spans="1:5" x14ac:dyDescent="0.25">
      <c r="A80" s="10">
        <v>40205</v>
      </c>
      <c r="B80" s="10">
        <v>40210</v>
      </c>
      <c r="C80" t="s">
        <v>172</v>
      </c>
      <c r="D80" s="23">
        <v>-0.59</v>
      </c>
      <c r="E80" s="22"/>
    </row>
    <row r="81" spans="1:5" x14ac:dyDescent="0.25">
      <c r="A81" s="10">
        <v>40210</v>
      </c>
      <c r="B81" s="10">
        <v>40213</v>
      </c>
      <c r="C81" t="s">
        <v>173</v>
      </c>
      <c r="D81" s="23">
        <v>-12980.45</v>
      </c>
      <c r="E81" s="22"/>
    </row>
    <row r="82" spans="1:5" x14ac:dyDescent="0.25">
      <c r="A82" s="10">
        <v>40211</v>
      </c>
      <c r="B82" s="10">
        <v>40214</v>
      </c>
      <c r="C82" t="s">
        <v>174</v>
      </c>
      <c r="D82" s="23"/>
      <c r="E82" s="22">
        <v>8626.7999999999993</v>
      </c>
    </row>
    <row r="83" spans="1:5" x14ac:dyDescent="0.25">
      <c r="A83" s="10">
        <v>40213</v>
      </c>
      <c r="B83" s="10">
        <v>40218</v>
      </c>
      <c r="C83" t="s">
        <v>175</v>
      </c>
      <c r="D83" s="23">
        <v>-8539.91</v>
      </c>
      <c r="E83" s="22"/>
    </row>
    <row r="84" spans="1:5" x14ac:dyDescent="0.25">
      <c r="A84" s="10">
        <v>40246</v>
      </c>
      <c r="B84" s="10">
        <v>40249</v>
      </c>
      <c r="C84" t="s">
        <v>176</v>
      </c>
      <c r="D84" s="23"/>
      <c r="E84" s="22">
        <v>4617.42</v>
      </c>
    </row>
    <row r="85" spans="1:5" x14ac:dyDescent="0.25">
      <c r="A85" s="10">
        <v>40260</v>
      </c>
      <c r="B85" s="10">
        <v>40263</v>
      </c>
      <c r="C85" t="s">
        <v>177</v>
      </c>
      <c r="D85" s="23">
        <v>-4732.6099999999997</v>
      </c>
      <c r="E85" s="22"/>
    </row>
    <row r="86" spans="1:5" x14ac:dyDescent="0.25">
      <c r="A86" s="10">
        <v>40298</v>
      </c>
      <c r="B86" s="10">
        <v>40298</v>
      </c>
      <c r="C86" t="s">
        <v>178</v>
      </c>
      <c r="D86" s="23"/>
      <c r="E86" s="22">
        <v>49.81</v>
      </c>
    </row>
    <row r="87" spans="1:5" x14ac:dyDescent="0.25">
      <c r="A87" s="10">
        <v>40298</v>
      </c>
      <c r="B87" s="10">
        <v>40298</v>
      </c>
      <c r="C87" t="s">
        <v>179</v>
      </c>
      <c r="D87" s="23"/>
      <c r="E87" s="22">
        <v>65</v>
      </c>
    </row>
    <row r="88" spans="1:5" x14ac:dyDescent="0.25">
      <c r="A88" s="10">
        <v>40298</v>
      </c>
      <c r="B88" s="10">
        <v>40298</v>
      </c>
      <c r="C88" t="s">
        <v>180</v>
      </c>
      <c r="D88" s="23"/>
      <c r="E88" s="22">
        <v>1.21</v>
      </c>
    </row>
    <row r="89" spans="1:5" x14ac:dyDescent="0.25">
      <c r="A89" s="10">
        <v>40298</v>
      </c>
      <c r="B89" s="10">
        <v>40298</v>
      </c>
      <c r="C89" t="s">
        <v>181</v>
      </c>
      <c r="D89" s="23"/>
      <c r="E89" s="22">
        <v>1.32</v>
      </c>
    </row>
    <row r="90" spans="1:5" x14ac:dyDescent="0.25">
      <c r="A90" s="10">
        <v>40309</v>
      </c>
      <c r="B90" s="10">
        <v>40309</v>
      </c>
      <c r="C90" t="s">
        <v>182</v>
      </c>
      <c r="D90" s="23"/>
      <c r="E90" s="22">
        <v>84.46</v>
      </c>
    </row>
    <row r="91" spans="1:5" x14ac:dyDescent="0.25">
      <c r="A91" s="10">
        <v>40329</v>
      </c>
      <c r="B91" s="10">
        <v>40329</v>
      </c>
      <c r="C91" t="s">
        <v>183</v>
      </c>
      <c r="D91" s="23"/>
      <c r="E91" s="22">
        <v>85</v>
      </c>
    </row>
    <row r="92" spans="1:5" x14ac:dyDescent="0.25">
      <c r="A92" s="10">
        <v>40357</v>
      </c>
      <c r="B92" s="10">
        <v>40357</v>
      </c>
      <c r="C92" t="s">
        <v>184</v>
      </c>
      <c r="D92" s="23"/>
      <c r="E92" s="22">
        <v>12.18</v>
      </c>
    </row>
    <row r="93" spans="1:5" x14ac:dyDescent="0.25">
      <c r="A93" s="10">
        <v>40421</v>
      </c>
      <c r="B93" s="10">
        <v>40421</v>
      </c>
      <c r="C93" t="s">
        <v>183</v>
      </c>
      <c r="D93" s="23"/>
      <c r="E93" s="22">
        <v>85</v>
      </c>
    </row>
    <row r="94" spans="1:5" x14ac:dyDescent="0.25">
      <c r="A94" s="10">
        <v>40473</v>
      </c>
      <c r="B94" s="10">
        <v>40478</v>
      </c>
      <c r="C94" t="s">
        <v>185</v>
      </c>
      <c r="D94" s="23"/>
      <c r="E94" s="22">
        <v>5107.25</v>
      </c>
    </row>
    <row r="95" spans="1:5" x14ac:dyDescent="0.25">
      <c r="A95" s="10">
        <v>40478</v>
      </c>
      <c r="B95" s="10">
        <v>40478</v>
      </c>
      <c r="C95" t="s">
        <v>186</v>
      </c>
      <c r="D95" s="23">
        <v>-5500</v>
      </c>
      <c r="E95" s="22"/>
    </row>
    <row r="96" spans="1:5" x14ac:dyDescent="0.25">
      <c r="A96" s="10">
        <v>40491</v>
      </c>
      <c r="B96" s="10">
        <v>40491</v>
      </c>
      <c r="C96" t="s">
        <v>187</v>
      </c>
      <c r="D96" s="23"/>
      <c r="E96" s="22">
        <v>114.87</v>
      </c>
    </row>
    <row r="97" spans="1:5" x14ac:dyDescent="0.25">
      <c r="A97" s="10">
        <v>40512</v>
      </c>
      <c r="B97" s="10">
        <v>40512</v>
      </c>
      <c r="C97" t="s">
        <v>188</v>
      </c>
      <c r="D97" s="23"/>
      <c r="E97" s="22">
        <v>59.5</v>
      </c>
    </row>
    <row r="98" spans="1:5" x14ac:dyDescent="0.25">
      <c r="A98" s="10">
        <v>40540</v>
      </c>
      <c r="B98" s="10">
        <v>40546</v>
      </c>
      <c r="C98" t="s">
        <v>189</v>
      </c>
      <c r="D98" s="23"/>
      <c r="E98" s="22">
        <v>4146.59</v>
      </c>
    </row>
    <row r="99" spans="1:5" x14ac:dyDescent="0.25">
      <c r="A99" s="10">
        <v>40542</v>
      </c>
      <c r="B99" s="10">
        <v>40542</v>
      </c>
      <c r="C99" t="s">
        <v>183</v>
      </c>
      <c r="D99" s="23"/>
      <c r="E99" s="22">
        <v>85</v>
      </c>
    </row>
    <row r="100" spans="1:5" x14ac:dyDescent="0.25">
      <c r="A100" s="10">
        <v>40548</v>
      </c>
      <c r="B100" s="10">
        <v>40548</v>
      </c>
      <c r="C100" t="s">
        <v>186</v>
      </c>
      <c r="D100" s="23">
        <v>-4400</v>
      </c>
      <c r="E100" s="22"/>
    </row>
    <row r="101" spans="1:5" x14ac:dyDescent="0.25">
      <c r="A101" s="10">
        <v>40633</v>
      </c>
      <c r="B101" s="10">
        <v>40633</v>
      </c>
      <c r="C101" t="s">
        <v>190</v>
      </c>
      <c r="D101" s="23"/>
      <c r="E101" s="22">
        <v>63.46</v>
      </c>
    </row>
    <row r="102" spans="1:5" x14ac:dyDescent="0.25">
      <c r="A102" s="10">
        <v>40633</v>
      </c>
      <c r="B102" s="10">
        <v>40633</v>
      </c>
      <c r="C102" t="s">
        <v>191</v>
      </c>
      <c r="D102" s="23"/>
      <c r="E102" s="22">
        <v>1.55</v>
      </c>
    </row>
    <row r="103" spans="1:5" x14ac:dyDescent="0.25">
      <c r="A103" s="10">
        <v>40694</v>
      </c>
      <c r="B103" s="10">
        <v>40694</v>
      </c>
      <c r="C103" t="s">
        <v>183</v>
      </c>
      <c r="D103" s="23"/>
      <c r="E103" s="22">
        <v>85</v>
      </c>
    </row>
    <row r="104" spans="1:5" x14ac:dyDescent="0.25">
      <c r="A104" s="10">
        <v>40721</v>
      </c>
      <c r="B104" s="10">
        <v>40721</v>
      </c>
      <c r="C104" t="s">
        <v>179</v>
      </c>
      <c r="D104" s="23"/>
      <c r="E104" s="22">
        <v>60</v>
      </c>
    </row>
    <row r="105" spans="1:5" x14ac:dyDescent="0.25">
      <c r="A105" s="10">
        <v>40721</v>
      </c>
      <c r="B105" s="10">
        <v>40721</v>
      </c>
      <c r="C105" t="s">
        <v>192</v>
      </c>
      <c r="D105" s="23"/>
      <c r="E105" s="22">
        <v>2.52</v>
      </c>
    </row>
    <row r="106" spans="1:5" x14ac:dyDescent="0.25">
      <c r="A106" s="10">
        <v>40786</v>
      </c>
      <c r="B106" s="10">
        <v>40786</v>
      </c>
      <c r="C106" t="s">
        <v>183</v>
      </c>
      <c r="D106" s="23"/>
      <c r="E106" s="22">
        <v>85</v>
      </c>
    </row>
    <row r="107" spans="1:5" x14ac:dyDescent="0.25">
      <c r="A107" s="10">
        <v>40877</v>
      </c>
      <c r="B107" s="10">
        <v>40877</v>
      </c>
      <c r="C107" t="s">
        <v>183</v>
      </c>
      <c r="D107" s="23"/>
      <c r="E107" s="22">
        <v>85</v>
      </c>
    </row>
    <row r="108" spans="1:5" x14ac:dyDescent="0.25">
      <c r="A108" s="10">
        <v>40968</v>
      </c>
      <c r="B108" s="10">
        <v>40968</v>
      </c>
      <c r="C108" t="s">
        <v>193</v>
      </c>
      <c r="D108" s="23"/>
      <c r="E108" s="22">
        <v>1.1299999999999999</v>
      </c>
    </row>
    <row r="109" spans="1:5" x14ac:dyDescent="0.25">
      <c r="A109" s="10">
        <v>40968</v>
      </c>
      <c r="B109" s="10">
        <v>40968</v>
      </c>
      <c r="C109" t="s">
        <v>194</v>
      </c>
      <c r="D109" s="23"/>
      <c r="E109" s="22">
        <v>75.36</v>
      </c>
    </row>
    <row r="110" spans="1:5" x14ac:dyDescent="0.25">
      <c r="A110" s="10">
        <v>41047</v>
      </c>
      <c r="B110" s="10">
        <v>41047</v>
      </c>
      <c r="C110" t="s">
        <v>195</v>
      </c>
      <c r="D110" s="23"/>
      <c r="E110" s="22">
        <v>1.71</v>
      </c>
    </row>
    <row r="111" spans="1:5" x14ac:dyDescent="0.25">
      <c r="A111" s="10">
        <v>41047</v>
      </c>
      <c r="B111" s="10">
        <v>41047</v>
      </c>
      <c r="C111" t="s">
        <v>179</v>
      </c>
      <c r="D111" s="23"/>
      <c r="E111" s="22">
        <v>60</v>
      </c>
    </row>
    <row r="112" spans="1:5" x14ac:dyDescent="0.25">
      <c r="A112" s="10">
        <v>41060</v>
      </c>
      <c r="B112" s="10">
        <v>41060</v>
      </c>
      <c r="C112" t="s">
        <v>183</v>
      </c>
      <c r="D112" s="23"/>
      <c r="E112" s="22">
        <v>85</v>
      </c>
    </row>
    <row r="113" spans="1:5" x14ac:dyDescent="0.25">
      <c r="A113" s="10">
        <v>41068</v>
      </c>
      <c r="B113" s="10">
        <v>41068</v>
      </c>
      <c r="C113" t="s">
        <v>196</v>
      </c>
      <c r="D113" s="23">
        <v>-6.9</v>
      </c>
      <c r="E113" s="22"/>
    </row>
    <row r="114" spans="1:5" x14ac:dyDescent="0.25">
      <c r="A114" s="10">
        <v>41096</v>
      </c>
      <c r="B114" s="10">
        <v>41096</v>
      </c>
      <c r="C114" t="s">
        <v>196</v>
      </c>
      <c r="D114" s="23">
        <v>-6.9</v>
      </c>
      <c r="E114" s="22"/>
    </row>
    <row r="115" spans="1:5" x14ac:dyDescent="0.25">
      <c r="A115" s="10">
        <v>41129</v>
      </c>
      <c r="B115" s="10">
        <v>41129</v>
      </c>
      <c r="C115" t="s">
        <v>196</v>
      </c>
      <c r="D115" s="23">
        <v>-6.9</v>
      </c>
      <c r="E115" s="22"/>
    </row>
    <row r="116" spans="1:5" x14ac:dyDescent="0.25">
      <c r="A116" s="10">
        <v>41162</v>
      </c>
      <c r="B116" s="10">
        <v>41162</v>
      </c>
      <c r="C116" t="s">
        <v>196</v>
      </c>
      <c r="D116" s="23">
        <v>-6.9</v>
      </c>
      <c r="E116" s="22"/>
    </row>
    <row r="117" spans="1:5" x14ac:dyDescent="0.25">
      <c r="A117" s="10">
        <v>41187</v>
      </c>
      <c r="B117" s="10">
        <v>41187</v>
      </c>
      <c r="C117" t="s">
        <v>196</v>
      </c>
      <c r="D117" s="23">
        <v>-6.9</v>
      </c>
      <c r="E117" s="22"/>
    </row>
    <row r="118" spans="1:5" x14ac:dyDescent="0.25">
      <c r="A118" s="10">
        <v>41221</v>
      </c>
      <c r="B118" s="10">
        <v>41221</v>
      </c>
      <c r="C118" t="s">
        <v>196</v>
      </c>
      <c r="D118" s="23">
        <v>-6.9</v>
      </c>
      <c r="E118" s="22"/>
    </row>
    <row r="119" spans="1:5" x14ac:dyDescent="0.25">
      <c r="A119" s="10">
        <v>41250</v>
      </c>
      <c r="B119" s="10">
        <v>41250</v>
      </c>
      <c r="C119" t="s">
        <v>196</v>
      </c>
      <c r="D119" s="23">
        <v>-6.9</v>
      </c>
      <c r="E119" s="22"/>
    </row>
    <row r="120" spans="1:5" x14ac:dyDescent="0.25">
      <c r="A120" s="10">
        <v>41282</v>
      </c>
      <c r="B120" s="10">
        <v>41282</v>
      </c>
      <c r="C120" t="s">
        <v>196</v>
      </c>
      <c r="D120" s="23">
        <v>-6.9</v>
      </c>
      <c r="E120" s="22"/>
    </row>
    <row r="121" spans="1:5" x14ac:dyDescent="0.25">
      <c r="A121" s="10">
        <v>41312</v>
      </c>
      <c r="B121" s="10">
        <v>41312</v>
      </c>
      <c r="C121" t="s">
        <v>196</v>
      </c>
      <c r="D121" s="23">
        <v>-6.9</v>
      </c>
      <c r="E121" s="22"/>
    </row>
    <row r="122" spans="1:5" x14ac:dyDescent="0.25">
      <c r="A122" s="10">
        <v>41340</v>
      </c>
      <c r="B122" s="10">
        <v>41340</v>
      </c>
      <c r="C122" t="s">
        <v>196</v>
      </c>
      <c r="D122" s="23">
        <v>-6.9</v>
      </c>
      <c r="E122" s="22"/>
    </row>
    <row r="123" spans="1:5" x14ac:dyDescent="0.25">
      <c r="A123" s="10">
        <v>41372</v>
      </c>
      <c r="B123" s="10">
        <v>41372</v>
      </c>
      <c r="C123" t="s">
        <v>196</v>
      </c>
      <c r="D123" s="23">
        <v>-6.9</v>
      </c>
      <c r="E123" s="22"/>
    </row>
    <row r="124" spans="1:5" x14ac:dyDescent="0.25">
      <c r="A124" s="10">
        <v>41402</v>
      </c>
      <c r="B124" s="10">
        <v>41402</v>
      </c>
      <c r="C124" t="s">
        <v>196</v>
      </c>
      <c r="D124" s="23">
        <v>-6.9</v>
      </c>
      <c r="E124" s="22"/>
    </row>
    <row r="125" spans="1:5" x14ac:dyDescent="0.25">
      <c r="A125" s="10">
        <v>41408</v>
      </c>
      <c r="B125" s="10">
        <v>41408</v>
      </c>
      <c r="C125" t="s">
        <v>184</v>
      </c>
      <c r="D125" s="23"/>
      <c r="E125" s="22">
        <v>29.75</v>
      </c>
    </row>
    <row r="126" spans="1:5" x14ac:dyDescent="0.25">
      <c r="A126" s="10">
        <v>41421</v>
      </c>
      <c r="B126" s="10">
        <v>41421</v>
      </c>
      <c r="C126" t="s">
        <v>197</v>
      </c>
      <c r="D126" s="23"/>
      <c r="E126" s="22">
        <v>159.66</v>
      </c>
    </row>
    <row r="127" spans="1:5" x14ac:dyDescent="0.25">
      <c r="A127" s="10">
        <v>41421</v>
      </c>
      <c r="B127" s="10">
        <v>41421</v>
      </c>
      <c r="C127" t="s">
        <v>198</v>
      </c>
      <c r="D127" s="23"/>
      <c r="E127" s="22">
        <v>4.07</v>
      </c>
    </row>
    <row r="128" spans="1:5" x14ac:dyDescent="0.25">
      <c r="A128" s="10">
        <v>41435</v>
      </c>
      <c r="B128" s="10">
        <v>41435</v>
      </c>
      <c r="C128" t="s">
        <v>196</v>
      </c>
      <c r="D128" s="23">
        <v>-6.9</v>
      </c>
      <c r="E128" s="22"/>
    </row>
    <row r="129" spans="1:5" x14ac:dyDescent="0.25">
      <c r="A129" s="10">
        <v>41460</v>
      </c>
      <c r="B129" s="10">
        <v>41460</v>
      </c>
      <c r="C129" t="s">
        <v>196</v>
      </c>
      <c r="D129" s="23">
        <v>-6.9</v>
      </c>
      <c r="E129" s="22"/>
    </row>
    <row r="130" spans="1:5" x14ac:dyDescent="0.25">
      <c r="A130" s="10">
        <v>41493</v>
      </c>
      <c r="B130" s="10">
        <v>41493</v>
      </c>
      <c r="C130" t="s">
        <v>196</v>
      </c>
      <c r="D130" s="23">
        <v>-6.9</v>
      </c>
      <c r="E130" s="22"/>
    </row>
    <row r="131" spans="1:5" x14ac:dyDescent="0.25">
      <c r="A131" s="10">
        <v>41516</v>
      </c>
      <c r="B131" s="10">
        <v>41516</v>
      </c>
      <c r="C131" t="s">
        <v>199</v>
      </c>
      <c r="D131" s="23"/>
      <c r="E131" s="22">
        <v>7.51</v>
      </c>
    </row>
    <row r="132" spans="1:5" x14ac:dyDescent="0.25">
      <c r="A132" s="10">
        <v>41516</v>
      </c>
      <c r="B132" s="10">
        <v>41516</v>
      </c>
      <c r="C132" t="s">
        <v>197</v>
      </c>
      <c r="D132" s="23"/>
      <c r="E132" s="22">
        <v>159.66</v>
      </c>
    </row>
    <row r="133" spans="1:5" x14ac:dyDescent="0.25">
      <c r="A133" s="10">
        <v>41523</v>
      </c>
      <c r="B133" s="10">
        <v>41523</v>
      </c>
      <c r="C133" t="s">
        <v>196</v>
      </c>
      <c r="D133" s="23">
        <v>-6.9</v>
      </c>
      <c r="E133" s="22"/>
    </row>
    <row r="134" spans="1:5" x14ac:dyDescent="0.25">
      <c r="A134" s="10">
        <v>41554</v>
      </c>
      <c r="B134" s="10">
        <v>41554</v>
      </c>
      <c r="C134" t="s">
        <v>196</v>
      </c>
      <c r="D134" s="23">
        <v>-6.9</v>
      </c>
      <c r="E134" s="22"/>
    </row>
    <row r="135" spans="1:5" x14ac:dyDescent="0.25">
      <c r="A135" s="10">
        <v>41596</v>
      </c>
      <c r="B135" s="10">
        <v>41596</v>
      </c>
      <c r="C135" t="s">
        <v>196</v>
      </c>
      <c r="D135" s="23">
        <v>-6.9</v>
      </c>
      <c r="E135" s="22"/>
    </row>
    <row r="136" spans="1:5" x14ac:dyDescent="0.25">
      <c r="A136" s="10">
        <v>41604</v>
      </c>
      <c r="B136" s="10">
        <v>41607</v>
      </c>
      <c r="C136" t="s">
        <v>200</v>
      </c>
      <c r="D136" s="23">
        <v>-674.2</v>
      </c>
      <c r="E136" s="22"/>
    </row>
    <row r="137" spans="1:5" x14ac:dyDescent="0.25">
      <c r="A137" s="10">
        <v>41614</v>
      </c>
      <c r="B137" s="10">
        <v>41614</v>
      </c>
      <c r="C137" t="s">
        <v>97</v>
      </c>
      <c r="D137" s="23"/>
      <c r="E137" s="22">
        <v>15000</v>
      </c>
    </row>
    <row r="138" spans="1:5" x14ac:dyDescent="0.25">
      <c r="A138" s="10">
        <v>41614</v>
      </c>
      <c r="B138" s="10">
        <v>41619</v>
      </c>
      <c r="C138" t="s">
        <v>201</v>
      </c>
      <c r="D138" s="23">
        <v>-1006.3</v>
      </c>
      <c r="E138" s="22"/>
    </row>
    <row r="139" spans="1:5" x14ac:dyDescent="0.25">
      <c r="A139" s="10">
        <v>41617</v>
      </c>
      <c r="B139" s="10">
        <v>41620</v>
      </c>
      <c r="C139" t="s">
        <v>202</v>
      </c>
      <c r="D139" s="23"/>
      <c r="E139" s="22">
        <v>1193.9000000000001</v>
      </c>
    </row>
    <row r="140" spans="1:5" x14ac:dyDescent="0.25">
      <c r="A140" s="10">
        <v>41619</v>
      </c>
      <c r="B140" s="10">
        <v>41624</v>
      </c>
      <c r="C140" t="s">
        <v>203</v>
      </c>
      <c r="D140" s="23">
        <v>-3817.22</v>
      </c>
      <c r="E140" s="22"/>
    </row>
    <row r="141" spans="1:5" x14ac:dyDescent="0.25">
      <c r="A141" s="10">
        <v>41625</v>
      </c>
      <c r="B141" s="10">
        <v>41628</v>
      </c>
      <c r="C141" t="s">
        <v>204</v>
      </c>
      <c r="D141" s="23">
        <v>-1182.3599999999999</v>
      </c>
      <c r="E141" s="22"/>
    </row>
    <row r="142" spans="1:5" x14ac:dyDescent="0.25">
      <c r="A142" s="10">
        <v>41628</v>
      </c>
      <c r="B142" s="10">
        <v>41635</v>
      </c>
      <c r="C142" t="s">
        <v>205</v>
      </c>
      <c r="D142" s="23">
        <v>-1066.32</v>
      </c>
      <c r="E142" s="22"/>
    </row>
    <row r="143" spans="1:5" x14ac:dyDescent="0.25">
      <c r="A143" s="10">
        <v>41634</v>
      </c>
      <c r="B143" s="10">
        <v>41641</v>
      </c>
      <c r="C143" t="s">
        <v>206</v>
      </c>
      <c r="D143" s="23"/>
      <c r="E143" s="22">
        <v>851.74</v>
      </c>
    </row>
    <row r="144" spans="1:5" x14ac:dyDescent="0.25">
      <c r="A144" s="10">
        <v>41641</v>
      </c>
      <c r="B144" s="10">
        <v>41646</v>
      </c>
      <c r="C144" t="s">
        <v>207</v>
      </c>
      <c r="D144" s="23">
        <v>-4710.49</v>
      </c>
      <c r="E144" s="22"/>
    </row>
    <row r="145" spans="1:5" x14ac:dyDescent="0.25">
      <c r="A145" s="10">
        <v>41646</v>
      </c>
      <c r="B145" s="10">
        <v>41646</v>
      </c>
      <c r="C145" t="s">
        <v>97</v>
      </c>
      <c r="E145" s="22">
        <v>15000</v>
      </c>
    </row>
    <row r="146" spans="1:5" s="56" customFormat="1" x14ac:dyDescent="0.25">
      <c r="A146" s="55">
        <v>41890</v>
      </c>
      <c r="B146" s="55">
        <v>41890</v>
      </c>
      <c r="C146" s="56" t="s">
        <v>208</v>
      </c>
      <c r="D146" s="57"/>
      <c r="E146" s="58">
        <v>7362.95</v>
      </c>
    </row>
    <row r="147" spans="1:5" x14ac:dyDescent="0.25">
      <c r="A147" s="10">
        <v>41904</v>
      </c>
      <c r="B147" s="10">
        <v>41907</v>
      </c>
      <c r="C147" t="s">
        <v>209</v>
      </c>
      <c r="D147" s="22">
        <v>-8.1199999999999992</v>
      </c>
      <c r="E147" s="22"/>
    </row>
    <row r="148" spans="1:5" x14ac:dyDescent="0.25">
      <c r="A148" s="10">
        <v>41905</v>
      </c>
      <c r="B148" s="10">
        <v>41908</v>
      </c>
      <c r="C148" t="s">
        <v>210</v>
      </c>
      <c r="D148" s="22">
        <v>-390.24</v>
      </c>
      <c r="E148" s="22"/>
    </row>
    <row r="149" spans="1:5" x14ac:dyDescent="0.25">
      <c r="A149" s="10">
        <v>41906</v>
      </c>
      <c r="B149" s="10">
        <v>41911</v>
      </c>
      <c r="C149" t="s">
        <v>211</v>
      </c>
      <c r="D149" s="22">
        <v>-0.13</v>
      </c>
      <c r="E149" s="22"/>
    </row>
    <row r="150" spans="1:5" x14ac:dyDescent="0.25">
      <c r="A150" s="10">
        <v>41907</v>
      </c>
      <c r="B150" s="10">
        <v>41912</v>
      </c>
      <c r="C150" t="s">
        <v>212</v>
      </c>
      <c r="D150" s="22">
        <v>-0.13</v>
      </c>
      <c r="E150" s="22"/>
    </row>
    <row r="151" spans="1:5" x14ac:dyDescent="0.25">
      <c r="A151" s="10">
        <v>41908</v>
      </c>
      <c r="B151" s="10">
        <v>41913</v>
      </c>
      <c r="C151" t="s">
        <v>213</v>
      </c>
      <c r="D151" s="22">
        <v>-1690.02</v>
      </c>
      <c r="E151" s="22"/>
    </row>
    <row r="152" spans="1:5" x14ac:dyDescent="0.25">
      <c r="A152" s="10">
        <v>41915</v>
      </c>
      <c r="B152" s="10">
        <v>41920</v>
      </c>
      <c r="C152" t="s">
        <v>214</v>
      </c>
      <c r="D152" s="22">
        <v>-2016.64</v>
      </c>
      <c r="E152" s="22"/>
    </row>
    <row r="153" spans="1:5" x14ac:dyDescent="0.25">
      <c r="A153" s="10">
        <v>41921</v>
      </c>
      <c r="B153" s="10">
        <v>41932</v>
      </c>
      <c r="C153" t="s">
        <v>215</v>
      </c>
      <c r="D153" s="22">
        <v>-9.8000000000000007</v>
      </c>
      <c r="E153" s="22"/>
    </row>
    <row r="154" spans="1:5" x14ac:dyDescent="0.25">
      <c r="A154" s="10">
        <v>41928</v>
      </c>
      <c r="B154" s="10">
        <v>41932</v>
      </c>
      <c r="C154" t="s">
        <v>216</v>
      </c>
      <c r="E154" s="22">
        <v>9.8000000000000007</v>
      </c>
    </row>
    <row r="155" spans="1:5" x14ac:dyDescent="0.25">
      <c r="A155" s="10">
        <v>41941</v>
      </c>
      <c r="B155" s="10">
        <v>41941</v>
      </c>
      <c r="C155" t="s">
        <v>217</v>
      </c>
      <c r="E155" s="22">
        <v>30.37</v>
      </c>
    </row>
    <row r="156" spans="1:5" x14ac:dyDescent="0.25">
      <c r="A156" s="10">
        <v>41939</v>
      </c>
      <c r="B156" s="10">
        <v>41942</v>
      </c>
      <c r="C156" t="s">
        <v>218</v>
      </c>
      <c r="D156" s="22">
        <v>-2298.7199999999998</v>
      </c>
      <c r="E156" s="22"/>
    </row>
    <row r="157" spans="1:5" x14ac:dyDescent="0.25">
      <c r="A157" s="10">
        <v>41943</v>
      </c>
      <c r="B157" s="10">
        <v>41943</v>
      </c>
      <c r="C157" t="s">
        <v>219</v>
      </c>
      <c r="E157" s="22">
        <v>110.64</v>
      </c>
    </row>
    <row r="158" spans="1:5" x14ac:dyDescent="0.25">
      <c r="A158" s="10">
        <v>41943</v>
      </c>
      <c r="B158" s="10">
        <v>41943</v>
      </c>
      <c r="C158" t="s">
        <v>220</v>
      </c>
      <c r="E158" s="22">
        <v>68</v>
      </c>
    </row>
    <row r="159" spans="1:5" x14ac:dyDescent="0.25">
      <c r="A159" s="10">
        <v>41943</v>
      </c>
      <c r="B159" s="10">
        <v>41948</v>
      </c>
      <c r="C159" t="s">
        <v>221</v>
      </c>
      <c r="E159" s="22">
        <v>4062.69</v>
      </c>
    </row>
    <row r="160" spans="1:5" x14ac:dyDescent="0.25">
      <c r="A160" s="10">
        <v>41954</v>
      </c>
      <c r="B160" s="10">
        <v>41957</v>
      </c>
      <c r="C160" t="s">
        <v>222</v>
      </c>
      <c r="D160" s="22">
        <v>-5085.3999999999996</v>
      </c>
      <c r="E160" s="22"/>
    </row>
    <row r="161" spans="1:5" x14ac:dyDescent="0.25">
      <c r="A161" s="10">
        <v>41991</v>
      </c>
      <c r="B161" s="10">
        <v>41991</v>
      </c>
      <c r="C161" t="s">
        <v>223</v>
      </c>
      <c r="E161" s="22">
        <v>6.9</v>
      </c>
    </row>
    <row r="162" spans="1:5" x14ac:dyDescent="0.25">
      <c r="A162" s="10">
        <v>41991</v>
      </c>
      <c r="B162" s="10">
        <v>41991</v>
      </c>
      <c r="C162" t="s">
        <v>224</v>
      </c>
      <c r="D162" s="22">
        <v>-6.9</v>
      </c>
      <c r="E162" s="22"/>
    </row>
    <row r="163" spans="1:5" x14ac:dyDescent="0.25">
      <c r="A163" s="10">
        <v>41995</v>
      </c>
      <c r="B163" s="10">
        <v>41995</v>
      </c>
      <c r="C163" t="s">
        <v>225</v>
      </c>
      <c r="E163" s="22">
        <v>11.86</v>
      </c>
    </row>
    <row r="164" spans="1:5" x14ac:dyDescent="0.25">
      <c r="A164" s="10">
        <v>42016</v>
      </c>
      <c r="B164" s="10">
        <v>42023</v>
      </c>
      <c r="C164" t="s">
        <v>226</v>
      </c>
      <c r="D164" s="22">
        <v>-6.9</v>
      </c>
      <c r="E164" s="22"/>
    </row>
    <row r="165" spans="1:5" x14ac:dyDescent="0.25">
      <c r="A165" s="10">
        <v>42039</v>
      </c>
      <c r="B165" s="10">
        <v>42053</v>
      </c>
      <c r="C165" t="s">
        <v>227</v>
      </c>
      <c r="D165" s="22">
        <v>-6.9</v>
      </c>
      <c r="E165" s="22"/>
    </row>
    <row r="166" spans="1:5" x14ac:dyDescent="0.25">
      <c r="A166" s="10">
        <v>42069</v>
      </c>
      <c r="B166" s="10">
        <v>42079</v>
      </c>
      <c r="C166" t="s">
        <v>228</v>
      </c>
      <c r="D166" s="22">
        <v>-6.9</v>
      </c>
      <c r="E166" s="22"/>
    </row>
    <row r="167" spans="1:5" x14ac:dyDescent="0.25">
      <c r="A167" s="10">
        <v>42102</v>
      </c>
      <c r="B167" s="10">
        <v>42114</v>
      </c>
      <c r="C167" t="s">
        <v>229</v>
      </c>
      <c r="D167" s="22">
        <v>-12.5</v>
      </c>
      <c r="E167" s="22"/>
    </row>
    <row r="168" spans="1:5" x14ac:dyDescent="0.25">
      <c r="A168" s="10">
        <v>42124</v>
      </c>
      <c r="B168" s="10">
        <v>42124</v>
      </c>
      <c r="C168" t="s">
        <v>219</v>
      </c>
      <c r="E168" s="22">
        <v>102.3</v>
      </c>
    </row>
    <row r="169" spans="1:5" x14ac:dyDescent="0.25">
      <c r="A169" s="10">
        <v>42131</v>
      </c>
      <c r="B169" s="10">
        <v>42142</v>
      </c>
      <c r="C169" t="s">
        <v>230</v>
      </c>
      <c r="D169" s="22">
        <v>-12.5</v>
      </c>
      <c r="E169" s="22"/>
    </row>
    <row r="170" spans="1:5" x14ac:dyDescent="0.25">
      <c r="A170" s="10">
        <v>42151</v>
      </c>
      <c r="B170" s="10">
        <v>42151</v>
      </c>
      <c r="C170" t="s">
        <v>217</v>
      </c>
      <c r="E170" s="22">
        <v>30.59</v>
      </c>
    </row>
    <row r="171" spans="1:5" x14ac:dyDescent="0.25">
      <c r="A171" s="10">
        <v>42164</v>
      </c>
      <c r="B171" s="10">
        <v>42170</v>
      </c>
      <c r="C171" t="s">
        <v>231</v>
      </c>
      <c r="D171" s="22">
        <v>-12.5</v>
      </c>
      <c r="E171" s="22"/>
    </row>
    <row r="172" spans="1:5" x14ac:dyDescent="0.25">
      <c r="A172" s="10">
        <v>42180</v>
      </c>
      <c r="B172" s="10">
        <v>42180</v>
      </c>
      <c r="C172" t="s">
        <v>225</v>
      </c>
      <c r="E172" s="22">
        <v>14.67</v>
      </c>
    </row>
    <row r="173" spans="1:5" x14ac:dyDescent="0.25">
      <c r="A173" s="10">
        <v>42187</v>
      </c>
      <c r="B173" s="10">
        <v>42205</v>
      </c>
      <c r="C173" t="s">
        <v>232</v>
      </c>
      <c r="D173" s="22">
        <v>-12.5</v>
      </c>
      <c r="E173" s="22"/>
    </row>
    <row r="174" spans="1:5" x14ac:dyDescent="0.25">
      <c r="A174" s="10">
        <v>42222</v>
      </c>
      <c r="B174" s="10">
        <v>42233</v>
      </c>
      <c r="C174" t="s">
        <v>233</v>
      </c>
      <c r="D174" s="22">
        <v>-7.3</v>
      </c>
      <c r="E174" s="22"/>
    </row>
    <row r="175" spans="1:5" x14ac:dyDescent="0.25">
      <c r="A175" s="10">
        <v>42223</v>
      </c>
      <c r="B175" s="10">
        <v>42233</v>
      </c>
      <c r="C175" t="s">
        <v>233</v>
      </c>
      <c r="D175" s="22">
        <v>-12.5</v>
      </c>
      <c r="E175" s="22"/>
    </row>
    <row r="176" spans="1:5" x14ac:dyDescent="0.25">
      <c r="A176" s="10">
        <v>42223</v>
      </c>
      <c r="B176" s="10">
        <v>42233</v>
      </c>
      <c r="C176" t="s">
        <v>234</v>
      </c>
      <c r="E176" s="22">
        <v>7.3</v>
      </c>
    </row>
    <row r="177" spans="1:5" x14ac:dyDescent="0.25">
      <c r="A177" s="10">
        <v>42241</v>
      </c>
      <c r="B177" s="10">
        <v>42244</v>
      </c>
      <c r="C177" t="s">
        <v>235</v>
      </c>
      <c r="E177" s="22">
        <v>445.55</v>
      </c>
    </row>
    <row r="178" spans="1:5" x14ac:dyDescent="0.25">
      <c r="A178" s="10">
        <v>42242</v>
      </c>
      <c r="B178" s="10">
        <v>42247</v>
      </c>
      <c r="C178" t="s">
        <v>236</v>
      </c>
      <c r="E178" s="22">
        <v>873.32</v>
      </c>
    </row>
    <row r="179" spans="1:5" x14ac:dyDescent="0.25">
      <c r="A179" s="10">
        <v>42251</v>
      </c>
      <c r="B179" s="10">
        <v>42268</v>
      </c>
      <c r="C179" t="s">
        <v>237</v>
      </c>
      <c r="D179" s="22">
        <v>-12.5</v>
      </c>
      <c r="E179" s="22"/>
    </row>
    <row r="180" spans="1:5" x14ac:dyDescent="0.25">
      <c r="A180" s="10">
        <v>42279</v>
      </c>
      <c r="B180" s="10">
        <v>42296</v>
      </c>
      <c r="C180" t="s">
        <v>238</v>
      </c>
      <c r="D180" s="22">
        <v>-12.5</v>
      </c>
      <c r="E180" s="22"/>
    </row>
    <row r="181" spans="1:5" x14ac:dyDescent="0.25">
      <c r="A181" s="10">
        <v>42307</v>
      </c>
      <c r="B181" s="10">
        <v>42307</v>
      </c>
      <c r="C181" t="s">
        <v>220</v>
      </c>
      <c r="E181" s="22">
        <v>74.72</v>
      </c>
    </row>
    <row r="182" spans="1:5" x14ac:dyDescent="0.25">
      <c r="A182" s="10">
        <v>42319</v>
      </c>
      <c r="B182" s="10">
        <v>42319</v>
      </c>
      <c r="C182" t="s">
        <v>217</v>
      </c>
      <c r="E182" s="22">
        <v>18.64</v>
      </c>
    </row>
    <row r="183" spans="1:5" x14ac:dyDescent="0.25">
      <c r="A183" s="10">
        <v>42314</v>
      </c>
      <c r="B183" s="10">
        <v>42324</v>
      </c>
      <c r="C183" t="s">
        <v>239</v>
      </c>
      <c r="D183" s="22">
        <v>-12.5</v>
      </c>
      <c r="E183" s="22"/>
    </row>
    <row r="184" spans="1:5" x14ac:dyDescent="0.25">
      <c r="A184" s="10">
        <v>42346</v>
      </c>
      <c r="B184" s="10">
        <v>42359</v>
      </c>
      <c r="C184" t="s">
        <v>240</v>
      </c>
      <c r="D184" s="22">
        <v>-12.5</v>
      </c>
      <c r="E184" s="22"/>
    </row>
    <row r="185" spans="1:5" x14ac:dyDescent="0.25">
      <c r="A185" s="10">
        <v>42367</v>
      </c>
      <c r="B185" s="10">
        <v>42367</v>
      </c>
      <c r="C185" t="s">
        <v>225</v>
      </c>
      <c r="E185" s="22">
        <v>18.07</v>
      </c>
    </row>
    <row r="186" spans="1:5" x14ac:dyDescent="0.25">
      <c r="A186" s="10">
        <v>42377</v>
      </c>
      <c r="B186" s="10">
        <v>42387</v>
      </c>
      <c r="C186" t="s">
        <v>241</v>
      </c>
      <c r="D186" s="22">
        <v>-12.5</v>
      </c>
      <c r="E186" s="22"/>
    </row>
    <row r="187" spans="1:5" x14ac:dyDescent="0.25">
      <c r="A187" s="10">
        <v>42388</v>
      </c>
      <c r="B187" s="10">
        <v>42388</v>
      </c>
      <c r="C187" t="s">
        <v>242</v>
      </c>
      <c r="D187" s="22">
        <v>-1495.25</v>
      </c>
      <c r="E187" s="22"/>
    </row>
    <row r="188" spans="1:5" x14ac:dyDescent="0.25">
      <c r="A188" s="10">
        <v>42404</v>
      </c>
      <c r="B188" s="10">
        <v>42415</v>
      </c>
      <c r="C188" t="s">
        <v>243</v>
      </c>
      <c r="D188" s="22">
        <v>-12.5</v>
      </c>
      <c r="E188" s="22"/>
    </row>
    <row r="189" spans="1:5" x14ac:dyDescent="0.25">
      <c r="A189" s="10">
        <v>42433</v>
      </c>
      <c r="B189" s="10">
        <v>42450</v>
      </c>
      <c r="C189" t="s">
        <v>244</v>
      </c>
      <c r="D189" s="22">
        <v>-12.5</v>
      </c>
      <c r="E189" s="22"/>
    </row>
    <row r="190" spans="1:5" x14ac:dyDescent="0.25">
      <c r="A190" s="10">
        <v>42465</v>
      </c>
      <c r="B190" s="10">
        <v>42478</v>
      </c>
      <c r="C190" t="s">
        <v>245</v>
      </c>
      <c r="D190" s="22">
        <v>-12.5</v>
      </c>
      <c r="E190" s="22"/>
    </row>
    <row r="191" spans="1:5" x14ac:dyDescent="0.25">
      <c r="A191" s="10">
        <v>42496</v>
      </c>
      <c r="B191" s="10">
        <v>42506</v>
      </c>
      <c r="C191" t="s">
        <v>246</v>
      </c>
      <c r="D191" s="22">
        <v>-12.5</v>
      </c>
      <c r="E191" s="22"/>
    </row>
    <row r="192" spans="1:5" x14ac:dyDescent="0.25">
      <c r="A192" s="10">
        <v>42507</v>
      </c>
      <c r="B192" s="10">
        <v>42507</v>
      </c>
      <c r="C192" t="s">
        <v>217</v>
      </c>
      <c r="D192" s="22"/>
      <c r="E192" s="22">
        <v>24.86</v>
      </c>
    </row>
    <row r="193" spans="1:5" x14ac:dyDescent="0.25">
      <c r="A193" s="10">
        <v>42523</v>
      </c>
      <c r="B193" s="10">
        <v>42569</v>
      </c>
      <c r="C193" t="s">
        <v>247</v>
      </c>
      <c r="D193" s="22">
        <v>-12.5</v>
      </c>
    </row>
    <row r="194" spans="1:5" x14ac:dyDescent="0.25">
      <c r="A194" s="10">
        <v>42549</v>
      </c>
      <c r="B194" s="10">
        <v>42549</v>
      </c>
      <c r="C194" t="s">
        <v>225</v>
      </c>
      <c r="E194" s="22">
        <v>22.24</v>
      </c>
    </row>
    <row r="195" spans="1:5" x14ac:dyDescent="0.25">
      <c r="A195" s="10">
        <v>42556</v>
      </c>
      <c r="B195" s="10">
        <v>42569</v>
      </c>
      <c r="C195" t="s">
        <v>248</v>
      </c>
      <c r="D195" s="22">
        <v>-12.5</v>
      </c>
    </row>
    <row r="196" spans="1:5" x14ac:dyDescent="0.25">
      <c r="A196" s="10">
        <v>42579</v>
      </c>
      <c r="B196" s="10">
        <v>42579</v>
      </c>
      <c r="C196" s="59" t="s">
        <v>249</v>
      </c>
      <c r="D196" s="22">
        <v>-66.12</v>
      </c>
    </row>
    <row r="197" spans="1:5" x14ac:dyDescent="0.25">
      <c r="A197" s="10">
        <v>42579</v>
      </c>
      <c r="B197" s="10">
        <v>42579</v>
      </c>
      <c r="C197" t="s">
        <v>250</v>
      </c>
      <c r="D197" s="22">
        <v>66.12</v>
      </c>
    </row>
    <row r="198" spans="1:5" x14ac:dyDescent="0.25">
      <c r="A198" s="10">
        <v>42584</v>
      </c>
      <c r="B198" s="10">
        <v>42597</v>
      </c>
      <c r="C198" t="s">
        <v>251</v>
      </c>
      <c r="D198" s="22">
        <v>-12.5</v>
      </c>
    </row>
    <row r="199" spans="1:5" x14ac:dyDescent="0.25">
      <c r="A199" s="10">
        <v>42591</v>
      </c>
      <c r="B199" s="10">
        <v>42591</v>
      </c>
      <c r="C199" s="59" t="s">
        <v>252</v>
      </c>
      <c r="D199" s="22">
        <v>-66.12</v>
      </c>
    </row>
  </sheetData>
  <autoFilter ref="A1:E199" xr:uid="{00000000-0009-0000-0000-000003000000}"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4"/>
  <sheetViews>
    <sheetView workbookViewId="0">
      <selection activeCell="A7" sqref="A7"/>
    </sheetView>
  </sheetViews>
  <sheetFormatPr defaultRowHeight="15" x14ac:dyDescent="0.25"/>
  <cols>
    <col min="1" max="1" width="9.5703125" bestFit="1" customWidth="1"/>
    <col min="2" max="2" width="14.28515625" customWidth="1"/>
    <col min="3" max="3" width="13.5703125" customWidth="1"/>
  </cols>
  <sheetData>
    <row r="1" spans="1:3" x14ac:dyDescent="0.25">
      <c r="A1" s="14" t="s">
        <v>253</v>
      </c>
      <c r="B1" s="14" t="s">
        <v>94</v>
      </c>
      <c r="C1" s="14" t="s">
        <v>254</v>
      </c>
    </row>
    <row r="2" spans="1:3" ht="15.75" thickBot="1" x14ac:dyDescent="0.3">
      <c r="A2" s="15">
        <v>39756</v>
      </c>
      <c r="B2" s="9" t="s">
        <v>97</v>
      </c>
      <c r="C2" s="16">
        <v>10000</v>
      </c>
    </row>
    <row r="3" spans="1:3" ht="15.75" thickBot="1" x14ac:dyDescent="0.3">
      <c r="A3" s="15">
        <v>39757</v>
      </c>
      <c r="B3" s="9" t="s">
        <v>98</v>
      </c>
      <c r="C3" s="16">
        <v>2000</v>
      </c>
    </row>
    <row r="4" spans="1:3" ht="15.75" thickBot="1" x14ac:dyDescent="0.3">
      <c r="A4" s="15">
        <v>39869</v>
      </c>
      <c r="B4" s="9" t="s">
        <v>97</v>
      </c>
      <c r="C4" s="16">
        <v>2800</v>
      </c>
    </row>
    <row r="5" spans="1:3" ht="15.75" thickBot="1" x14ac:dyDescent="0.3">
      <c r="A5" s="15">
        <v>40176</v>
      </c>
      <c r="B5" s="9" t="s">
        <v>97</v>
      </c>
      <c r="C5" s="16">
        <v>4000</v>
      </c>
    </row>
    <row r="6" spans="1:3" ht="15.75" thickBot="1" x14ac:dyDescent="0.3">
      <c r="A6" s="15">
        <v>41614</v>
      </c>
      <c r="B6" s="9" t="s">
        <v>97</v>
      </c>
      <c r="C6" s="16">
        <v>15000</v>
      </c>
    </row>
    <row r="7" spans="1:3" ht="15.75" thickBot="1" x14ac:dyDescent="0.3">
      <c r="A7" s="15">
        <v>41646</v>
      </c>
      <c r="B7" s="9" t="s">
        <v>97</v>
      </c>
      <c r="C7" s="16">
        <v>15000</v>
      </c>
    </row>
    <row r="8" spans="1:3" x14ac:dyDescent="0.25">
      <c r="C8" s="17">
        <f>SUM(C2:C7)</f>
        <v>48800</v>
      </c>
    </row>
    <row r="10" spans="1:3" ht="15.75" thickBot="1" x14ac:dyDescent="0.3">
      <c r="A10" s="15">
        <v>40478</v>
      </c>
      <c r="B10" s="9" t="s">
        <v>186</v>
      </c>
      <c r="C10" s="16">
        <v>-5500</v>
      </c>
    </row>
    <row r="11" spans="1:3" ht="15.75" thickBot="1" x14ac:dyDescent="0.3">
      <c r="A11" s="15">
        <v>40548</v>
      </c>
      <c r="B11" s="9" t="s">
        <v>186</v>
      </c>
      <c r="C11" s="16">
        <v>-4400</v>
      </c>
    </row>
    <row r="12" spans="1:3" x14ac:dyDescent="0.25">
      <c r="C12" s="17">
        <f>SUM(C10:C11)</f>
        <v>-9900</v>
      </c>
    </row>
    <row r="14" spans="1:3" x14ac:dyDescent="0.25">
      <c r="C14" s="17">
        <f>SUM(C8,C12)</f>
        <v>38900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4317B-2FC8-42EE-AAB0-596DCFE2F927}">
  <dimension ref="A1:C5"/>
  <sheetViews>
    <sheetView workbookViewId="0">
      <selection activeCell="F10" sqref="F10"/>
    </sheetView>
  </sheetViews>
  <sheetFormatPr defaultRowHeight="15" x14ac:dyDescent="0.25"/>
  <cols>
    <col min="1" max="1" width="23.7109375" bestFit="1" customWidth="1"/>
    <col min="2" max="2" width="5.85546875" bestFit="1" customWidth="1"/>
    <col min="3" max="3" width="5.5703125" bestFit="1" customWidth="1"/>
  </cols>
  <sheetData>
    <row r="1" spans="1:3" ht="15.75" thickBot="1" x14ac:dyDescent="0.3">
      <c r="A1" s="124" t="s">
        <v>551</v>
      </c>
      <c r="B1" s="127" t="s">
        <v>549</v>
      </c>
      <c r="C1" s="128" t="s">
        <v>550</v>
      </c>
    </row>
    <row r="2" spans="1:3" x14ac:dyDescent="0.25">
      <c r="A2" s="125" t="s">
        <v>545</v>
      </c>
      <c r="B2" s="123">
        <v>0.39583333333333331</v>
      </c>
      <c r="C2" s="123">
        <v>0.40625</v>
      </c>
    </row>
    <row r="3" spans="1:3" x14ac:dyDescent="0.25">
      <c r="A3" s="126" t="s">
        <v>546</v>
      </c>
      <c r="B3" s="122">
        <v>0.40625</v>
      </c>
      <c r="C3" s="122">
        <v>0.41666666666666669</v>
      </c>
    </row>
    <row r="4" spans="1:3" x14ac:dyDescent="0.25">
      <c r="A4" s="126" t="s">
        <v>547</v>
      </c>
      <c r="B4" s="122">
        <v>0.41666666666666669</v>
      </c>
      <c r="C4" s="122">
        <v>0.70486111111111116</v>
      </c>
    </row>
    <row r="5" spans="1:3" x14ac:dyDescent="0.25">
      <c r="A5" s="126" t="s">
        <v>548</v>
      </c>
      <c r="B5" s="122">
        <v>0.70486111111111116</v>
      </c>
      <c r="C5" s="122">
        <v>0.70833333333333337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4FE2E-B372-41FC-ADF8-5454010B6431}">
  <dimension ref="A1:F2"/>
  <sheetViews>
    <sheetView workbookViewId="0">
      <selection activeCell="A2" sqref="A2"/>
    </sheetView>
  </sheetViews>
  <sheetFormatPr defaultRowHeight="15" x14ac:dyDescent="0.25"/>
  <cols>
    <col min="2" max="2" width="9.28515625" customWidth="1"/>
    <col min="3" max="5" width="8.140625" bestFit="1" customWidth="1"/>
    <col min="6" max="6" width="3.5703125" bestFit="1" customWidth="1"/>
  </cols>
  <sheetData>
    <row r="1" spans="1:6" ht="15.75" thickBot="1" x14ac:dyDescent="0.3">
      <c r="A1" s="140" t="s">
        <v>261</v>
      </c>
      <c r="B1" s="141"/>
      <c r="C1" s="140" t="s">
        <v>262</v>
      </c>
      <c r="D1" s="141"/>
      <c r="E1" s="142" t="s">
        <v>552</v>
      </c>
      <c r="F1" s="143"/>
    </row>
    <row r="2" spans="1:6" x14ac:dyDescent="0.25">
      <c r="A2" s="129">
        <v>2.5000000000000001E-4</v>
      </c>
      <c r="B2" s="129">
        <v>1.8000000000000001E-4</v>
      </c>
      <c r="C2" s="129">
        <v>5.0000000000000002E-5</v>
      </c>
      <c r="D2" s="129">
        <v>6.9999999999999994E-5</v>
      </c>
      <c r="E2" s="129">
        <v>5.0000000000000002E-5</v>
      </c>
      <c r="F2" s="130">
        <v>0.01</v>
      </c>
    </row>
  </sheetData>
  <mergeCells count="3">
    <mergeCell ref="C1:D1"/>
    <mergeCell ref="A1:B1"/>
    <mergeCell ref="E1:F1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E615"/>
  <sheetViews>
    <sheetView tabSelected="1" topLeftCell="F1" workbookViewId="0">
      <pane ySplit="1" topLeftCell="A104" activePane="bottomLeft" state="frozen"/>
      <selection activeCell="Q108" sqref="Q108"/>
      <selection pane="bottomLeft" activeCell="N20" sqref="N20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22" bestFit="1" customWidth="1"/>
    <col min="6" max="6" width="11.7109375" style="22" bestFit="1" customWidth="1"/>
    <col min="7" max="7" width="17.85546875" style="22" bestFit="1" customWidth="1"/>
    <col min="8" max="8" width="13.42578125" style="22" bestFit="1" customWidth="1"/>
    <col min="9" max="9" width="11.42578125" style="22" bestFit="1" customWidth="1"/>
    <col min="10" max="10" width="7.140625" style="22" bestFit="1" customWidth="1"/>
    <col min="11" max="11" width="7.140625" style="22" customWidth="1"/>
    <col min="12" max="12" width="11.7109375" style="22" bestFit="1" customWidth="1"/>
    <col min="13" max="13" width="3.140625" style="12" customWidth="1"/>
    <col min="14" max="15" width="8.5703125" bestFit="1" customWidth="1"/>
    <col min="16" max="17" width="8.85546875"/>
    <col min="18" max="18" width="10.28515625" style="22" customWidth="1"/>
    <col min="19" max="19" width="13.85546875" style="22" bestFit="1" customWidth="1"/>
    <col min="20" max="20" width="18" style="22" bestFit="1" customWidth="1"/>
    <col min="21" max="21" width="13.5703125" style="22" bestFit="1" customWidth="1"/>
    <col min="22" max="22" width="11.5703125" style="22" bestFit="1" customWidth="1"/>
    <col min="23" max="23" width="7.140625" style="22" bestFit="1" customWidth="1"/>
    <col min="24" max="24" width="9.28515625" style="22" bestFit="1" customWidth="1"/>
    <col min="25" max="25" width="12.7109375" style="22" bestFit="1" customWidth="1"/>
    <col min="26" max="26" width="12.42578125" style="22" bestFit="1" customWidth="1"/>
    <col min="27" max="27" width="2.7109375" style="22" bestFit="1" customWidth="1"/>
    <col min="28" max="28" width="26.140625" style="22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255</v>
      </c>
      <c r="B1" t="s">
        <v>256</v>
      </c>
      <c r="C1" t="s">
        <v>257</v>
      </c>
      <c r="D1" t="s">
        <v>258</v>
      </c>
      <c r="E1" s="22" t="s">
        <v>259</v>
      </c>
      <c r="F1" s="22" t="s">
        <v>260</v>
      </c>
      <c r="G1" s="22" t="s">
        <v>261</v>
      </c>
      <c r="H1" s="22" t="s">
        <v>262</v>
      </c>
      <c r="I1" s="22" t="s">
        <v>263</v>
      </c>
      <c r="J1" s="22" t="s">
        <v>264</v>
      </c>
      <c r="K1" s="22" t="s">
        <v>265</v>
      </c>
      <c r="L1" s="22" t="s">
        <v>266</v>
      </c>
      <c r="AC1" s="13"/>
    </row>
    <row r="2" spans="1:29" s="47" customFormat="1" x14ac:dyDescent="0.25">
      <c r="A2" s="26">
        <v>39757</v>
      </c>
      <c r="B2" s="47">
        <v>1662</v>
      </c>
      <c r="C2" s="47" t="s">
        <v>267</v>
      </c>
      <c r="D2" s="47">
        <v>100</v>
      </c>
      <c r="E2" s="23">
        <v>15.34</v>
      </c>
      <c r="F2" s="23">
        <f>D2*E2</f>
        <v>1534</v>
      </c>
      <c r="G2" s="23">
        <f>0.74*(F2/SUM(F2:F4))</f>
        <v>0.12177215189873417</v>
      </c>
      <c r="H2" s="23">
        <f>2.51*(F2/SUM(F2:F4))</f>
        <v>0.41303797468354425</v>
      </c>
      <c r="I2" s="23">
        <v>15.99</v>
      </c>
      <c r="J2" s="23">
        <v>0.8</v>
      </c>
      <c r="K2" s="23"/>
      <c r="L2" s="23">
        <f>F2+G2+H2+I2</f>
        <v>1550.5248101265822</v>
      </c>
      <c r="M2" s="70"/>
      <c r="N2" s="137">
        <f>G2/F2</f>
        <v>7.9382106844024886E-5</v>
      </c>
      <c r="O2" s="137">
        <f>H2/F2</f>
        <v>2.6925552456554382E-4</v>
      </c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</row>
    <row r="3" spans="1:29" s="47" customFormat="1" x14ac:dyDescent="0.25">
      <c r="A3" s="26">
        <v>39757</v>
      </c>
      <c r="B3" s="47">
        <v>1662</v>
      </c>
      <c r="C3" s="47" t="s">
        <v>268</v>
      </c>
      <c r="D3" s="47">
        <v>200</v>
      </c>
      <c r="E3" s="23">
        <v>25.19</v>
      </c>
      <c r="F3" s="23">
        <f>D3*E3</f>
        <v>5038</v>
      </c>
      <c r="G3" s="23">
        <f>0.74*(F3/SUM(F2:F4))</f>
        <v>0.39992705428019737</v>
      </c>
      <c r="H3" s="23">
        <f>2.51*(F3/SUM(F2:F4))</f>
        <v>1.3565093327612099</v>
      </c>
      <c r="I3" s="23">
        <v>15.99</v>
      </c>
      <c r="J3" s="23">
        <v>0.8</v>
      </c>
      <c r="K3" s="23"/>
      <c r="L3" s="23">
        <f>F3+G3+H3+I3</f>
        <v>5055.7464363870413</v>
      </c>
      <c r="M3" s="70"/>
      <c r="N3" s="137">
        <f t="shared" ref="N3:N66" si="0">G3/F3</f>
        <v>7.9382106844024886E-5</v>
      </c>
      <c r="O3" s="137">
        <f t="shared" ref="O3:O66" si="1">H3/F3</f>
        <v>2.6925552456554382E-4</v>
      </c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</row>
    <row r="4" spans="1:29" s="47" customFormat="1" x14ac:dyDescent="0.25">
      <c r="A4" s="26">
        <v>39757</v>
      </c>
      <c r="B4" s="47">
        <v>1662</v>
      </c>
      <c r="C4" s="47" t="s">
        <v>269</v>
      </c>
      <c r="D4" s="47">
        <v>100</v>
      </c>
      <c r="E4" s="23">
        <v>27.5</v>
      </c>
      <c r="F4" s="23">
        <f>D4*E4</f>
        <v>2750</v>
      </c>
      <c r="G4" s="23">
        <f>0.74*(F4/SUM(F2:F4))</f>
        <v>0.21830079382106843</v>
      </c>
      <c r="H4" s="23">
        <f>2.51*(F4/SUM(F2:F4))</f>
        <v>0.74045269255524548</v>
      </c>
      <c r="I4" s="23">
        <v>15.99</v>
      </c>
      <c r="J4" s="23">
        <v>0.8</v>
      </c>
      <c r="K4" s="23"/>
      <c r="L4" s="23">
        <f>F4+G4+H4+I4</f>
        <v>2766.9487534863761</v>
      </c>
      <c r="M4" s="70"/>
      <c r="N4" s="137">
        <f t="shared" si="0"/>
        <v>7.9382106844024886E-5</v>
      </c>
      <c r="O4" s="137">
        <f t="shared" si="1"/>
        <v>2.6925552456554382E-4</v>
      </c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</row>
    <row r="5" spans="1:29" s="47" customFormat="1" x14ac:dyDescent="0.25">
      <c r="A5" s="26"/>
      <c r="E5" s="23"/>
      <c r="F5" s="19">
        <f>SUM(F2:F4)</f>
        <v>9322</v>
      </c>
      <c r="G5" s="19">
        <f>SUM(G2:G4)</f>
        <v>0.74</v>
      </c>
      <c r="H5" s="19">
        <f>SUM(H2:H4)</f>
        <v>2.5099999999999998</v>
      </c>
      <c r="I5" s="19">
        <f>SUM(I2:I4)</f>
        <v>47.97</v>
      </c>
      <c r="J5" s="19">
        <f>SUM(J2:J4)</f>
        <v>2.4000000000000004</v>
      </c>
      <c r="K5" s="19"/>
      <c r="L5" s="19">
        <f>SUM(L2:L4)</f>
        <v>9373.2199999999993</v>
      </c>
      <c r="M5" s="70"/>
      <c r="N5" s="137"/>
      <c r="O5" s="137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</row>
    <row r="6" spans="1:29" s="47" customFormat="1" x14ac:dyDescent="0.25">
      <c r="A6" s="26"/>
      <c r="E6" s="23"/>
      <c r="F6" s="19"/>
      <c r="G6" s="19"/>
      <c r="H6" s="19"/>
      <c r="I6" s="19"/>
      <c r="J6" s="19"/>
      <c r="K6" s="19"/>
      <c r="L6" s="19"/>
      <c r="M6" s="70"/>
      <c r="N6" s="137"/>
      <c r="O6" s="137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</row>
    <row r="7" spans="1:29" s="47" customFormat="1" x14ac:dyDescent="0.25">
      <c r="A7" s="26">
        <v>39758</v>
      </c>
      <c r="B7" s="47">
        <v>1344</v>
      </c>
      <c r="C7" s="47" t="s">
        <v>270</v>
      </c>
      <c r="D7" s="47">
        <v>100</v>
      </c>
      <c r="E7" s="23">
        <v>2.68</v>
      </c>
      <c r="F7" s="23">
        <f>D7*E7</f>
        <v>268</v>
      </c>
      <c r="G7" s="23">
        <f>0.2*(F7/SUM(F7:F9))</f>
        <v>2.0962064919827925E-2</v>
      </c>
      <c r="H7" s="23">
        <f>0.69*(F7/SUM(F7:F9))</f>
        <v>7.2319123973406341E-2</v>
      </c>
      <c r="I7" s="23">
        <v>15.99</v>
      </c>
      <c r="J7" s="23">
        <v>0.8</v>
      </c>
      <c r="K7" s="23"/>
      <c r="L7" s="23">
        <f>F7+G7+H7+I7</f>
        <v>284.08328118889324</v>
      </c>
      <c r="M7" s="70"/>
      <c r="N7" s="137">
        <f t="shared" si="0"/>
        <v>7.8216660148611663E-5</v>
      </c>
      <c r="O7" s="137">
        <f t="shared" si="1"/>
        <v>2.6984747751271023E-4</v>
      </c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</row>
    <row r="8" spans="1:29" s="47" customFormat="1" x14ac:dyDescent="0.25">
      <c r="A8" s="26">
        <v>39758</v>
      </c>
      <c r="B8" s="47">
        <v>1344</v>
      </c>
      <c r="C8" s="47" t="s">
        <v>271</v>
      </c>
      <c r="D8" s="47">
        <v>100</v>
      </c>
      <c r="E8" s="23">
        <v>15.2</v>
      </c>
      <c r="F8" s="23">
        <f>D8*E8</f>
        <v>1520</v>
      </c>
      <c r="G8" s="23">
        <f>0.2*(F8/SUM(F7:F9))</f>
        <v>0.11888932342588972</v>
      </c>
      <c r="H8" s="23">
        <f>0.69*(F8/SUM(F7:F9))</f>
        <v>0.41016816581931947</v>
      </c>
      <c r="I8" s="23">
        <v>15.99</v>
      </c>
      <c r="J8" s="23">
        <v>0.8</v>
      </c>
      <c r="K8" s="23"/>
      <c r="L8" s="23">
        <f>F8+G8+H8+I8</f>
        <v>1536.5190574892454</v>
      </c>
      <c r="M8" s="70"/>
      <c r="N8" s="137">
        <f t="shared" si="0"/>
        <v>7.8216660148611663E-5</v>
      </c>
      <c r="O8" s="137">
        <f t="shared" si="1"/>
        <v>2.6984747751271018E-4</v>
      </c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</row>
    <row r="9" spans="1:29" s="47" customFormat="1" x14ac:dyDescent="0.25">
      <c r="A9" s="26">
        <v>39758</v>
      </c>
      <c r="B9" s="47">
        <v>1344</v>
      </c>
      <c r="C9" s="47" t="s">
        <v>272</v>
      </c>
      <c r="D9" s="47">
        <v>100</v>
      </c>
      <c r="E9" s="23">
        <v>7.69</v>
      </c>
      <c r="F9" s="23">
        <f>D9*E9</f>
        <v>769</v>
      </c>
      <c r="G9" s="23">
        <f>0.2*(F9/SUM(F7:F9))</f>
        <v>6.0148611654282362E-2</v>
      </c>
      <c r="H9" s="23">
        <f>0.69*(F9/SUM(F7:F9))</f>
        <v>0.20751271020727413</v>
      </c>
      <c r="I9" s="23">
        <v>15.99</v>
      </c>
      <c r="J9" s="23">
        <v>0.8</v>
      </c>
      <c r="K9" s="23"/>
      <c r="L9" s="23">
        <f>F9+G9+H9+I9</f>
        <v>785.25766132186163</v>
      </c>
      <c r="M9" s="70"/>
      <c r="N9" s="137">
        <f t="shared" si="0"/>
        <v>7.8216660148611649E-5</v>
      </c>
      <c r="O9" s="137">
        <f t="shared" si="1"/>
        <v>2.6984747751271018E-4</v>
      </c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</row>
    <row r="10" spans="1:29" s="47" customFormat="1" x14ac:dyDescent="0.25">
      <c r="A10" s="26"/>
      <c r="E10" s="23"/>
      <c r="F10" s="19">
        <f>SUM(F7:F9)</f>
        <v>2557</v>
      </c>
      <c r="G10" s="19">
        <f>SUM(G7:G9)</f>
        <v>0.2</v>
      </c>
      <c r="H10" s="19">
        <f>SUM(H7:H9)</f>
        <v>0.69</v>
      </c>
      <c r="I10" s="19">
        <f>SUM(I7:I9)</f>
        <v>47.97</v>
      </c>
      <c r="J10" s="19">
        <f>SUM(J7:J9)</f>
        <v>2.4000000000000004</v>
      </c>
      <c r="K10" s="19"/>
      <c r="L10" s="19">
        <f>SUM(L7:L9)</f>
        <v>2605.86</v>
      </c>
      <c r="M10" s="70"/>
      <c r="N10" s="137"/>
      <c r="O10" s="137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</row>
    <row r="11" spans="1:29" s="47" customFormat="1" x14ac:dyDescent="0.25">
      <c r="A11" s="26"/>
      <c r="E11" s="23"/>
      <c r="F11" s="19"/>
      <c r="G11" s="19"/>
      <c r="H11" s="19"/>
      <c r="I11" s="19"/>
      <c r="J11" s="19"/>
      <c r="K11" s="19"/>
      <c r="L11" s="19"/>
      <c r="M11" s="70"/>
      <c r="N11" s="137"/>
      <c r="O11" s="137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</row>
    <row r="12" spans="1:29" s="72" customFormat="1" x14ac:dyDescent="0.25">
      <c r="A12" s="71">
        <v>39849</v>
      </c>
      <c r="B12" s="72">
        <v>1319</v>
      </c>
      <c r="C12" s="72" t="s">
        <v>269</v>
      </c>
      <c r="D12" s="72">
        <v>100</v>
      </c>
      <c r="E12" s="73">
        <v>31.5</v>
      </c>
      <c r="F12" s="73">
        <f>D12*E12</f>
        <v>3150</v>
      </c>
      <c r="G12" s="73">
        <v>0.25</v>
      </c>
      <c r="H12" s="73">
        <v>0.85</v>
      </c>
      <c r="I12" s="73">
        <v>15.99</v>
      </c>
      <c r="J12" s="73">
        <v>0.8</v>
      </c>
      <c r="K12" s="73">
        <v>0</v>
      </c>
      <c r="L12" s="73">
        <f>F12-G12-H12-I12-K12</f>
        <v>3132.9100000000003</v>
      </c>
      <c r="M12" s="70"/>
      <c r="N12" s="137">
        <f t="shared" si="0"/>
        <v>7.9365079365079365E-5</v>
      </c>
      <c r="O12" s="137">
        <f t="shared" si="1"/>
        <v>2.6984126984126982E-4</v>
      </c>
      <c r="R12" s="73"/>
      <c r="S12" s="73"/>
      <c r="T12" s="73"/>
      <c r="U12" s="73"/>
      <c r="V12" s="73"/>
      <c r="W12" s="73"/>
      <c r="X12" s="73"/>
      <c r="Y12" s="73"/>
      <c r="Z12" s="73"/>
      <c r="AA12" s="73"/>
      <c r="AB12" s="73"/>
    </row>
    <row r="13" spans="1:29" x14ac:dyDescent="0.25">
      <c r="A13" s="10"/>
      <c r="M13" s="70"/>
      <c r="N13" s="137"/>
      <c r="O13" s="137"/>
    </row>
    <row r="14" spans="1:29" s="72" customFormat="1" x14ac:dyDescent="0.25">
      <c r="A14" s="71">
        <v>39853</v>
      </c>
      <c r="B14" s="72">
        <v>1362</v>
      </c>
      <c r="C14" s="72" t="s">
        <v>267</v>
      </c>
      <c r="D14" s="72">
        <v>100</v>
      </c>
      <c r="E14" s="73">
        <v>17.7</v>
      </c>
      <c r="F14" s="73">
        <f>D14*E14</f>
        <v>1770</v>
      </c>
      <c r="G14" s="73">
        <v>0.14000000000000001</v>
      </c>
      <c r="H14" s="73">
        <v>0.47</v>
      </c>
      <c r="I14" s="73">
        <v>15.99</v>
      </c>
      <c r="J14" s="73">
        <v>0.8</v>
      </c>
      <c r="K14" s="73">
        <v>0</v>
      </c>
      <c r="L14" s="73">
        <f>F14-G14-H14-I14-K14</f>
        <v>1753.3999999999999</v>
      </c>
      <c r="M14" s="70"/>
      <c r="N14" s="137">
        <f t="shared" si="0"/>
        <v>7.9096045197740126E-5</v>
      </c>
      <c r="O14" s="137">
        <f t="shared" si="1"/>
        <v>2.6553672316384177E-4</v>
      </c>
      <c r="R14" s="73"/>
      <c r="S14" s="73"/>
      <c r="T14" s="73"/>
      <c r="U14" s="73"/>
      <c r="V14" s="73"/>
      <c r="W14" s="73"/>
      <c r="X14" s="73"/>
      <c r="Y14" s="73"/>
      <c r="Z14" s="73"/>
      <c r="AA14" s="73"/>
      <c r="AB14" s="73"/>
    </row>
    <row r="15" spans="1:29" x14ac:dyDescent="0.25">
      <c r="A15" s="10"/>
      <c r="M15" s="70"/>
      <c r="N15" s="137"/>
      <c r="O15" s="137"/>
    </row>
    <row r="16" spans="1:29" s="47" customFormat="1" x14ac:dyDescent="0.25">
      <c r="A16" s="26">
        <v>39854</v>
      </c>
      <c r="B16" s="47">
        <v>1368</v>
      </c>
      <c r="C16" s="47" t="s">
        <v>273</v>
      </c>
      <c r="D16" s="47">
        <v>500</v>
      </c>
      <c r="E16" s="23">
        <v>7.23</v>
      </c>
      <c r="F16" s="23">
        <f>D16*E16</f>
        <v>3615</v>
      </c>
      <c r="G16" s="23">
        <f>0.38*(F16/SUM(F16:F17))</f>
        <v>0.28660546630502814</v>
      </c>
      <c r="H16" s="23">
        <f>1.29*(F16/SUM(F16:F17))</f>
        <v>0.97295013561443777</v>
      </c>
      <c r="I16" s="23">
        <v>15.99</v>
      </c>
      <c r="J16" s="23">
        <v>0.8</v>
      </c>
      <c r="K16" s="23"/>
      <c r="L16" s="23">
        <f>F16+G16+H16+I16</f>
        <v>3632.2495556019194</v>
      </c>
      <c r="M16" s="70"/>
      <c r="N16" s="137">
        <f t="shared" si="0"/>
        <v>7.9282286668057582E-5</v>
      </c>
      <c r="O16" s="137">
        <f t="shared" si="1"/>
        <v>2.69142499478406E-4</v>
      </c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</row>
    <row r="17" spans="1:28" s="47" customFormat="1" x14ac:dyDescent="0.25">
      <c r="A17" s="26">
        <v>39854</v>
      </c>
      <c r="B17" s="47">
        <v>1368</v>
      </c>
      <c r="C17" s="47" t="s">
        <v>274</v>
      </c>
      <c r="D17" s="47">
        <v>200</v>
      </c>
      <c r="E17" s="23">
        <v>5.89</v>
      </c>
      <c r="F17" s="23">
        <f>D17*E17</f>
        <v>1178</v>
      </c>
      <c r="G17" s="23">
        <f>0.38*(F17/SUM(F16:F17))</f>
        <v>9.3394533694971832E-2</v>
      </c>
      <c r="H17" s="23">
        <f>1.29*(F17/SUM(F16:F17))</f>
        <v>0.31704986438556226</v>
      </c>
      <c r="I17" s="23">
        <v>15.99</v>
      </c>
      <c r="J17" s="23">
        <v>0.8</v>
      </c>
      <c r="K17" s="23"/>
      <c r="L17" s="23">
        <f>F17+G17+H17+I17</f>
        <v>1194.4004443980805</v>
      </c>
      <c r="M17" s="70"/>
      <c r="N17" s="137">
        <f t="shared" si="0"/>
        <v>7.9282286668057582E-5</v>
      </c>
      <c r="O17" s="137">
        <f t="shared" si="1"/>
        <v>2.69142499478406E-4</v>
      </c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</row>
    <row r="18" spans="1:28" s="47" customFormat="1" x14ac:dyDescent="0.25">
      <c r="A18" s="26"/>
      <c r="E18" s="23"/>
      <c r="F18" s="19">
        <f>SUM(F16:F17)</f>
        <v>4793</v>
      </c>
      <c r="G18" s="19">
        <f>SUM(G16:G17)</f>
        <v>0.38</v>
      </c>
      <c r="H18" s="19">
        <f>SUM(H16:H17)</f>
        <v>1.29</v>
      </c>
      <c r="I18" s="19">
        <f>SUM(I16:I17)</f>
        <v>31.98</v>
      </c>
      <c r="J18" s="19">
        <f>SUM(J16:J17)</f>
        <v>1.6</v>
      </c>
      <c r="K18" s="19"/>
      <c r="L18" s="19">
        <f>SUM(L16:L17)</f>
        <v>4826.6499999999996</v>
      </c>
      <c r="M18" s="70"/>
      <c r="N18" s="137"/>
      <c r="O18" s="137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</row>
    <row r="19" spans="1:28" s="47" customFormat="1" x14ac:dyDescent="0.25">
      <c r="A19" s="26"/>
      <c r="E19" s="23"/>
      <c r="F19" s="19"/>
      <c r="G19" s="19"/>
      <c r="H19" s="19"/>
      <c r="I19" s="19"/>
      <c r="J19" s="19"/>
      <c r="K19" s="19"/>
      <c r="L19" s="19"/>
      <c r="M19" s="70"/>
      <c r="N19" s="137"/>
      <c r="O19" s="137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</row>
    <row r="20" spans="1:28" s="47" customFormat="1" x14ac:dyDescent="0.25">
      <c r="A20" s="26">
        <v>39869</v>
      </c>
      <c r="B20" s="47">
        <v>903</v>
      </c>
      <c r="C20" s="47" t="s">
        <v>267</v>
      </c>
      <c r="D20" s="47">
        <v>200</v>
      </c>
      <c r="E20" s="23">
        <v>12.47</v>
      </c>
      <c r="F20" s="23">
        <f>D20*E20</f>
        <v>2494</v>
      </c>
      <c r="G20" s="23">
        <f>0.82*(F20/SUM(F20:F22))</f>
        <v>0.15811659192825112</v>
      </c>
      <c r="H20" s="23">
        <f>2.65*(F20/SUM(F20:F22))</f>
        <v>0.51098654708520175</v>
      </c>
      <c r="I20" s="23">
        <v>15.99</v>
      </c>
      <c r="J20" s="23">
        <v>0.8</v>
      </c>
      <c r="K20" s="23"/>
      <c r="L20" s="23">
        <f>F20+G20+H20+I20</f>
        <v>2510.6591031390135</v>
      </c>
      <c r="M20" s="70"/>
      <c r="N20" s="139">
        <f t="shared" si="0"/>
        <v>6.3398793876604298E-5</v>
      </c>
      <c r="O20" s="139">
        <f t="shared" si="1"/>
        <v>2.0488634606463581E-4</v>
      </c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</row>
    <row r="21" spans="1:28" s="47" customFormat="1" x14ac:dyDescent="0.25">
      <c r="A21" s="26">
        <v>39869</v>
      </c>
      <c r="B21" s="47">
        <v>903</v>
      </c>
      <c r="C21" s="47" t="s">
        <v>268</v>
      </c>
      <c r="D21" s="47">
        <v>200</v>
      </c>
      <c r="E21" s="23">
        <v>26.1</v>
      </c>
      <c r="F21" s="23">
        <f>D21*E21</f>
        <v>5220</v>
      </c>
      <c r="G21" s="23">
        <f>0.82*(F21/SUM(F20:F22))</f>
        <v>0.33094170403587442</v>
      </c>
      <c r="H21" s="23">
        <f>2.65*(F21/SUM(F20:F22))</f>
        <v>1.069506726457399</v>
      </c>
      <c r="I21" s="23">
        <v>15.99</v>
      </c>
      <c r="J21" s="23">
        <v>0.8</v>
      </c>
      <c r="K21" s="23"/>
      <c r="L21" s="23">
        <f>F21+G21+H21+I21</f>
        <v>5237.3904484304931</v>
      </c>
      <c r="M21" s="70"/>
      <c r="N21" s="139">
        <f t="shared" si="0"/>
        <v>6.3398793876604298E-5</v>
      </c>
      <c r="O21" s="139">
        <f t="shared" si="1"/>
        <v>2.0488634606463581E-4</v>
      </c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</row>
    <row r="22" spans="1:28" s="72" customFormat="1" x14ac:dyDescent="0.25">
      <c r="A22" s="71">
        <v>39869</v>
      </c>
      <c r="B22" s="72">
        <v>903</v>
      </c>
      <c r="C22" s="72" t="s">
        <v>268</v>
      </c>
      <c r="D22" s="72">
        <v>200</v>
      </c>
      <c r="E22" s="73">
        <v>26.1</v>
      </c>
      <c r="F22" s="73">
        <f>D22*E22</f>
        <v>5220</v>
      </c>
      <c r="G22" s="73">
        <f>0.82*(F22/SUM(F20:F22))</f>
        <v>0.33094170403587442</v>
      </c>
      <c r="H22" s="73">
        <f>2.65*(F22/SUM(F20:F22))</f>
        <v>1.069506726457399</v>
      </c>
      <c r="I22" s="73">
        <v>15.99</v>
      </c>
      <c r="J22" s="73">
        <v>0.8</v>
      </c>
      <c r="K22" s="73">
        <v>0</v>
      </c>
      <c r="L22" s="73">
        <f>F22-G22-H22-I22-K22</f>
        <v>5202.6095515695069</v>
      </c>
      <c r="M22" s="70"/>
      <c r="N22" s="139">
        <f t="shared" si="0"/>
        <v>6.3398793876604298E-5</v>
      </c>
      <c r="O22" s="139">
        <f t="shared" si="1"/>
        <v>2.0488634606463581E-4</v>
      </c>
      <c r="R22" s="73"/>
      <c r="S22" s="73"/>
      <c r="T22" s="73"/>
      <c r="U22" s="73"/>
      <c r="V22" s="73"/>
      <c r="W22" s="73"/>
      <c r="X22" s="73"/>
      <c r="Y22" s="73"/>
      <c r="Z22" s="73"/>
      <c r="AA22" s="73"/>
      <c r="AB22" s="73"/>
    </row>
    <row r="23" spans="1:28" s="47" customFormat="1" x14ac:dyDescent="0.25">
      <c r="A23" s="26"/>
      <c r="E23" s="23"/>
      <c r="F23" s="19">
        <f>SUM(F20:F21)-F22</f>
        <v>2494</v>
      </c>
      <c r="G23" s="19">
        <f>SUM(G20:G22)</f>
        <v>0.82</v>
      </c>
      <c r="H23" s="19">
        <f>SUM(H20:H22)</f>
        <v>2.6499999999999995</v>
      </c>
      <c r="I23" s="19">
        <f>SUM(I20:I22)</f>
        <v>47.97</v>
      </c>
      <c r="J23" s="19">
        <f>SUM(J20:J22)</f>
        <v>2.4000000000000004</v>
      </c>
      <c r="K23" s="19"/>
      <c r="L23" s="19">
        <f>SUM(L20:L21)-L22</f>
        <v>2545.4399999999996</v>
      </c>
      <c r="M23" s="70"/>
      <c r="N23" s="137"/>
      <c r="O23" s="137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</row>
    <row r="24" spans="1:28" s="47" customFormat="1" x14ac:dyDescent="0.25">
      <c r="A24" s="26"/>
      <c r="E24" s="23"/>
      <c r="F24" s="19"/>
      <c r="G24" s="19"/>
      <c r="H24" s="19"/>
      <c r="I24" s="19"/>
      <c r="J24" s="19"/>
      <c r="K24" s="19"/>
      <c r="L24" s="19"/>
      <c r="M24" s="70"/>
      <c r="N24" s="137"/>
      <c r="O24" s="137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</row>
    <row r="25" spans="1:28" s="72" customFormat="1" x14ac:dyDescent="0.25">
      <c r="A25" s="71">
        <v>39885</v>
      </c>
      <c r="B25" s="72">
        <v>1104</v>
      </c>
      <c r="C25" s="72" t="s">
        <v>274</v>
      </c>
      <c r="D25" s="72">
        <v>200</v>
      </c>
      <c r="E25" s="73">
        <v>6.6</v>
      </c>
      <c r="F25" s="73">
        <f>D25*E25</f>
        <v>1320</v>
      </c>
      <c r="G25" s="73">
        <v>0.1</v>
      </c>
      <c r="H25" s="73">
        <v>0.35</v>
      </c>
      <c r="I25" s="73">
        <v>15.99</v>
      </c>
      <c r="J25" s="73">
        <v>0.8</v>
      </c>
      <c r="K25" s="73">
        <v>0</v>
      </c>
      <c r="L25" s="73">
        <f>F25-G25-H25-I25-K25</f>
        <v>1303.5600000000002</v>
      </c>
      <c r="M25" s="70"/>
      <c r="N25" s="137">
        <f t="shared" si="0"/>
        <v>7.5757575757575758E-5</v>
      </c>
      <c r="O25" s="137">
        <f t="shared" si="1"/>
        <v>2.6515151515151512E-4</v>
      </c>
      <c r="R25" s="73"/>
      <c r="S25" s="73"/>
      <c r="T25" s="73"/>
      <c r="U25" s="73"/>
      <c r="V25" s="73"/>
      <c r="W25" s="73"/>
      <c r="X25" s="73"/>
      <c r="Y25" s="73"/>
      <c r="Z25" s="73"/>
      <c r="AA25" s="73"/>
      <c r="AB25" s="73"/>
    </row>
    <row r="26" spans="1:28" x14ac:dyDescent="0.25">
      <c r="A26" s="10"/>
      <c r="M26" s="70"/>
      <c r="N26" s="137"/>
      <c r="O26" s="137"/>
    </row>
    <row r="27" spans="1:28" s="72" customFormat="1" x14ac:dyDescent="0.25">
      <c r="A27" s="71">
        <v>39892</v>
      </c>
      <c r="B27" s="72">
        <v>1029</v>
      </c>
      <c r="C27" s="72" t="s">
        <v>268</v>
      </c>
      <c r="D27" s="72">
        <v>200</v>
      </c>
      <c r="E27" s="73">
        <v>29.61</v>
      </c>
      <c r="F27" s="73">
        <f>D27*E27</f>
        <v>5922</v>
      </c>
      <c r="G27" s="73">
        <v>0.47</v>
      </c>
      <c r="H27" s="73">
        <v>1.59</v>
      </c>
      <c r="I27" s="73">
        <v>15.99</v>
      </c>
      <c r="J27" s="73">
        <v>0.8</v>
      </c>
      <c r="K27" s="73">
        <v>0</v>
      </c>
      <c r="L27" s="73">
        <f>F27-G27-H27-I27-K27</f>
        <v>5903.95</v>
      </c>
      <c r="M27" s="70"/>
      <c r="N27" s="137">
        <f t="shared" si="0"/>
        <v>7.9365079365079365E-5</v>
      </c>
      <c r="O27" s="137">
        <f t="shared" si="1"/>
        <v>2.6849037487335363E-4</v>
      </c>
      <c r="R27" s="73"/>
      <c r="S27" s="73"/>
      <c r="T27" s="73"/>
      <c r="U27" s="73"/>
      <c r="V27" s="73"/>
      <c r="W27" s="73"/>
      <c r="X27" s="73"/>
      <c r="Y27" s="73"/>
      <c r="Z27" s="73"/>
      <c r="AA27" s="73"/>
      <c r="AB27" s="73"/>
    </row>
    <row r="28" spans="1:28" x14ac:dyDescent="0.25">
      <c r="A28" s="10"/>
      <c r="M28" s="70"/>
      <c r="N28" s="137"/>
      <c r="O28" s="137"/>
    </row>
    <row r="29" spans="1:28" s="47" customFormat="1" x14ac:dyDescent="0.25">
      <c r="A29" s="26">
        <v>39904</v>
      </c>
      <c r="B29" s="47">
        <v>1112</v>
      </c>
      <c r="C29" s="47" t="s">
        <v>275</v>
      </c>
      <c r="D29" s="47">
        <v>100</v>
      </c>
      <c r="E29" s="23">
        <v>25.67</v>
      </c>
      <c r="F29" s="23">
        <f>D29*E29</f>
        <v>2567</v>
      </c>
      <c r="G29" s="23">
        <v>0.2</v>
      </c>
      <c r="H29" s="23">
        <v>0.69</v>
      </c>
      <c r="I29" s="23">
        <v>15.99</v>
      </c>
      <c r="J29" s="23">
        <v>0.8</v>
      </c>
      <c r="K29" s="23"/>
      <c r="L29" s="23">
        <f>F29+G29+H29+I29</f>
        <v>2583.8799999999997</v>
      </c>
      <c r="M29" s="70"/>
      <c r="N29" s="137">
        <f t="shared" si="0"/>
        <v>7.7911959485781076E-5</v>
      </c>
      <c r="O29" s="137">
        <f t="shared" si="1"/>
        <v>2.6879626022594465E-4</v>
      </c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</row>
    <row r="30" spans="1:28" x14ac:dyDescent="0.25">
      <c r="A30" s="10"/>
      <c r="M30" s="70"/>
      <c r="N30" s="137"/>
      <c r="O30" s="137"/>
    </row>
    <row r="31" spans="1:28" s="72" customFormat="1" x14ac:dyDescent="0.25">
      <c r="A31" s="71">
        <v>39905</v>
      </c>
      <c r="B31" s="72">
        <v>1782</v>
      </c>
      <c r="C31" s="72" t="s">
        <v>271</v>
      </c>
      <c r="D31" s="72">
        <v>100</v>
      </c>
      <c r="E31" s="73">
        <v>18.600000000000001</v>
      </c>
      <c r="F31" s="73">
        <f>D31*E31</f>
        <v>1860.0000000000002</v>
      </c>
      <c r="G31" s="73">
        <v>0.14000000000000001</v>
      </c>
      <c r="H31" s="73">
        <v>0.5</v>
      </c>
      <c r="I31" s="73">
        <v>15.99</v>
      </c>
      <c r="J31" s="73">
        <v>0.8</v>
      </c>
      <c r="K31" s="73">
        <v>0</v>
      </c>
      <c r="L31" s="73">
        <f>F31-G31-H31-I31-K31</f>
        <v>1843.3700000000001</v>
      </c>
      <c r="M31" s="70"/>
      <c r="N31" s="137">
        <f t="shared" si="0"/>
        <v>7.5268817204301067E-5</v>
      </c>
      <c r="O31" s="137">
        <f t="shared" si="1"/>
        <v>2.6881720430107521E-4</v>
      </c>
      <c r="R31" s="73"/>
      <c r="S31" s="73"/>
      <c r="T31" s="73"/>
      <c r="U31" s="73"/>
      <c r="V31" s="73"/>
      <c r="W31" s="73"/>
      <c r="X31" s="73"/>
      <c r="Y31" s="73"/>
      <c r="Z31" s="73"/>
      <c r="AA31" s="73"/>
      <c r="AB31" s="73"/>
    </row>
    <row r="32" spans="1:28" x14ac:dyDescent="0.25">
      <c r="A32" s="10"/>
      <c r="M32" s="70"/>
      <c r="N32" s="137"/>
      <c r="O32" s="137"/>
    </row>
    <row r="33" spans="1:28" s="72" customFormat="1" x14ac:dyDescent="0.25">
      <c r="A33" s="71">
        <v>39912</v>
      </c>
      <c r="B33" s="72">
        <v>1401</v>
      </c>
      <c r="C33" s="72" t="s">
        <v>273</v>
      </c>
      <c r="D33" s="72">
        <v>500</v>
      </c>
      <c r="E33" s="73">
        <v>8.58</v>
      </c>
      <c r="F33" s="73">
        <f>D33*E33</f>
        <v>4290</v>
      </c>
      <c r="G33" s="73">
        <f>0.57*(F33/SUM(F33:F34))</f>
        <v>0.33971936649069184</v>
      </c>
      <c r="H33" s="73">
        <f>1.94*(F33/SUM(F33:F34))</f>
        <v>1.1562378438455125</v>
      </c>
      <c r="I33" s="73">
        <v>15.99</v>
      </c>
      <c r="J33" s="73">
        <v>0.8</v>
      </c>
      <c r="K33" s="73">
        <v>0</v>
      </c>
      <c r="L33" s="73">
        <f>F33-G33-H33-I33-K33</f>
        <v>4272.514042789664</v>
      </c>
      <c r="M33" s="70"/>
      <c r="N33" s="137">
        <f t="shared" si="0"/>
        <v>7.9188663517643784E-5</v>
      </c>
      <c r="O33" s="137">
        <f t="shared" si="1"/>
        <v>2.6951931091969989E-4</v>
      </c>
      <c r="R33" s="73"/>
      <c r="S33" s="73"/>
      <c r="T33" s="73"/>
      <c r="U33" s="73"/>
      <c r="V33" s="73"/>
      <c r="W33" s="73"/>
      <c r="X33" s="73"/>
      <c r="Y33" s="73"/>
      <c r="Z33" s="73"/>
      <c r="AA33" s="73"/>
      <c r="AB33" s="73"/>
    </row>
    <row r="34" spans="1:28" s="72" customFormat="1" x14ac:dyDescent="0.25">
      <c r="A34" s="71">
        <v>39912</v>
      </c>
      <c r="B34" s="72">
        <v>1401</v>
      </c>
      <c r="C34" s="72" t="s">
        <v>267</v>
      </c>
      <c r="D34" s="72">
        <v>200</v>
      </c>
      <c r="E34" s="73">
        <v>14.54</v>
      </c>
      <c r="F34" s="73">
        <f>D34*E34</f>
        <v>2908</v>
      </c>
      <c r="G34" s="73">
        <f>0.57*(F34/SUM(F33:F34))</f>
        <v>0.23028063350930814</v>
      </c>
      <c r="H34" s="73">
        <f>1.94*(F34/SUM(F33:F34))</f>
        <v>0.78376215615448741</v>
      </c>
      <c r="I34" s="73">
        <v>15.99</v>
      </c>
      <c r="J34" s="73">
        <v>0.8</v>
      </c>
      <c r="K34" s="73">
        <v>0</v>
      </c>
      <c r="L34" s="73">
        <f>F34-G34-H34-I34-K34</f>
        <v>2890.9959572103367</v>
      </c>
      <c r="M34" s="70"/>
      <c r="N34" s="137">
        <f t="shared" si="0"/>
        <v>7.9188663517643784E-5</v>
      </c>
      <c r="O34" s="137">
        <f t="shared" si="1"/>
        <v>2.6951931091969994E-4</v>
      </c>
      <c r="R34" s="73"/>
      <c r="S34" s="73"/>
      <c r="T34" s="73"/>
      <c r="U34" s="73"/>
      <c r="V34" s="73"/>
      <c r="W34" s="73"/>
      <c r="X34" s="73"/>
      <c r="Y34" s="73"/>
      <c r="Z34" s="73"/>
      <c r="AA34" s="73"/>
      <c r="AB34" s="73"/>
    </row>
    <row r="35" spans="1:28" s="72" customFormat="1" x14ac:dyDescent="0.25">
      <c r="A35" s="71"/>
      <c r="E35" s="73"/>
      <c r="F35" s="74">
        <f>SUM(F33:F34)</f>
        <v>7198</v>
      </c>
      <c r="G35" s="74">
        <f>SUM(G33:G34)</f>
        <v>0.56999999999999995</v>
      </c>
      <c r="H35" s="74">
        <f>SUM(H33:H34)</f>
        <v>1.94</v>
      </c>
      <c r="I35" s="74">
        <f>SUM(I33:I34)</f>
        <v>31.98</v>
      </c>
      <c r="J35" s="74">
        <f>SUM(J33:J34)</f>
        <v>1.6</v>
      </c>
      <c r="K35" s="74"/>
      <c r="L35" s="74">
        <f>SUM(L33:L34)</f>
        <v>7163.51</v>
      </c>
      <c r="M35" s="70"/>
      <c r="N35" s="137"/>
      <c r="O35" s="137"/>
      <c r="R35" s="73"/>
      <c r="S35" s="73"/>
      <c r="T35" s="73"/>
      <c r="U35" s="73"/>
      <c r="V35" s="73"/>
      <c r="W35" s="73"/>
      <c r="X35" s="73"/>
      <c r="Y35" s="73"/>
      <c r="Z35" s="73"/>
      <c r="AA35" s="73"/>
      <c r="AB35" s="73"/>
    </row>
    <row r="36" spans="1:28" s="47" customFormat="1" x14ac:dyDescent="0.25">
      <c r="A36" s="26"/>
      <c r="E36" s="23"/>
      <c r="F36" s="19"/>
      <c r="G36" s="19"/>
      <c r="H36" s="19"/>
      <c r="I36" s="19"/>
      <c r="J36" s="19"/>
      <c r="K36" s="19"/>
      <c r="L36" s="19"/>
      <c r="M36" s="70"/>
      <c r="N36" s="137"/>
      <c r="O36" s="137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</row>
    <row r="37" spans="1:28" s="47" customFormat="1" x14ac:dyDescent="0.25">
      <c r="A37" s="26">
        <v>39927</v>
      </c>
      <c r="B37" s="47">
        <v>1455</v>
      </c>
      <c r="C37" s="47" t="s">
        <v>268</v>
      </c>
      <c r="D37" s="47">
        <v>200</v>
      </c>
      <c r="E37" s="23">
        <v>29.5</v>
      </c>
      <c r="F37" s="23">
        <f>D37*E37</f>
        <v>5900</v>
      </c>
      <c r="G37" s="23">
        <f>0.7*(F37/SUM(F37:F38))</f>
        <v>0.46931818181818175</v>
      </c>
      <c r="H37" s="23">
        <f>2.37*(F37/SUM(F37:F38))</f>
        <v>1.5889772727272726</v>
      </c>
      <c r="I37" s="23">
        <v>15.99</v>
      </c>
      <c r="J37" s="23">
        <v>0.8</v>
      </c>
      <c r="K37" s="23"/>
      <c r="L37" s="23">
        <f>F37+G37+H37+I37</f>
        <v>5918.048295454545</v>
      </c>
      <c r="M37" s="70"/>
      <c r="N37" s="137">
        <f t="shared" si="0"/>
        <v>7.9545454545454537E-5</v>
      </c>
      <c r="O37" s="137">
        <f t="shared" si="1"/>
        <v>2.6931818181818182E-4</v>
      </c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</row>
    <row r="38" spans="1:28" s="72" customFormat="1" x14ac:dyDescent="0.25">
      <c r="A38" s="71">
        <v>39927</v>
      </c>
      <c r="B38" s="72">
        <v>1455</v>
      </c>
      <c r="C38" s="72" t="s">
        <v>275</v>
      </c>
      <c r="D38" s="72">
        <v>100</v>
      </c>
      <c r="E38" s="73">
        <v>29</v>
      </c>
      <c r="F38" s="73">
        <f>D38*E38</f>
        <v>2900</v>
      </c>
      <c r="G38" s="73">
        <f>0.7*(F38/SUM(F37:F38))</f>
        <v>0.23068181818181815</v>
      </c>
      <c r="H38" s="73">
        <f>2.37*(F38/SUM(F37:F38))</f>
        <v>0.78102272727272726</v>
      </c>
      <c r="I38" s="73">
        <v>15.99</v>
      </c>
      <c r="J38" s="73">
        <v>0.8</v>
      </c>
      <c r="K38" s="73">
        <v>0</v>
      </c>
      <c r="L38" s="73">
        <f>F38-G38-H38-I38-K38</f>
        <v>2882.9982954545458</v>
      </c>
      <c r="M38" s="70"/>
      <c r="N38" s="137">
        <f t="shared" si="0"/>
        <v>7.9545454545454537E-5</v>
      </c>
      <c r="O38" s="137">
        <f t="shared" si="1"/>
        <v>2.6931818181818182E-4</v>
      </c>
      <c r="R38" s="73"/>
      <c r="S38" s="73"/>
      <c r="T38" s="73"/>
      <c r="U38" s="73"/>
      <c r="V38" s="73"/>
      <c r="W38" s="73"/>
      <c r="X38" s="73"/>
      <c r="Y38" s="73"/>
      <c r="Z38" s="73"/>
      <c r="AA38" s="73"/>
      <c r="AB38" s="73"/>
    </row>
    <row r="39" spans="1:28" s="47" customFormat="1" x14ac:dyDescent="0.25">
      <c r="A39" s="26"/>
      <c r="E39" s="23"/>
      <c r="F39" s="19">
        <f>F37-F38</f>
        <v>3000</v>
      </c>
      <c r="G39" s="19">
        <f>SUM(G37:G38)</f>
        <v>0.7</v>
      </c>
      <c r="H39" s="19">
        <f>SUM(H37:H38)</f>
        <v>2.37</v>
      </c>
      <c r="I39" s="19">
        <f>SUM(I37:I38)</f>
        <v>31.98</v>
      </c>
      <c r="J39" s="19">
        <f>SUM(J37:J38)</f>
        <v>1.6</v>
      </c>
      <c r="K39" s="19"/>
      <c r="L39" s="19">
        <f>L37-L38</f>
        <v>3035.0499999999993</v>
      </c>
      <c r="M39" s="70"/>
      <c r="N39" s="137"/>
      <c r="O39" s="137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</row>
    <row r="40" spans="1:28" s="72" customFormat="1" x14ac:dyDescent="0.25">
      <c r="A40" s="71"/>
      <c r="E40" s="73"/>
      <c r="F40" s="74"/>
      <c r="G40" s="74"/>
      <c r="H40" s="74"/>
      <c r="I40" s="74"/>
      <c r="J40" s="74"/>
      <c r="K40" s="74"/>
      <c r="L40" s="74"/>
      <c r="M40" s="70"/>
      <c r="N40" s="137"/>
      <c r="O40" s="137"/>
      <c r="R40" s="73"/>
      <c r="S40" s="73"/>
      <c r="T40" s="73"/>
      <c r="U40" s="73"/>
      <c r="V40" s="73"/>
      <c r="W40" s="73"/>
      <c r="X40" s="73"/>
      <c r="Y40" s="73"/>
      <c r="Z40" s="73"/>
      <c r="AA40" s="73"/>
      <c r="AB40" s="73"/>
    </row>
    <row r="41" spans="1:28" s="47" customFormat="1" x14ac:dyDescent="0.25">
      <c r="A41" s="26">
        <v>39930</v>
      </c>
      <c r="B41" s="47">
        <v>1443</v>
      </c>
      <c r="C41" s="47" t="s">
        <v>269</v>
      </c>
      <c r="D41" s="47">
        <v>200</v>
      </c>
      <c r="E41" s="23">
        <v>29.7</v>
      </c>
      <c r="F41" s="23">
        <f>D41*E41</f>
        <v>5940</v>
      </c>
      <c r="G41" s="23">
        <v>0.47</v>
      </c>
      <c r="H41" s="23">
        <v>1.6</v>
      </c>
      <c r="I41" s="23">
        <v>15.99</v>
      </c>
      <c r="J41" s="23">
        <v>0.8</v>
      </c>
      <c r="K41" s="23"/>
      <c r="L41" s="23">
        <f>F41+G41+H41+I41</f>
        <v>5958.06</v>
      </c>
      <c r="M41" s="70"/>
      <c r="N41" s="137">
        <f t="shared" si="0"/>
        <v>7.9124579124579126E-5</v>
      </c>
      <c r="O41" s="137">
        <f t="shared" si="1"/>
        <v>2.693602693602694E-4</v>
      </c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</row>
    <row r="42" spans="1:28" x14ac:dyDescent="0.25">
      <c r="A42" s="10"/>
      <c r="M42" s="70"/>
      <c r="N42" s="137"/>
      <c r="O42" s="137"/>
    </row>
    <row r="43" spans="1:28" s="47" customFormat="1" x14ac:dyDescent="0.25">
      <c r="A43" s="26">
        <v>39931</v>
      </c>
      <c r="B43" s="47">
        <v>1411</v>
      </c>
      <c r="C43" s="47" t="s">
        <v>267</v>
      </c>
      <c r="D43" s="47">
        <v>300</v>
      </c>
      <c r="E43" s="23">
        <v>14.5</v>
      </c>
      <c r="F43" s="23">
        <f>D43*E43</f>
        <v>4350</v>
      </c>
      <c r="G43" s="23">
        <v>0.34</v>
      </c>
      <c r="H43" s="23">
        <v>1.17</v>
      </c>
      <c r="I43" s="23">
        <v>15.99</v>
      </c>
      <c r="J43" s="23">
        <v>0.8</v>
      </c>
      <c r="K43" s="23"/>
      <c r="L43" s="23">
        <f>F43+G43+H43+I43</f>
        <v>4367.5</v>
      </c>
      <c r="M43" s="70"/>
      <c r="N43" s="137">
        <f t="shared" si="0"/>
        <v>7.8160919540229886E-5</v>
      </c>
      <c r="O43" s="137">
        <f t="shared" si="1"/>
        <v>2.6896551724137931E-4</v>
      </c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</row>
    <row r="44" spans="1:28" x14ac:dyDescent="0.25">
      <c r="A44" s="10"/>
      <c r="M44" s="70"/>
      <c r="N44" s="137"/>
      <c r="O44" s="137"/>
    </row>
    <row r="45" spans="1:28" s="72" customFormat="1" x14ac:dyDescent="0.25">
      <c r="A45" s="71">
        <v>39933</v>
      </c>
      <c r="B45" s="72">
        <v>1461</v>
      </c>
      <c r="C45" s="72" t="s">
        <v>272</v>
      </c>
      <c r="D45" s="72">
        <v>100</v>
      </c>
      <c r="E45" s="73">
        <v>9.23</v>
      </c>
      <c r="F45" s="73">
        <f>D45*E45</f>
        <v>923</v>
      </c>
      <c r="G45" s="73">
        <v>7.0000000000000007E-2</v>
      </c>
      <c r="H45" s="73">
        <v>0.24</v>
      </c>
      <c r="I45" s="73">
        <v>15.99</v>
      </c>
      <c r="J45" s="73">
        <v>0.8</v>
      </c>
      <c r="K45" s="73">
        <v>0</v>
      </c>
      <c r="L45" s="73">
        <f>F45-G45-H45-I45-K45</f>
        <v>906.69999999999993</v>
      </c>
      <c r="M45" s="70"/>
      <c r="N45" s="137">
        <f t="shared" si="0"/>
        <v>7.5839653304442042E-5</v>
      </c>
      <c r="O45" s="137">
        <f t="shared" si="1"/>
        <v>2.6002166847237271E-4</v>
      </c>
      <c r="R45" s="73"/>
      <c r="S45" s="73"/>
      <c r="T45" s="73"/>
      <c r="U45" s="73"/>
      <c r="V45" s="73"/>
      <c r="W45" s="73"/>
      <c r="X45" s="73"/>
      <c r="Y45" s="73"/>
      <c r="Z45" s="73"/>
      <c r="AA45" s="73"/>
      <c r="AB45" s="73"/>
    </row>
    <row r="46" spans="1:28" x14ac:dyDescent="0.25">
      <c r="A46" s="10"/>
      <c r="M46" s="70"/>
      <c r="N46" s="137"/>
      <c r="O46" s="137"/>
    </row>
    <row r="47" spans="1:28" s="72" customFormat="1" x14ac:dyDescent="0.25">
      <c r="A47" s="71">
        <v>39937</v>
      </c>
      <c r="B47" s="72">
        <v>2060</v>
      </c>
      <c r="C47" s="72" t="s">
        <v>269</v>
      </c>
      <c r="D47" s="72">
        <v>200</v>
      </c>
      <c r="E47" s="73">
        <v>33.15</v>
      </c>
      <c r="F47" s="73">
        <f>D47*E47</f>
        <v>6630</v>
      </c>
      <c r="G47" s="73">
        <f>0.7*(F47/SUM(F47:F48))</f>
        <v>0.39464285714285713</v>
      </c>
      <c r="H47" s="73">
        <f>3.35*(F47/SUM(F47:F48))</f>
        <v>1.8886479591836736</v>
      </c>
      <c r="I47" s="73">
        <v>15.99</v>
      </c>
      <c r="J47" s="73">
        <v>0.8</v>
      </c>
      <c r="K47" s="73">
        <v>0.28999999999999998</v>
      </c>
      <c r="L47" s="73">
        <f>F47-G47-H47-I47</f>
        <v>6611.7267091836738</v>
      </c>
      <c r="M47" s="70"/>
      <c r="N47" s="138">
        <f t="shared" si="0"/>
        <v>5.9523809523809524E-5</v>
      </c>
      <c r="O47" s="138">
        <f t="shared" si="1"/>
        <v>2.8486394557823133E-4</v>
      </c>
      <c r="R47" s="73"/>
      <c r="S47" s="73"/>
      <c r="T47" s="73"/>
      <c r="U47" s="73"/>
      <c r="V47" s="73"/>
      <c r="W47" s="73"/>
      <c r="X47" s="73"/>
      <c r="Y47" s="73"/>
      <c r="Z47" s="73"/>
      <c r="AA47" s="73"/>
      <c r="AB47" s="73"/>
    </row>
    <row r="48" spans="1:28" s="72" customFormat="1" x14ac:dyDescent="0.25">
      <c r="A48" s="71">
        <v>39937</v>
      </c>
      <c r="B48" s="72">
        <v>2060</v>
      </c>
      <c r="C48" s="72" t="s">
        <v>267</v>
      </c>
      <c r="D48" s="72">
        <v>300</v>
      </c>
      <c r="E48" s="73">
        <v>17.100000000000001</v>
      </c>
      <c r="F48" s="73">
        <f>D48*E48</f>
        <v>5130</v>
      </c>
      <c r="G48" s="73">
        <f>0.7*(F48/SUM(F47:F48))</f>
        <v>0.30535714285714283</v>
      </c>
      <c r="H48" s="73">
        <f>3.35*(F48/SUM(F47:F48))</f>
        <v>1.4613520408163265</v>
      </c>
      <c r="I48" s="73">
        <v>15.99</v>
      </c>
      <c r="J48" s="73">
        <v>0.8</v>
      </c>
      <c r="K48" s="73">
        <v>0.28999999999999998</v>
      </c>
      <c r="L48" s="73">
        <f>F48-G48-H48-I48</f>
        <v>5112.2432908163264</v>
      </c>
      <c r="M48" s="70"/>
      <c r="N48" s="137">
        <f t="shared" si="0"/>
        <v>5.9523809523809517E-5</v>
      </c>
      <c r="O48" s="137">
        <f t="shared" si="1"/>
        <v>2.8486394557823127E-4</v>
      </c>
      <c r="R48" s="73"/>
      <c r="S48" s="73"/>
      <c r="T48" s="73"/>
      <c r="U48" s="73"/>
      <c r="V48" s="73"/>
      <c r="W48" s="73"/>
      <c r="X48" s="73"/>
      <c r="Y48" s="73"/>
      <c r="Z48" s="73"/>
      <c r="AA48" s="73"/>
      <c r="AB48" s="73"/>
    </row>
    <row r="49" spans="1:28" s="72" customFormat="1" x14ac:dyDescent="0.25">
      <c r="A49" s="71"/>
      <c r="E49" s="73"/>
      <c r="F49" s="74">
        <f>SUM(F47:F48)</f>
        <v>11760</v>
      </c>
      <c r="G49" s="74">
        <f>SUM(G47:G48)</f>
        <v>0.7</v>
      </c>
      <c r="H49" s="74">
        <f>SUM(H47:H48)</f>
        <v>3.35</v>
      </c>
      <c r="I49" s="74">
        <f>SUM(I47:I48)</f>
        <v>31.98</v>
      </c>
      <c r="J49" s="74">
        <f>SUM(J47:J48)</f>
        <v>1.6</v>
      </c>
      <c r="K49" s="74"/>
      <c r="L49" s="74">
        <f>SUM(L47:L48)</f>
        <v>11723.970000000001</v>
      </c>
      <c r="M49" s="70"/>
      <c r="N49" s="137"/>
      <c r="O49" s="137"/>
      <c r="R49" s="73"/>
      <c r="S49" s="73"/>
      <c r="T49" s="73"/>
      <c r="U49" s="73"/>
      <c r="V49" s="73"/>
      <c r="W49" s="73"/>
      <c r="X49" s="73"/>
      <c r="Y49" s="73"/>
      <c r="Z49" s="73"/>
      <c r="AA49" s="73"/>
      <c r="AB49" s="73"/>
    </row>
    <row r="50" spans="1:28" s="72" customFormat="1" x14ac:dyDescent="0.25">
      <c r="A50" s="71"/>
      <c r="E50" s="73"/>
      <c r="F50" s="74"/>
      <c r="G50" s="74"/>
      <c r="H50" s="74"/>
      <c r="I50" s="74"/>
      <c r="J50" s="74"/>
      <c r="K50" s="74"/>
      <c r="L50" s="74"/>
      <c r="M50" s="70"/>
      <c r="N50" s="137"/>
      <c r="O50" s="137"/>
      <c r="R50" s="73"/>
      <c r="S50" s="73"/>
      <c r="T50" s="73"/>
      <c r="U50" s="73"/>
      <c r="V50" s="73"/>
      <c r="W50" s="73"/>
      <c r="X50" s="73"/>
      <c r="Y50" s="73"/>
      <c r="Z50" s="73"/>
      <c r="AA50" s="73"/>
      <c r="AB50" s="73"/>
    </row>
    <row r="51" spans="1:28" s="72" customFormat="1" x14ac:dyDescent="0.25">
      <c r="A51" s="71">
        <v>39938</v>
      </c>
      <c r="B51" s="72">
        <v>1648</v>
      </c>
      <c r="C51" s="72" t="s">
        <v>270</v>
      </c>
      <c r="D51" s="72">
        <v>100</v>
      </c>
      <c r="E51" s="73">
        <v>3.03</v>
      </c>
      <c r="F51" s="73">
        <f>D51*E51</f>
        <v>303</v>
      </c>
      <c r="G51" s="73">
        <v>0.01</v>
      </c>
      <c r="H51" s="73">
        <v>0.08</v>
      </c>
      <c r="I51" s="73">
        <v>15.99</v>
      </c>
      <c r="J51" s="73">
        <v>0.8</v>
      </c>
      <c r="K51" s="73">
        <v>0.01</v>
      </c>
      <c r="L51" s="73">
        <f>F51-G51-H51-I51</f>
        <v>286.92</v>
      </c>
      <c r="M51" s="70"/>
      <c r="N51" s="139">
        <f t="shared" si="0"/>
        <v>3.3003300330033001E-5</v>
      </c>
      <c r="O51" s="137">
        <f t="shared" si="1"/>
        <v>2.6402640264026401E-4</v>
      </c>
      <c r="R51" s="73"/>
      <c r="S51" s="73"/>
      <c r="T51" s="73"/>
      <c r="U51" s="73"/>
      <c r="V51" s="73"/>
      <c r="W51" s="73"/>
      <c r="X51" s="73"/>
      <c r="Y51" s="73"/>
      <c r="Z51" s="73"/>
      <c r="AA51" s="73"/>
      <c r="AB51" s="73"/>
    </row>
    <row r="52" spans="1:28" x14ac:dyDescent="0.25">
      <c r="A52" s="10"/>
      <c r="M52" s="70"/>
      <c r="N52" s="137"/>
      <c r="O52" s="137"/>
    </row>
    <row r="53" spans="1:28" s="47" customFormat="1" x14ac:dyDescent="0.25">
      <c r="A53" s="26">
        <v>39944</v>
      </c>
      <c r="B53" s="47">
        <v>1315</v>
      </c>
      <c r="C53" s="47" t="s">
        <v>269</v>
      </c>
      <c r="D53" s="47">
        <v>200</v>
      </c>
      <c r="E53" s="23">
        <v>32</v>
      </c>
      <c r="F53" s="23">
        <f>D53*E53</f>
        <v>6400</v>
      </c>
      <c r="G53" s="23">
        <v>0.38</v>
      </c>
      <c r="H53" s="23">
        <v>1.82</v>
      </c>
      <c r="I53" s="23">
        <v>15.99</v>
      </c>
      <c r="J53" s="23">
        <v>0.8</v>
      </c>
      <c r="K53" s="23"/>
      <c r="L53" s="23">
        <f>F53+G53+H53+I53</f>
        <v>6418.19</v>
      </c>
      <c r="M53" s="70"/>
      <c r="N53" s="137">
        <f t="shared" si="0"/>
        <v>5.9375E-5</v>
      </c>
      <c r="O53" s="137">
        <f t="shared" si="1"/>
        <v>2.8437500000000001E-4</v>
      </c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</row>
    <row r="54" spans="1:28" x14ac:dyDescent="0.25">
      <c r="A54" s="10"/>
      <c r="M54" s="70"/>
      <c r="N54" s="137"/>
      <c r="O54" s="137"/>
    </row>
    <row r="55" spans="1:28" s="47" customFormat="1" x14ac:dyDescent="0.25">
      <c r="A55" s="26">
        <v>39946</v>
      </c>
      <c r="B55" s="47">
        <v>1581</v>
      </c>
      <c r="C55" s="47" t="s">
        <v>270</v>
      </c>
      <c r="D55" s="47">
        <v>1000</v>
      </c>
      <c r="E55" s="23">
        <v>3</v>
      </c>
      <c r="F55" s="23">
        <f>D55*E55</f>
        <v>3000</v>
      </c>
      <c r="G55" s="23">
        <f>0.43*(F55/SUM(F55:F56))</f>
        <v>0.17768595041322313</v>
      </c>
      <c r="H55" s="23">
        <f>2.06*(F55/SUM(F55:F56))</f>
        <v>0.85123966942148765</v>
      </c>
      <c r="I55" s="23">
        <v>15.99</v>
      </c>
      <c r="J55" s="23">
        <v>0.8</v>
      </c>
      <c r="K55" s="23"/>
      <c r="L55" s="23">
        <f>F55+G55+H55+I55</f>
        <v>3017.0189256198346</v>
      </c>
      <c r="M55" s="70"/>
      <c r="N55" s="137">
        <f t="shared" si="0"/>
        <v>5.9228650137741043E-5</v>
      </c>
      <c r="O55" s="137">
        <f t="shared" si="1"/>
        <v>2.8374655647382923E-4</v>
      </c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</row>
    <row r="56" spans="1:28" s="47" customFormat="1" x14ac:dyDescent="0.25">
      <c r="A56" s="26">
        <v>39946</v>
      </c>
      <c r="B56" s="47">
        <v>1581</v>
      </c>
      <c r="C56" s="47" t="s">
        <v>276</v>
      </c>
      <c r="D56" s="47">
        <v>200</v>
      </c>
      <c r="E56" s="23">
        <v>21.3</v>
      </c>
      <c r="F56" s="23">
        <f>D56*E56</f>
        <v>4260</v>
      </c>
      <c r="G56" s="23">
        <f>0.43*(F56/SUM(F55:F56))</f>
        <v>0.25231404958677689</v>
      </c>
      <c r="H56" s="23">
        <f>2.06*(F56/SUM(F55:F56))</f>
        <v>1.2087603305785126</v>
      </c>
      <c r="I56" s="23">
        <v>15.99</v>
      </c>
      <c r="J56" s="23">
        <v>0.8</v>
      </c>
      <c r="K56" s="23"/>
      <c r="L56" s="23">
        <f>F56+G56+H56+I56</f>
        <v>4277.4510743801648</v>
      </c>
      <c r="M56" s="70"/>
      <c r="N56" s="137">
        <f t="shared" si="0"/>
        <v>5.9228650137741056E-5</v>
      </c>
      <c r="O56" s="137">
        <f t="shared" si="1"/>
        <v>2.8374655647382923E-4</v>
      </c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</row>
    <row r="57" spans="1:28" s="47" customFormat="1" x14ac:dyDescent="0.25">
      <c r="A57" s="26"/>
      <c r="E57" s="23"/>
      <c r="F57" s="19">
        <f>SUM(F55:F56)</f>
        <v>7260</v>
      </c>
      <c r="G57" s="19">
        <f>SUM(G55:G56)</f>
        <v>0.43000000000000005</v>
      </c>
      <c r="H57" s="19">
        <f>SUM(H55:H56)</f>
        <v>2.0600000000000005</v>
      </c>
      <c r="I57" s="19">
        <f>SUM(I55:I56)</f>
        <v>31.98</v>
      </c>
      <c r="J57" s="19">
        <f>SUM(J55:J56)</f>
        <v>1.6</v>
      </c>
      <c r="K57" s="19"/>
      <c r="L57" s="19">
        <f>SUM(L55:L56)</f>
        <v>7294.4699999999993</v>
      </c>
      <c r="M57" s="70"/>
      <c r="N57" s="137"/>
      <c r="O57" s="137"/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3"/>
    </row>
    <row r="58" spans="1:28" s="47" customFormat="1" x14ac:dyDescent="0.25">
      <c r="A58" s="26"/>
      <c r="E58" s="23"/>
      <c r="F58" s="19"/>
      <c r="G58" s="19"/>
      <c r="H58" s="19"/>
      <c r="I58" s="19"/>
      <c r="J58" s="19"/>
      <c r="K58" s="19"/>
      <c r="L58" s="19"/>
      <c r="M58" s="70"/>
      <c r="N58" s="137"/>
      <c r="O58" s="137"/>
      <c r="R58" s="23"/>
      <c r="S58" s="23"/>
      <c r="T58" s="23"/>
      <c r="U58" s="23"/>
      <c r="V58" s="23"/>
      <c r="W58" s="23"/>
      <c r="X58" s="23"/>
      <c r="Y58" s="23"/>
      <c r="Z58" s="23"/>
      <c r="AA58" s="23"/>
      <c r="AB58" s="23"/>
    </row>
    <row r="59" spans="1:28" s="72" customFormat="1" x14ac:dyDescent="0.25">
      <c r="A59" s="71">
        <v>39959</v>
      </c>
      <c r="B59" s="72">
        <v>1430</v>
      </c>
      <c r="C59" s="72" t="s">
        <v>276</v>
      </c>
      <c r="D59" s="72">
        <v>200</v>
      </c>
      <c r="E59" s="73">
        <v>23.4</v>
      </c>
      <c r="F59" s="73">
        <f>D59*E59</f>
        <v>4680</v>
      </c>
      <c r="G59" s="73">
        <v>0.28000000000000003</v>
      </c>
      <c r="H59" s="73">
        <v>1.33</v>
      </c>
      <c r="I59" s="73">
        <v>15.99</v>
      </c>
      <c r="J59" s="73">
        <v>0.8</v>
      </c>
      <c r="K59" s="73">
        <v>0.23</v>
      </c>
      <c r="L59" s="73">
        <f>F59-G59-H59-I59</f>
        <v>4662.4000000000005</v>
      </c>
      <c r="M59" s="70"/>
      <c r="N59" s="137">
        <f t="shared" si="0"/>
        <v>5.9829059829059837E-5</v>
      </c>
      <c r="O59" s="137">
        <f t="shared" si="1"/>
        <v>2.8418803418803418E-4</v>
      </c>
      <c r="R59" s="73"/>
      <c r="S59" s="73"/>
      <c r="T59" s="73"/>
      <c r="U59" s="73"/>
      <c r="V59" s="73"/>
      <c r="W59" s="73"/>
      <c r="X59" s="73"/>
      <c r="Y59" s="73"/>
      <c r="Z59" s="73"/>
      <c r="AA59" s="73"/>
      <c r="AB59" s="73"/>
    </row>
    <row r="60" spans="1:28" x14ac:dyDescent="0.25">
      <c r="A60" s="10"/>
      <c r="M60" s="70"/>
      <c r="N60" s="137"/>
      <c r="O60" s="137"/>
    </row>
    <row r="61" spans="1:28" s="72" customFormat="1" x14ac:dyDescent="0.25">
      <c r="A61" s="71">
        <v>39960</v>
      </c>
      <c r="B61" s="72">
        <v>1681</v>
      </c>
      <c r="C61" s="72" t="s">
        <v>268</v>
      </c>
      <c r="D61" s="72">
        <v>200</v>
      </c>
      <c r="E61" s="73">
        <v>34.04</v>
      </c>
      <c r="F61" s="73">
        <f>D61*E61</f>
        <v>6808</v>
      </c>
      <c r="G61" s="73">
        <v>0.4</v>
      </c>
      <c r="H61" s="73">
        <v>1.94</v>
      </c>
      <c r="I61" s="73">
        <v>15.99</v>
      </c>
      <c r="J61" s="73">
        <v>0.8</v>
      </c>
      <c r="K61" s="73">
        <v>0.34</v>
      </c>
      <c r="L61" s="73">
        <f>F61-G61-H61-I61</f>
        <v>6789.670000000001</v>
      </c>
      <c r="M61" s="70"/>
      <c r="N61" s="137">
        <f t="shared" si="0"/>
        <v>5.8754406580493543E-5</v>
      </c>
      <c r="O61" s="137">
        <f t="shared" si="1"/>
        <v>2.8495887191539365E-4</v>
      </c>
      <c r="R61" s="73"/>
      <c r="S61" s="73"/>
      <c r="T61" s="73"/>
      <c r="U61" s="73"/>
      <c r="V61" s="73"/>
      <c r="W61" s="73"/>
      <c r="X61" s="73"/>
      <c r="Y61" s="73"/>
      <c r="Z61" s="73"/>
      <c r="AA61" s="73"/>
      <c r="AB61" s="73"/>
    </row>
    <row r="62" spans="1:28" x14ac:dyDescent="0.25">
      <c r="A62" s="10"/>
      <c r="M62" s="70"/>
      <c r="N62" s="137"/>
      <c r="O62" s="137"/>
    </row>
    <row r="63" spans="1:28" s="47" customFormat="1" x14ac:dyDescent="0.25">
      <c r="A63" s="26">
        <v>39961</v>
      </c>
      <c r="B63" s="47">
        <v>1246</v>
      </c>
      <c r="C63" s="47" t="s">
        <v>277</v>
      </c>
      <c r="D63" s="47">
        <v>1000</v>
      </c>
      <c r="E63" s="23">
        <v>3.31</v>
      </c>
      <c r="F63" s="23">
        <f>D63*E63</f>
        <v>3310</v>
      </c>
      <c r="G63" s="23">
        <v>0.19</v>
      </c>
      <c r="H63" s="23">
        <v>0.94</v>
      </c>
      <c r="I63" s="23">
        <v>15.99</v>
      </c>
      <c r="J63" s="23">
        <v>0.8</v>
      </c>
      <c r="K63" s="23"/>
      <c r="L63" s="23">
        <f>F63+G63+H63+I63</f>
        <v>3327.12</v>
      </c>
      <c r="M63" s="70"/>
      <c r="N63" s="137">
        <f t="shared" si="0"/>
        <v>5.7401812688821751E-5</v>
      </c>
      <c r="O63" s="137">
        <f t="shared" si="1"/>
        <v>2.8398791540785496E-4</v>
      </c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</row>
    <row r="64" spans="1:28" x14ac:dyDescent="0.25">
      <c r="A64" s="10"/>
      <c r="M64" s="70"/>
      <c r="N64" s="137"/>
      <c r="O64" s="137"/>
    </row>
    <row r="65" spans="1:28" s="47" customFormat="1" x14ac:dyDescent="0.25">
      <c r="A65" s="26">
        <v>39962</v>
      </c>
      <c r="B65" s="47">
        <v>1525</v>
      </c>
      <c r="C65" s="47" t="s">
        <v>278</v>
      </c>
      <c r="D65" s="47">
        <v>100</v>
      </c>
      <c r="E65" s="23">
        <v>25</v>
      </c>
      <c r="F65" s="23">
        <f>D65*E65</f>
        <v>2500</v>
      </c>
      <c r="G65" s="23">
        <f>0.48*(F65/SUM(F65:F66))</f>
        <v>0.15</v>
      </c>
      <c r="H65" s="23">
        <f>2.28*(F65/SUM(F65:F66))</f>
        <v>0.71249999999999991</v>
      </c>
      <c r="I65" s="23">
        <v>15.99</v>
      </c>
      <c r="J65" s="23">
        <v>0.8</v>
      </c>
      <c r="K65" s="23"/>
      <c r="L65" s="23">
        <f>F65+G65+H65+I65</f>
        <v>2516.8525</v>
      </c>
      <c r="M65" s="70"/>
      <c r="N65" s="137">
        <f t="shared" si="0"/>
        <v>5.9999999999999995E-5</v>
      </c>
      <c r="O65" s="137">
        <f t="shared" si="1"/>
        <v>2.8499999999999999E-4</v>
      </c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</row>
    <row r="66" spans="1:28" s="47" customFormat="1" x14ac:dyDescent="0.25">
      <c r="A66" s="26">
        <v>39962</v>
      </c>
      <c r="B66" s="47">
        <v>1525</v>
      </c>
      <c r="C66" s="47" t="s">
        <v>275</v>
      </c>
      <c r="D66" s="47">
        <v>200</v>
      </c>
      <c r="E66" s="23">
        <v>27.5</v>
      </c>
      <c r="F66" s="23">
        <f>D66*E66</f>
        <v>5500</v>
      </c>
      <c r="G66" s="23">
        <f>0.48*(F66/SUM(F65:F66))</f>
        <v>0.32999999999999996</v>
      </c>
      <c r="H66" s="23">
        <f>2.28*(F66/SUM(F65:F66))</f>
        <v>1.5674999999999999</v>
      </c>
      <c r="I66" s="23">
        <v>15.99</v>
      </c>
      <c r="J66" s="23">
        <v>0.8</v>
      </c>
      <c r="K66" s="23"/>
      <c r="L66" s="23">
        <f>F66+G66+H66+I66</f>
        <v>5517.8874999999998</v>
      </c>
      <c r="M66" s="70"/>
      <c r="N66" s="137">
        <f t="shared" si="0"/>
        <v>5.9999999999999995E-5</v>
      </c>
      <c r="O66" s="137">
        <f t="shared" si="1"/>
        <v>2.8499999999999999E-4</v>
      </c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</row>
    <row r="67" spans="1:28" s="47" customFormat="1" x14ac:dyDescent="0.25">
      <c r="A67" s="26"/>
      <c r="E67" s="23"/>
      <c r="F67" s="19">
        <f>SUM(F65:F66)</f>
        <v>8000</v>
      </c>
      <c r="G67" s="19">
        <f>SUM(G65:G66)</f>
        <v>0.48</v>
      </c>
      <c r="H67" s="19">
        <f>SUM(H65:H66)</f>
        <v>2.2799999999999998</v>
      </c>
      <c r="I67" s="19">
        <f>SUM(I65:I66)</f>
        <v>31.98</v>
      </c>
      <c r="J67" s="19">
        <f>SUM(J65:J66)</f>
        <v>1.6</v>
      </c>
      <c r="K67" s="19"/>
      <c r="L67" s="19">
        <f>SUM(L65:L66)</f>
        <v>8034.74</v>
      </c>
      <c r="M67" s="70"/>
      <c r="N67" s="137"/>
      <c r="O67" s="137"/>
      <c r="R67" s="23"/>
      <c r="S67" s="23"/>
      <c r="T67" s="23"/>
      <c r="U67" s="23"/>
      <c r="V67" s="23"/>
      <c r="W67" s="23"/>
      <c r="X67" s="23"/>
      <c r="Y67" s="23"/>
      <c r="Z67" s="23"/>
      <c r="AA67" s="23"/>
      <c r="AB67" s="23"/>
    </row>
    <row r="68" spans="1:28" s="47" customFormat="1" x14ac:dyDescent="0.25">
      <c r="A68" s="26"/>
      <c r="E68" s="23"/>
      <c r="F68" s="19"/>
      <c r="G68" s="19"/>
      <c r="H68" s="19"/>
      <c r="I68" s="19"/>
      <c r="J68" s="19"/>
      <c r="K68" s="19"/>
      <c r="L68" s="19"/>
      <c r="M68" s="70"/>
      <c r="N68" s="137"/>
      <c r="O68" s="137"/>
      <c r="R68" s="23"/>
      <c r="S68" s="23"/>
      <c r="T68" s="23"/>
      <c r="U68" s="23"/>
      <c r="V68" s="23"/>
      <c r="W68" s="23"/>
      <c r="X68" s="23"/>
      <c r="Y68" s="23"/>
      <c r="Z68" s="23"/>
      <c r="AA68" s="23"/>
      <c r="AB68" s="23"/>
    </row>
    <row r="69" spans="1:28" s="72" customFormat="1" x14ac:dyDescent="0.25">
      <c r="A69" s="71">
        <v>39974</v>
      </c>
      <c r="B69" s="72">
        <v>993</v>
      </c>
      <c r="C69" s="72" t="s">
        <v>275</v>
      </c>
      <c r="D69" s="72">
        <v>200</v>
      </c>
      <c r="E69" s="73">
        <v>30.75</v>
      </c>
      <c r="F69" s="73">
        <f>D69*E69</f>
        <v>6150</v>
      </c>
      <c r="G69" s="73">
        <v>0.36</v>
      </c>
      <c r="H69" s="73">
        <v>1.75</v>
      </c>
      <c r="I69" s="73">
        <v>15.99</v>
      </c>
      <c r="J69" s="73">
        <v>0.8</v>
      </c>
      <c r="K69" s="73">
        <v>0</v>
      </c>
      <c r="L69" s="73">
        <f>F69-G69-H69-I69-K69</f>
        <v>6131.9000000000005</v>
      </c>
      <c r="M69" s="70"/>
      <c r="N69" s="137">
        <f t="shared" ref="N69:N130" si="2">G69/F69</f>
        <v>5.8536585365853659E-5</v>
      </c>
      <c r="O69" s="137">
        <f t="shared" ref="O69:O130" si="3">H69/F69</f>
        <v>2.8455284552845528E-4</v>
      </c>
      <c r="R69" s="73"/>
      <c r="S69" s="73"/>
      <c r="T69" s="73"/>
      <c r="U69" s="73"/>
      <c r="V69" s="73"/>
      <c r="W69" s="73"/>
      <c r="X69" s="73"/>
      <c r="Y69" s="73"/>
      <c r="Z69" s="73"/>
      <c r="AA69" s="73"/>
      <c r="AB69" s="73"/>
    </row>
    <row r="70" spans="1:28" x14ac:dyDescent="0.25">
      <c r="A70" s="10"/>
      <c r="M70" s="70"/>
      <c r="N70" s="137"/>
      <c r="O70" s="137"/>
    </row>
    <row r="71" spans="1:28" s="47" customFormat="1" x14ac:dyDescent="0.25">
      <c r="A71" s="26">
        <v>39979</v>
      </c>
      <c r="B71" s="47">
        <v>1584</v>
      </c>
      <c r="C71" s="47" t="s">
        <v>275</v>
      </c>
      <c r="D71" s="47">
        <v>200</v>
      </c>
      <c r="E71" s="23">
        <v>27.5</v>
      </c>
      <c r="F71" s="23">
        <f>D71*E71</f>
        <v>5500</v>
      </c>
      <c r="G71" s="23">
        <v>0.33</v>
      </c>
      <c r="H71" s="23">
        <v>1.56</v>
      </c>
      <c r="I71" s="23">
        <v>15.99</v>
      </c>
      <c r="J71" s="23">
        <v>0.8</v>
      </c>
      <c r="K71" s="23"/>
      <c r="L71" s="23">
        <f>F71+G71+H71+I71</f>
        <v>5517.88</v>
      </c>
      <c r="M71" s="70"/>
      <c r="N71" s="137">
        <f t="shared" si="2"/>
        <v>6.0000000000000002E-5</v>
      </c>
      <c r="O71" s="137">
        <f t="shared" si="3"/>
        <v>2.8363636363636362E-4</v>
      </c>
      <c r="R71" s="23"/>
      <c r="S71" s="23"/>
      <c r="T71" s="23"/>
      <c r="U71" s="23"/>
      <c r="V71" s="23"/>
      <c r="W71" s="23"/>
      <c r="X71" s="23"/>
      <c r="Y71" s="23"/>
      <c r="Z71" s="23"/>
      <c r="AA71" s="23"/>
      <c r="AB71" s="23"/>
    </row>
    <row r="72" spans="1:28" x14ac:dyDescent="0.25">
      <c r="A72" s="10"/>
      <c r="M72" s="70"/>
      <c r="N72" s="137"/>
      <c r="O72" s="137"/>
    </row>
    <row r="73" spans="1:28" s="47" customFormat="1" x14ac:dyDescent="0.25">
      <c r="A73" s="26">
        <v>39983</v>
      </c>
      <c r="B73" s="47">
        <v>1048</v>
      </c>
      <c r="C73" s="47" t="s">
        <v>268</v>
      </c>
      <c r="D73" s="47">
        <v>200</v>
      </c>
      <c r="E73" s="23">
        <v>32.19</v>
      </c>
      <c r="F73" s="23">
        <f>D73*E73</f>
        <v>6438</v>
      </c>
      <c r="G73" s="23">
        <f>0.74*(F73/SUM(F73:F74))</f>
        <v>0.38426520406517178</v>
      </c>
      <c r="H73" s="23">
        <f>3.53*(F73/SUM(F73:F74))</f>
        <v>1.8330488788514274</v>
      </c>
      <c r="I73" s="23">
        <v>15.99</v>
      </c>
      <c r="J73" s="23">
        <v>0.8</v>
      </c>
      <c r="K73" s="23"/>
      <c r="L73" s="23">
        <f>F73+G73+H73+I73</f>
        <v>6456.2073140829161</v>
      </c>
      <c r="M73" s="70"/>
      <c r="N73" s="137">
        <f t="shared" si="2"/>
        <v>5.9687046297789963E-5</v>
      </c>
      <c r="O73" s="137">
        <f t="shared" si="3"/>
        <v>2.8472334247459265E-4</v>
      </c>
      <c r="R73" s="23"/>
      <c r="S73" s="23"/>
      <c r="T73" s="23"/>
      <c r="U73" s="23"/>
      <c r="V73" s="23"/>
      <c r="W73" s="23"/>
      <c r="X73" s="23"/>
      <c r="Y73" s="23"/>
      <c r="Z73" s="23"/>
      <c r="AA73" s="23"/>
      <c r="AB73" s="23"/>
    </row>
    <row r="74" spans="1:28" s="72" customFormat="1" x14ac:dyDescent="0.25">
      <c r="A74" s="71">
        <v>39983</v>
      </c>
      <c r="B74" s="72">
        <v>1048</v>
      </c>
      <c r="C74" s="72" t="s">
        <v>275</v>
      </c>
      <c r="D74" s="72">
        <v>200</v>
      </c>
      <c r="E74" s="73">
        <v>29.8</v>
      </c>
      <c r="F74" s="73">
        <f>D74*E74</f>
        <v>5960</v>
      </c>
      <c r="G74" s="73">
        <f>0.74*(F74/SUM(F73:F74))</f>
        <v>0.35573479593482821</v>
      </c>
      <c r="H74" s="73">
        <f>3.53*(F74/SUM(F73:F74))</f>
        <v>1.6969511211485722</v>
      </c>
      <c r="I74" s="73">
        <v>15.99</v>
      </c>
      <c r="J74" s="73">
        <v>0.8</v>
      </c>
      <c r="K74" s="73">
        <v>0</v>
      </c>
      <c r="L74" s="73">
        <f>F74-G74-H74-I74-K74</f>
        <v>5941.957314082917</v>
      </c>
      <c r="M74" s="70"/>
      <c r="N74" s="137">
        <f t="shared" si="2"/>
        <v>5.9687046297789969E-5</v>
      </c>
      <c r="O74" s="137">
        <f t="shared" si="3"/>
        <v>2.8472334247459265E-4</v>
      </c>
      <c r="R74" s="73"/>
      <c r="S74" s="73"/>
      <c r="T74" s="73"/>
      <c r="U74" s="73"/>
      <c r="V74" s="73"/>
      <c r="W74" s="73"/>
      <c r="X74" s="73"/>
      <c r="Y74" s="73"/>
      <c r="Z74" s="73"/>
      <c r="AA74" s="73"/>
      <c r="AB74" s="73"/>
    </row>
    <row r="75" spans="1:28" s="47" customFormat="1" x14ac:dyDescent="0.25">
      <c r="A75" s="26"/>
      <c r="E75" s="23"/>
      <c r="F75" s="19">
        <f>F73-F74</f>
        <v>478</v>
      </c>
      <c r="G75" s="19">
        <f>SUM(G73:G74)</f>
        <v>0.74</v>
      </c>
      <c r="H75" s="19">
        <f>SUM(H73:H74)</f>
        <v>3.5299999999999994</v>
      </c>
      <c r="I75" s="19">
        <f>SUM(I73:I74)</f>
        <v>31.98</v>
      </c>
      <c r="J75" s="19">
        <f>SUM(J73:J74)</f>
        <v>1.6</v>
      </c>
      <c r="K75" s="19"/>
      <c r="L75" s="19">
        <f>L73-L74</f>
        <v>514.24999999999909</v>
      </c>
      <c r="M75" s="70"/>
      <c r="N75" s="137"/>
      <c r="O75" s="137"/>
      <c r="Q75" s="72"/>
      <c r="R75" s="23"/>
      <c r="S75" s="23"/>
      <c r="T75" s="23"/>
      <c r="U75" s="23"/>
      <c r="V75" s="23"/>
      <c r="W75" s="23"/>
      <c r="X75" s="23"/>
      <c r="Y75" s="23"/>
      <c r="Z75" s="23"/>
      <c r="AA75" s="23"/>
      <c r="AB75" s="23"/>
    </row>
    <row r="76" spans="1:28" s="47" customFormat="1" x14ac:dyDescent="0.25">
      <c r="A76" s="26"/>
      <c r="E76" s="23"/>
      <c r="F76" s="19"/>
      <c r="G76" s="19"/>
      <c r="H76" s="19"/>
      <c r="I76" s="19"/>
      <c r="J76" s="19"/>
      <c r="K76" s="19"/>
      <c r="L76" s="19"/>
      <c r="M76" s="70"/>
      <c r="N76" s="137"/>
      <c r="O76" s="137"/>
      <c r="R76" s="23"/>
      <c r="S76" s="23"/>
      <c r="T76" s="23"/>
      <c r="U76" s="23"/>
      <c r="V76" s="23"/>
      <c r="W76" s="23"/>
      <c r="X76" s="23"/>
      <c r="Y76" s="23"/>
      <c r="Z76" s="23"/>
      <c r="AA76" s="23"/>
      <c r="AB76" s="23"/>
    </row>
    <row r="77" spans="1:28" s="72" customFormat="1" x14ac:dyDescent="0.25">
      <c r="A77" s="71">
        <v>40010</v>
      </c>
      <c r="B77" s="72">
        <v>1298</v>
      </c>
      <c r="C77" s="72" t="s">
        <v>278</v>
      </c>
      <c r="D77" s="72">
        <v>100</v>
      </c>
      <c r="E77" s="73">
        <v>28.31</v>
      </c>
      <c r="F77" s="73">
        <f>D77*E77</f>
        <v>2831</v>
      </c>
      <c r="G77" s="73">
        <v>0.16</v>
      </c>
      <c r="H77" s="73">
        <v>0.8</v>
      </c>
      <c r="I77" s="73">
        <v>15.99</v>
      </c>
      <c r="J77" s="73">
        <v>0.8</v>
      </c>
      <c r="K77" s="73">
        <v>0</v>
      </c>
      <c r="L77" s="73">
        <f>F77-G77-H77-I77-K77</f>
        <v>2814.05</v>
      </c>
      <c r="M77" s="70"/>
      <c r="N77" s="137">
        <f t="shared" si="2"/>
        <v>5.6517131755563404E-5</v>
      </c>
      <c r="O77" s="137">
        <f t="shared" si="3"/>
        <v>2.8258565877781704E-4</v>
      </c>
      <c r="R77" s="73"/>
      <c r="S77" s="73"/>
      <c r="T77" s="73"/>
      <c r="U77" s="73"/>
      <c r="V77" s="73"/>
      <c r="W77" s="73"/>
      <c r="X77" s="73"/>
      <c r="Y77" s="73"/>
      <c r="Z77" s="73"/>
      <c r="AA77" s="73"/>
      <c r="AB77" s="73"/>
    </row>
    <row r="78" spans="1:28" x14ac:dyDescent="0.25">
      <c r="A78" s="10"/>
      <c r="M78" s="70"/>
      <c r="N78" s="137"/>
      <c r="O78" s="137"/>
    </row>
    <row r="79" spans="1:28" s="72" customFormat="1" x14ac:dyDescent="0.25">
      <c r="A79" s="71">
        <v>40022</v>
      </c>
      <c r="B79" s="72">
        <v>1240</v>
      </c>
      <c r="C79" s="72" t="s">
        <v>270</v>
      </c>
      <c r="D79" s="72">
        <v>1000</v>
      </c>
      <c r="E79" s="73">
        <v>3.5</v>
      </c>
      <c r="F79" s="73">
        <f>D79*E79</f>
        <v>3500</v>
      </c>
      <c r="G79" s="73">
        <v>0.21</v>
      </c>
      <c r="H79" s="73">
        <v>0.99</v>
      </c>
      <c r="I79" s="73">
        <v>15.99</v>
      </c>
      <c r="J79" s="73">
        <v>0.8</v>
      </c>
      <c r="K79" s="73">
        <v>0</v>
      </c>
      <c r="L79" s="73">
        <f>F79-G79-H79-I79-K79</f>
        <v>3482.8100000000004</v>
      </c>
      <c r="M79" s="70"/>
      <c r="N79" s="137">
        <f t="shared" si="2"/>
        <v>5.9999999999999995E-5</v>
      </c>
      <c r="O79" s="137">
        <f t="shared" si="3"/>
        <v>2.8285714285714286E-4</v>
      </c>
      <c r="R79" s="73"/>
      <c r="S79" s="73"/>
      <c r="T79" s="73"/>
      <c r="U79" s="73"/>
      <c r="V79" s="73"/>
      <c r="W79" s="73"/>
      <c r="X79" s="73"/>
      <c r="Y79" s="73"/>
      <c r="Z79" s="73"/>
      <c r="AA79" s="73"/>
      <c r="AB79" s="73"/>
    </row>
    <row r="80" spans="1:28" x14ac:dyDescent="0.25">
      <c r="A80" s="10"/>
      <c r="M80" s="70"/>
      <c r="N80" s="137"/>
      <c r="O80" s="137"/>
    </row>
    <row r="81" spans="1:28" s="72" customFormat="1" x14ac:dyDescent="0.25">
      <c r="A81" s="71">
        <v>40030</v>
      </c>
      <c r="B81" s="72">
        <v>1305</v>
      </c>
      <c r="C81" s="72" t="s">
        <v>277</v>
      </c>
      <c r="D81" s="72">
        <v>1000</v>
      </c>
      <c r="E81" s="73">
        <v>3.77</v>
      </c>
      <c r="F81" s="73">
        <f>D81*E81</f>
        <v>3770</v>
      </c>
      <c r="G81" s="73">
        <v>0.22</v>
      </c>
      <c r="H81" s="73">
        <v>1.07</v>
      </c>
      <c r="I81" s="73">
        <v>15.99</v>
      </c>
      <c r="J81" s="73">
        <v>0.8</v>
      </c>
      <c r="K81" s="73">
        <v>0</v>
      </c>
      <c r="L81" s="73">
        <f>F81-G81-H81-I81-K81</f>
        <v>3752.7200000000003</v>
      </c>
      <c r="M81" s="70"/>
      <c r="N81" s="137">
        <f t="shared" si="2"/>
        <v>5.8355437665782494E-5</v>
      </c>
      <c r="O81" s="137">
        <f t="shared" si="3"/>
        <v>2.8381962864721489E-4</v>
      </c>
      <c r="R81" s="73"/>
      <c r="S81" s="73"/>
      <c r="T81" s="73"/>
      <c r="U81" s="73"/>
      <c r="V81" s="73"/>
      <c r="W81" s="73"/>
      <c r="X81" s="73"/>
      <c r="Y81" s="73"/>
      <c r="Z81" s="73"/>
      <c r="AA81" s="73"/>
      <c r="AB81" s="73"/>
    </row>
    <row r="82" spans="1:28" x14ac:dyDescent="0.25">
      <c r="A82" s="10"/>
      <c r="M82" s="70"/>
      <c r="N82" s="137"/>
      <c r="O82" s="137"/>
    </row>
    <row r="83" spans="1:28" s="47" customFormat="1" x14ac:dyDescent="0.25">
      <c r="A83" s="26">
        <v>40037</v>
      </c>
      <c r="B83" s="47">
        <v>1257</v>
      </c>
      <c r="C83" s="47" t="s">
        <v>275</v>
      </c>
      <c r="D83" s="47">
        <v>200</v>
      </c>
      <c r="E83" s="23">
        <v>26.4</v>
      </c>
      <c r="F83" s="23">
        <f>D83*E83</f>
        <v>5280</v>
      </c>
      <c r="G83" s="23">
        <v>0.31</v>
      </c>
      <c r="H83" s="23">
        <v>1.5</v>
      </c>
      <c r="I83" s="23">
        <v>15.99</v>
      </c>
      <c r="J83" s="23">
        <v>0.8</v>
      </c>
      <c r="K83" s="23"/>
      <c r="L83" s="23">
        <f>F83+G83+H83+I83</f>
        <v>5297.8</v>
      </c>
      <c r="M83" s="70"/>
      <c r="N83" s="137">
        <f t="shared" si="2"/>
        <v>5.8712121212121215E-5</v>
      </c>
      <c r="O83" s="137">
        <f t="shared" si="3"/>
        <v>2.8409090909090908E-4</v>
      </c>
      <c r="R83" s="23"/>
      <c r="S83" s="23"/>
      <c r="T83" s="23"/>
      <c r="U83" s="23"/>
      <c r="V83" s="23"/>
      <c r="W83" s="23"/>
      <c r="X83" s="23"/>
      <c r="Y83" s="23"/>
      <c r="Z83" s="23"/>
      <c r="AA83" s="23"/>
      <c r="AB83" s="23"/>
    </row>
    <row r="84" spans="1:28" x14ac:dyDescent="0.25">
      <c r="A84" s="10"/>
      <c r="M84" s="70"/>
      <c r="N84" s="137"/>
      <c r="O84" s="137"/>
    </row>
    <row r="85" spans="1:28" s="72" customFormat="1" x14ac:dyDescent="0.25">
      <c r="A85" s="71">
        <v>40073</v>
      </c>
      <c r="B85" s="72">
        <v>1462</v>
      </c>
      <c r="C85" s="72" t="s">
        <v>269</v>
      </c>
      <c r="D85" s="72">
        <v>200</v>
      </c>
      <c r="E85" s="73">
        <v>35.15</v>
      </c>
      <c r="F85" s="73">
        <f>D85*E85</f>
        <v>7030</v>
      </c>
      <c r="G85" s="73">
        <f>1.16*(F85/SUM(F85:F87))</f>
        <v>0.42000412031314377</v>
      </c>
      <c r="H85" s="73">
        <f>5.53*(F85/SUM(F85:F87))</f>
        <v>2.0022610218376595</v>
      </c>
      <c r="I85" s="73">
        <v>15.99</v>
      </c>
      <c r="J85" s="73">
        <v>0.8</v>
      </c>
      <c r="K85" s="73">
        <v>0</v>
      </c>
      <c r="L85" s="73">
        <f>F85-G85-H85-I85-K85</f>
        <v>7011.5877348578497</v>
      </c>
      <c r="M85" s="70"/>
      <c r="N85" s="137">
        <f t="shared" si="2"/>
        <v>5.9744540585084464E-5</v>
      </c>
      <c r="O85" s="137">
        <f t="shared" si="3"/>
        <v>2.848166460651009E-4</v>
      </c>
      <c r="R85" s="73"/>
      <c r="S85" s="73"/>
      <c r="T85" s="73"/>
      <c r="U85" s="73"/>
      <c r="V85" s="73"/>
      <c r="W85" s="73"/>
      <c r="X85" s="73"/>
      <c r="Y85" s="73"/>
      <c r="Z85" s="73"/>
      <c r="AA85" s="73"/>
      <c r="AB85" s="73"/>
    </row>
    <row r="86" spans="1:28" s="72" customFormat="1" x14ac:dyDescent="0.25">
      <c r="A86" s="71">
        <v>40073</v>
      </c>
      <c r="B86" s="72">
        <v>1462</v>
      </c>
      <c r="C86" s="72" t="s">
        <v>268</v>
      </c>
      <c r="D86" s="72">
        <v>200</v>
      </c>
      <c r="E86" s="73">
        <v>34.479999999999997</v>
      </c>
      <c r="F86" s="73">
        <f>D86*E86</f>
        <v>6895.9999999999991</v>
      </c>
      <c r="G86" s="73">
        <f>1.16*(F86/SUM(F85:F87))</f>
        <v>0.41199835187474243</v>
      </c>
      <c r="H86" s="73">
        <f>5.53*(F86/SUM(F85:F87))</f>
        <v>1.964095591264936</v>
      </c>
      <c r="I86" s="73">
        <v>15.99</v>
      </c>
      <c r="J86" s="73">
        <v>0.8</v>
      </c>
      <c r="K86" s="73">
        <v>0</v>
      </c>
      <c r="L86" s="73">
        <f>F86-G86-H86-I86-K86</f>
        <v>6877.6339060568598</v>
      </c>
      <c r="M86" s="70"/>
      <c r="N86" s="137">
        <f t="shared" si="2"/>
        <v>5.9744540585084464E-5</v>
      </c>
      <c r="O86" s="137">
        <f t="shared" si="3"/>
        <v>2.8481664606510096E-4</v>
      </c>
      <c r="R86" s="73"/>
      <c r="S86" s="73"/>
      <c r="T86" s="73"/>
      <c r="U86" s="73"/>
      <c r="V86" s="73"/>
      <c r="W86" s="73"/>
      <c r="X86" s="73"/>
      <c r="Y86" s="73"/>
      <c r="Z86" s="73"/>
      <c r="AA86" s="73"/>
      <c r="AB86" s="73"/>
    </row>
    <row r="87" spans="1:28" s="72" customFormat="1" x14ac:dyDescent="0.25">
      <c r="A87" s="71">
        <v>40073</v>
      </c>
      <c r="B87" s="72">
        <v>1462</v>
      </c>
      <c r="C87" s="72" t="s">
        <v>275</v>
      </c>
      <c r="D87" s="72">
        <v>200</v>
      </c>
      <c r="E87" s="73">
        <v>27.45</v>
      </c>
      <c r="F87" s="73">
        <f>D87*E87</f>
        <v>5490</v>
      </c>
      <c r="G87" s="73">
        <f>1.16*(F87/SUM(F85:F87))</f>
        <v>0.32799752781211372</v>
      </c>
      <c r="H87" s="73">
        <f>5.53*(F87/SUM(F85:F87))</f>
        <v>1.5636433868974042</v>
      </c>
      <c r="I87" s="73">
        <v>15.99</v>
      </c>
      <c r="J87" s="73">
        <v>0.8</v>
      </c>
      <c r="K87" s="73">
        <v>0</v>
      </c>
      <c r="L87" s="73">
        <f>F87-G87-H87-I87-K87</f>
        <v>5472.1183590852906</v>
      </c>
      <c r="M87" s="70"/>
      <c r="N87" s="137">
        <f t="shared" si="2"/>
        <v>5.9744540585084464E-5</v>
      </c>
      <c r="O87" s="137">
        <f t="shared" si="3"/>
        <v>2.8481664606510096E-4</v>
      </c>
      <c r="R87" s="73"/>
      <c r="S87" s="73"/>
      <c r="T87" s="73"/>
      <c r="U87" s="73"/>
      <c r="V87" s="73"/>
      <c r="W87" s="73"/>
      <c r="X87" s="73"/>
      <c r="Y87" s="73"/>
      <c r="Z87" s="73"/>
      <c r="AA87" s="73"/>
      <c r="AB87" s="73"/>
    </row>
    <row r="88" spans="1:28" s="72" customFormat="1" x14ac:dyDescent="0.25">
      <c r="A88" s="71"/>
      <c r="E88" s="73"/>
      <c r="F88" s="74">
        <f>SUM(F85:F87)</f>
        <v>19416</v>
      </c>
      <c r="G88" s="74">
        <f>SUM(G85:G87)</f>
        <v>1.1599999999999999</v>
      </c>
      <c r="H88" s="74">
        <f>SUM(H85:H87)</f>
        <v>5.5299999999999994</v>
      </c>
      <c r="I88" s="74">
        <f>SUM(I85:I87)</f>
        <v>47.97</v>
      </c>
      <c r="J88" s="74">
        <f>SUM(J85:J87)</f>
        <v>2.4000000000000004</v>
      </c>
      <c r="K88" s="74"/>
      <c r="L88" s="74">
        <f>SUM(L85:L87)</f>
        <v>19361.34</v>
      </c>
      <c r="M88" s="70"/>
      <c r="N88" s="137"/>
      <c r="O88" s="137"/>
      <c r="R88" s="73"/>
      <c r="S88" s="73"/>
      <c r="T88" s="73"/>
      <c r="U88" s="73"/>
      <c r="V88" s="73"/>
      <c r="W88" s="73"/>
      <c r="X88" s="73"/>
      <c r="Y88" s="73"/>
      <c r="Z88" s="73"/>
      <c r="AA88" s="73"/>
      <c r="AB88" s="73"/>
    </row>
    <row r="89" spans="1:28" s="72" customFormat="1" x14ac:dyDescent="0.25">
      <c r="A89" s="71"/>
      <c r="E89" s="73"/>
      <c r="F89" s="74"/>
      <c r="G89" s="74"/>
      <c r="H89" s="74"/>
      <c r="I89" s="74"/>
      <c r="J89" s="74"/>
      <c r="K89" s="74"/>
      <c r="L89" s="74"/>
      <c r="M89" s="70"/>
      <c r="N89" s="137"/>
      <c r="O89" s="137"/>
      <c r="R89" s="73"/>
      <c r="S89" s="73"/>
      <c r="T89" s="73"/>
      <c r="U89" s="73"/>
      <c r="V89" s="73"/>
      <c r="W89" s="73"/>
      <c r="X89" s="73"/>
      <c r="Y89" s="73"/>
      <c r="Z89" s="73"/>
      <c r="AA89" s="73"/>
      <c r="AB89" s="73"/>
    </row>
    <row r="90" spans="1:28" s="47" customFormat="1" x14ac:dyDescent="0.25">
      <c r="A90" s="26">
        <v>40080</v>
      </c>
      <c r="B90" s="47">
        <v>1213</v>
      </c>
      <c r="C90" s="47" t="s">
        <v>270</v>
      </c>
      <c r="D90" s="47">
        <v>6000</v>
      </c>
      <c r="E90" s="23">
        <v>4</v>
      </c>
      <c r="F90" s="23">
        <f>D90*E90</f>
        <v>24000</v>
      </c>
      <c r="G90" s="23">
        <v>1.44</v>
      </c>
      <c r="H90" s="23">
        <v>6.84</v>
      </c>
      <c r="I90" s="23">
        <v>15.99</v>
      </c>
      <c r="J90" s="23">
        <v>0.8</v>
      </c>
      <c r="K90" s="23"/>
      <c r="L90" s="23">
        <f>F90+G90+H90+I90</f>
        <v>24024.27</v>
      </c>
      <c r="M90" s="70"/>
      <c r="N90" s="137">
        <f t="shared" si="2"/>
        <v>5.9999999999999995E-5</v>
      </c>
      <c r="O90" s="137">
        <f t="shared" si="3"/>
        <v>2.8499999999999999E-4</v>
      </c>
      <c r="R90" s="23"/>
      <c r="S90" s="23"/>
      <c r="T90" s="23"/>
      <c r="U90" s="23"/>
      <c r="V90" s="23"/>
      <c r="W90" s="23"/>
      <c r="X90" s="23"/>
      <c r="Y90" s="23"/>
      <c r="Z90" s="23"/>
      <c r="AA90" s="23"/>
      <c r="AB90" s="23"/>
    </row>
    <row r="91" spans="1:28" x14ac:dyDescent="0.25">
      <c r="A91" s="10"/>
      <c r="M91" s="70"/>
      <c r="N91" s="137"/>
      <c r="O91" s="137"/>
    </row>
    <row r="92" spans="1:28" s="72" customFormat="1" x14ac:dyDescent="0.25">
      <c r="A92" s="71">
        <v>40149</v>
      </c>
      <c r="B92" s="72">
        <v>1267</v>
      </c>
      <c r="C92" s="21" t="s">
        <v>279</v>
      </c>
      <c r="D92" s="21">
        <v>809</v>
      </c>
      <c r="E92" s="73">
        <v>30.5</v>
      </c>
      <c r="F92" s="73">
        <f>D92*E92</f>
        <v>24674.5</v>
      </c>
      <c r="G92" s="73">
        <v>1.48</v>
      </c>
      <c r="H92" s="73">
        <v>7.03</v>
      </c>
      <c r="I92" s="73">
        <v>31.98</v>
      </c>
      <c r="J92" s="73">
        <v>1.59</v>
      </c>
      <c r="K92" s="73">
        <v>1.23</v>
      </c>
      <c r="L92" s="73">
        <f>F92-G92-H92-I92-K92</f>
        <v>24632.780000000002</v>
      </c>
      <c r="M92" s="70"/>
      <c r="N92" s="137">
        <f t="shared" si="2"/>
        <v>5.998095199497457E-5</v>
      </c>
      <c r="O92" s="137">
        <f t="shared" si="3"/>
        <v>2.8490952197612922E-4</v>
      </c>
      <c r="R92" s="73"/>
      <c r="S92" s="73"/>
      <c r="T92" s="73"/>
      <c r="U92" s="73"/>
      <c r="V92" s="73"/>
      <c r="W92" s="73"/>
      <c r="X92" s="73"/>
      <c r="Y92" s="73"/>
      <c r="Z92" s="73"/>
      <c r="AA92" s="73"/>
      <c r="AB92" s="73"/>
    </row>
    <row r="93" spans="1:28" x14ac:dyDescent="0.25">
      <c r="A93" s="10"/>
      <c r="B93" s="10"/>
      <c r="M93" s="70"/>
      <c r="N93" s="137"/>
      <c r="O93" s="137"/>
    </row>
    <row r="94" spans="1:28" s="47" customFormat="1" x14ac:dyDescent="0.25">
      <c r="A94" s="26">
        <v>40154</v>
      </c>
      <c r="B94" s="47">
        <v>1168</v>
      </c>
      <c r="C94" s="47" t="s">
        <v>275</v>
      </c>
      <c r="D94" s="47">
        <v>500</v>
      </c>
      <c r="E94" s="23">
        <v>25</v>
      </c>
      <c r="F94" s="23">
        <f>D94*E94</f>
        <v>12500</v>
      </c>
      <c r="G94" s="23">
        <v>0.75</v>
      </c>
      <c r="H94" s="23">
        <v>3.56</v>
      </c>
      <c r="I94" s="23">
        <v>15.99</v>
      </c>
      <c r="J94" s="23">
        <v>0.8</v>
      </c>
      <c r="K94" s="23"/>
      <c r="L94" s="23">
        <f>F94+G94+H94+I94</f>
        <v>12520.3</v>
      </c>
      <c r="M94" s="70"/>
      <c r="N94" s="137">
        <f t="shared" si="2"/>
        <v>6.0000000000000002E-5</v>
      </c>
      <c r="O94" s="137">
        <f t="shared" si="3"/>
        <v>2.8479999999999998E-4</v>
      </c>
      <c r="R94" s="23"/>
      <c r="S94" s="23"/>
      <c r="T94" s="23"/>
      <c r="U94" s="23"/>
      <c r="V94" s="23"/>
      <c r="W94" s="23"/>
      <c r="X94" s="23"/>
      <c r="Y94" s="23"/>
      <c r="Z94" s="23"/>
      <c r="AA94" s="23"/>
      <c r="AB94" s="23"/>
    </row>
    <row r="95" spans="1:28" x14ac:dyDescent="0.25">
      <c r="A95" s="10"/>
      <c r="M95" s="70"/>
      <c r="N95" s="137"/>
      <c r="O95" s="137"/>
    </row>
    <row r="96" spans="1:28" s="47" customFormat="1" x14ac:dyDescent="0.25">
      <c r="A96" s="26">
        <v>40156</v>
      </c>
      <c r="B96" s="47">
        <v>1183</v>
      </c>
      <c r="C96" s="47" t="s">
        <v>280</v>
      </c>
      <c r="D96" s="47">
        <v>1000</v>
      </c>
      <c r="E96" s="23">
        <v>11.9</v>
      </c>
      <c r="F96" s="23">
        <f>D96*E96</f>
        <v>11900</v>
      </c>
      <c r="G96" s="23">
        <v>0.71</v>
      </c>
      <c r="H96" s="23">
        <v>3.39</v>
      </c>
      <c r="I96" s="23">
        <v>15.99</v>
      </c>
      <c r="J96" s="23">
        <v>0.8</v>
      </c>
      <c r="K96" s="23"/>
      <c r="L96" s="23">
        <f>F96+G96+H96+I96</f>
        <v>11920.089999999998</v>
      </c>
      <c r="M96" s="70"/>
      <c r="N96" s="137">
        <f t="shared" si="2"/>
        <v>5.9663865546218487E-5</v>
      </c>
      <c r="O96" s="137">
        <f t="shared" si="3"/>
        <v>2.8487394957983197E-4</v>
      </c>
      <c r="R96" s="23"/>
      <c r="S96" s="23"/>
      <c r="T96" s="23"/>
      <c r="U96" s="23"/>
      <c r="V96" s="23"/>
      <c r="W96" s="23"/>
      <c r="X96" s="23"/>
      <c r="Y96" s="23"/>
      <c r="Z96" s="23"/>
      <c r="AA96" s="23"/>
      <c r="AB96" s="23"/>
    </row>
    <row r="97" spans="1:28" x14ac:dyDescent="0.25">
      <c r="A97" s="10"/>
      <c r="M97" s="70"/>
      <c r="N97" s="137"/>
      <c r="O97" s="137"/>
    </row>
    <row r="98" spans="1:28" s="47" customFormat="1" x14ac:dyDescent="0.25">
      <c r="A98" s="26">
        <v>40157</v>
      </c>
      <c r="B98" s="47">
        <v>1281</v>
      </c>
      <c r="C98" s="47" t="s">
        <v>280</v>
      </c>
      <c r="D98" s="47">
        <v>1000</v>
      </c>
      <c r="E98" s="23">
        <v>11.9</v>
      </c>
      <c r="F98" s="23">
        <f>D98*E98</f>
        <v>11900</v>
      </c>
      <c r="G98" s="23">
        <f>1.44*(F98/SUM(F98:F99))</f>
        <v>0.71370262390670558</v>
      </c>
      <c r="H98" s="23">
        <f>4.56*(F98/SUM(F98:F99))</f>
        <v>2.2600583090379009</v>
      </c>
      <c r="I98" s="23">
        <v>15.99</v>
      </c>
      <c r="J98" s="23">
        <v>0.8</v>
      </c>
      <c r="K98" s="23"/>
      <c r="L98" s="23">
        <f>F98+G98+H98+I98</f>
        <v>11918.963760932944</v>
      </c>
      <c r="M98" s="70"/>
      <c r="N98" s="137">
        <f t="shared" si="2"/>
        <v>5.99750104123282E-5</v>
      </c>
      <c r="O98" s="139">
        <f t="shared" si="3"/>
        <v>1.8992086630570596E-4</v>
      </c>
      <c r="R98" s="23"/>
      <c r="S98" s="23"/>
      <c r="T98" s="23"/>
      <c r="U98" s="23"/>
      <c r="V98" s="23"/>
      <c r="W98" s="23"/>
      <c r="X98" s="23"/>
      <c r="Y98" s="23"/>
      <c r="Z98" s="23"/>
      <c r="AA98" s="23"/>
      <c r="AB98" s="23"/>
    </row>
    <row r="99" spans="1:28" s="72" customFormat="1" x14ac:dyDescent="0.25">
      <c r="A99" s="71">
        <v>40157</v>
      </c>
      <c r="B99" s="72">
        <v>1281</v>
      </c>
      <c r="C99" s="72" t="s">
        <v>280</v>
      </c>
      <c r="D99" s="72">
        <v>1000</v>
      </c>
      <c r="E99" s="73">
        <v>12.11</v>
      </c>
      <c r="F99" s="73">
        <f>D99*E99</f>
        <v>12110</v>
      </c>
      <c r="G99" s="73">
        <f>1.44*(F99/SUM(F98:F99))</f>
        <v>0.72629737609329448</v>
      </c>
      <c r="H99" s="73">
        <f>4.56*(F99/SUM(F98:F99))</f>
        <v>2.2999416909620991</v>
      </c>
      <c r="I99" s="73">
        <v>15.99</v>
      </c>
      <c r="J99" s="73">
        <v>0.8</v>
      </c>
      <c r="K99" s="73">
        <v>0</v>
      </c>
      <c r="L99" s="73">
        <f>F99-G99-H99-I99-K99</f>
        <v>12090.983760932944</v>
      </c>
      <c r="M99" s="70"/>
      <c r="N99" s="137">
        <f t="shared" si="2"/>
        <v>5.99750104123282E-5</v>
      </c>
      <c r="O99" s="139">
        <f t="shared" si="3"/>
        <v>1.8992086630570596E-4</v>
      </c>
      <c r="R99" s="73"/>
      <c r="S99" s="73"/>
      <c r="T99" s="73"/>
      <c r="U99" s="73"/>
      <c r="V99" s="73"/>
      <c r="W99" s="73"/>
      <c r="X99" s="73"/>
      <c r="Y99" s="73"/>
      <c r="Z99" s="73"/>
      <c r="AA99" s="73"/>
      <c r="AB99" s="73"/>
    </row>
    <row r="100" spans="1:28" s="47" customFormat="1" x14ac:dyDescent="0.25">
      <c r="A100" s="26"/>
      <c r="E100" s="23"/>
      <c r="F100" s="74">
        <f>F99-F98</f>
        <v>210</v>
      </c>
      <c r="G100" s="19">
        <f>SUM(G98:G99)</f>
        <v>1.44</v>
      </c>
      <c r="H100" s="19">
        <f>SUM(H98:H99)</f>
        <v>4.5600000000000005</v>
      </c>
      <c r="I100" s="19">
        <f>SUM(I98:I99)</f>
        <v>31.98</v>
      </c>
      <c r="J100" s="19">
        <f>SUM(J98:J99)</f>
        <v>1.6</v>
      </c>
      <c r="K100" s="19"/>
      <c r="L100" s="74">
        <f>L99-L98</f>
        <v>172.02000000000044</v>
      </c>
      <c r="M100" s="70"/>
      <c r="N100" s="137"/>
      <c r="O100" s="137"/>
      <c r="R100" s="23"/>
      <c r="S100" s="23"/>
      <c r="T100" s="23"/>
      <c r="U100" s="23"/>
      <c r="V100" s="23"/>
      <c r="W100" s="23"/>
      <c r="X100" s="23"/>
      <c r="Y100" s="23"/>
      <c r="Z100" s="23"/>
      <c r="AA100" s="23"/>
      <c r="AB100" s="23"/>
    </row>
    <row r="101" spans="1:28" s="47" customFormat="1" x14ac:dyDescent="0.25">
      <c r="A101" s="26"/>
      <c r="E101" s="23"/>
      <c r="F101" s="19"/>
      <c r="G101" s="19"/>
      <c r="H101" s="19"/>
      <c r="I101" s="19"/>
      <c r="J101" s="19"/>
      <c r="K101" s="19"/>
      <c r="L101" s="19"/>
      <c r="M101" s="70"/>
      <c r="N101" s="137"/>
      <c r="O101" s="137"/>
      <c r="R101" s="23"/>
      <c r="S101" s="23"/>
      <c r="T101" s="23"/>
      <c r="U101" s="23"/>
      <c r="V101" s="23"/>
      <c r="W101" s="23"/>
      <c r="X101" s="23"/>
      <c r="Y101" s="23"/>
      <c r="Z101" s="23"/>
      <c r="AA101" s="23"/>
      <c r="AB101" s="23"/>
    </row>
    <row r="102" spans="1:28" s="72" customFormat="1" x14ac:dyDescent="0.25">
      <c r="A102" s="71">
        <v>40158</v>
      </c>
      <c r="B102" s="72">
        <v>1171</v>
      </c>
      <c r="C102" s="72" t="s">
        <v>275</v>
      </c>
      <c r="D102" s="72">
        <v>500</v>
      </c>
      <c r="E102" s="73">
        <v>26.1</v>
      </c>
      <c r="F102" s="73">
        <f>D102*E102</f>
        <v>13050</v>
      </c>
      <c r="G102" s="73">
        <f>1.51*(F102/SUM(F102:F103))</f>
        <v>0.78289630512514907</v>
      </c>
      <c r="H102" s="73">
        <f>7.17*(F102/SUM(F102:F103))</f>
        <v>3.7174612634088202</v>
      </c>
      <c r="I102" s="73">
        <v>15.99</v>
      </c>
      <c r="J102" s="73">
        <v>0.8</v>
      </c>
      <c r="K102" s="73">
        <f>1.25*(F102/SUM(F102:F103))</f>
        <v>0.64809296781883197</v>
      </c>
      <c r="L102" s="73">
        <f>F102-G102-H102-I102-K102</f>
        <v>13028.861549463649</v>
      </c>
      <c r="M102" s="70"/>
      <c r="N102" s="137">
        <f t="shared" si="2"/>
        <v>5.9992054032578471E-5</v>
      </c>
      <c r="O102" s="137">
        <f t="shared" si="3"/>
        <v>2.8486293206197858E-4</v>
      </c>
      <c r="R102" s="73"/>
      <c r="S102" s="73"/>
      <c r="T102" s="73"/>
      <c r="U102" s="73"/>
      <c r="V102" s="73"/>
      <c r="W102" s="73"/>
      <c r="X102" s="73"/>
      <c r="Y102" s="73"/>
      <c r="Z102" s="73"/>
      <c r="AA102" s="73"/>
      <c r="AB102" s="73"/>
    </row>
    <row r="103" spans="1:28" s="72" customFormat="1" x14ac:dyDescent="0.25">
      <c r="A103" s="71">
        <v>40158</v>
      </c>
      <c r="B103" s="72">
        <v>1171</v>
      </c>
      <c r="C103" s="72" t="s">
        <v>280</v>
      </c>
      <c r="D103" s="72">
        <v>1000</v>
      </c>
      <c r="E103" s="73">
        <v>12.12</v>
      </c>
      <c r="F103" s="73">
        <f>D103*E103</f>
        <v>12120</v>
      </c>
      <c r="G103" s="73">
        <f>1.51*(F103/SUM(F102:F103))</f>
        <v>0.72710369487485105</v>
      </c>
      <c r="H103" s="73">
        <f>7.17*(F103/SUM(F102:F103))</f>
        <v>3.4525387365911802</v>
      </c>
      <c r="I103" s="73">
        <v>15.99</v>
      </c>
      <c r="J103" s="73">
        <v>0.8</v>
      </c>
      <c r="K103" s="73">
        <f>1.25*(F103/SUM(F102:F103))</f>
        <v>0.60190703218116803</v>
      </c>
      <c r="L103" s="73">
        <f>F103-G103-H103-I103-K103</f>
        <v>12099.228450536351</v>
      </c>
      <c r="M103" s="70"/>
      <c r="N103" s="137">
        <f t="shared" si="2"/>
        <v>5.9992054032578471E-5</v>
      </c>
      <c r="O103" s="137">
        <f t="shared" si="3"/>
        <v>2.8486293206197858E-4</v>
      </c>
      <c r="R103" s="73"/>
      <c r="S103" s="73"/>
      <c r="T103" s="73"/>
      <c r="U103" s="73"/>
      <c r="V103" s="73"/>
      <c r="W103" s="73"/>
      <c r="X103" s="73"/>
      <c r="Y103" s="73"/>
      <c r="Z103" s="73"/>
      <c r="AA103" s="73"/>
      <c r="AB103" s="73"/>
    </row>
    <row r="104" spans="1:28" s="72" customFormat="1" x14ac:dyDescent="0.25">
      <c r="A104" s="71"/>
      <c r="E104" s="73"/>
      <c r="F104" s="74">
        <f t="shared" ref="F104:L104" si="4">SUM(F102:F103)</f>
        <v>25170</v>
      </c>
      <c r="G104" s="74">
        <f t="shared" si="4"/>
        <v>1.5100000000000002</v>
      </c>
      <c r="H104" s="74">
        <f t="shared" si="4"/>
        <v>7.17</v>
      </c>
      <c r="I104" s="74">
        <f t="shared" si="4"/>
        <v>31.98</v>
      </c>
      <c r="J104" s="74">
        <f t="shared" si="4"/>
        <v>1.6</v>
      </c>
      <c r="K104" s="74">
        <f t="shared" si="4"/>
        <v>1.25</v>
      </c>
      <c r="L104" s="74">
        <f t="shared" si="4"/>
        <v>25128.09</v>
      </c>
      <c r="M104" s="70"/>
      <c r="N104" s="137"/>
      <c r="O104" s="137"/>
      <c r="R104" s="73"/>
      <c r="S104" s="73"/>
      <c r="T104" s="73"/>
      <c r="U104" s="73"/>
      <c r="V104" s="73"/>
      <c r="W104" s="73"/>
      <c r="X104" s="73"/>
      <c r="Y104" s="73"/>
      <c r="Z104" s="73"/>
      <c r="AA104" s="73"/>
      <c r="AB104" s="73"/>
    </row>
    <row r="105" spans="1:28" s="72" customFormat="1" x14ac:dyDescent="0.25">
      <c r="A105" s="71"/>
      <c r="E105" s="73"/>
      <c r="F105" s="74"/>
      <c r="G105" s="74"/>
      <c r="H105" s="74"/>
      <c r="I105" s="74"/>
      <c r="J105" s="74"/>
      <c r="K105" s="74"/>
      <c r="L105" s="74"/>
      <c r="M105" s="70"/>
      <c r="N105" s="137"/>
      <c r="O105" s="137"/>
      <c r="R105" s="73"/>
      <c r="S105" s="73"/>
      <c r="T105" s="73"/>
      <c r="U105" s="73"/>
      <c r="V105" s="73"/>
      <c r="W105" s="73"/>
      <c r="X105" s="73"/>
      <c r="Y105" s="73"/>
      <c r="Z105" s="73"/>
      <c r="AA105" s="73"/>
      <c r="AB105" s="73"/>
    </row>
    <row r="106" spans="1:28" s="47" customFormat="1" x14ac:dyDescent="0.25">
      <c r="A106" s="26">
        <v>40161</v>
      </c>
      <c r="B106" s="47">
        <v>1082</v>
      </c>
      <c r="C106" s="47" t="s">
        <v>281</v>
      </c>
      <c r="D106" s="47">
        <v>1800</v>
      </c>
      <c r="E106" s="23">
        <v>4.74</v>
      </c>
      <c r="F106" s="23">
        <f>D106*E106</f>
        <v>8532</v>
      </c>
      <c r="G106" s="23">
        <v>0.51</v>
      </c>
      <c r="H106" s="23">
        <v>2.4300000000000002</v>
      </c>
      <c r="I106" s="23">
        <v>15.99</v>
      </c>
      <c r="J106" s="23">
        <v>0.8</v>
      </c>
      <c r="K106" s="23"/>
      <c r="L106" s="23">
        <f>F106+G106+H106+I106</f>
        <v>8550.93</v>
      </c>
      <c r="M106" s="70"/>
      <c r="N106" s="137">
        <f t="shared" si="2"/>
        <v>5.9774964838255976E-5</v>
      </c>
      <c r="O106" s="137">
        <f t="shared" si="3"/>
        <v>2.8481012658227849E-4</v>
      </c>
      <c r="R106" s="23"/>
      <c r="S106" s="23"/>
      <c r="T106" s="23"/>
      <c r="U106" s="23"/>
      <c r="V106" s="23"/>
      <c r="W106" s="23"/>
      <c r="X106" s="23"/>
      <c r="Y106" s="23"/>
      <c r="Z106" s="23"/>
      <c r="AA106" s="23"/>
      <c r="AB106" s="23"/>
    </row>
    <row r="107" spans="1:28" x14ac:dyDescent="0.25">
      <c r="A107" s="10"/>
      <c r="M107" s="70"/>
      <c r="N107" s="137"/>
      <c r="O107" s="137"/>
    </row>
    <row r="108" spans="1:28" s="47" customFormat="1" x14ac:dyDescent="0.25">
      <c r="A108" s="26">
        <v>40162</v>
      </c>
      <c r="B108" s="47">
        <v>1020</v>
      </c>
      <c r="C108" s="47" t="s">
        <v>282</v>
      </c>
      <c r="D108" s="47">
        <v>1200</v>
      </c>
      <c r="E108" s="23">
        <v>9.6999999999999993</v>
      </c>
      <c r="F108" s="23">
        <f>D108*E108</f>
        <v>11640</v>
      </c>
      <c r="G108" s="23">
        <v>0.69</v>
      </c>
      <c r="H108" s="23">
        <v>3.31</v>
      </c>
      <c r="I108" s="23">
        <v>15.99</v>
      </c>
      <c r="J108" s="23">
        <v>0.8</v>
      </c>
      <c r="K108" s="23"/>
      <c r="L108" s="23">
        <f>F108+G108+H108+I108</f>
        <v>11659.99</v>
      </c>
      <c r="M108" s="70"/>
      <c r="N108" s="137">
        <f t="shared" si="2"/>
        <v>5.9278350515463914E-5</v>
      </c>
      <c r="O108" s="137">
        <f t="shared" si="3"/>
        <v>2.8436426116838488E-4</v>
      </c>
      <c r="R108" s="23"/>
      <c r="S108" s="23"/>
      <c r="T108" s="23"/>
      <c r="U108" s="23"/>
      <c r="V108" s="23"/>
      <c r="W108" s="23"/>
      <c r="X108" s="23"/>
      <c r="Y108" s="23"/>
      <c r="Z108" s="23"/>
      <c r="AA108" s="23"/>
      <c r="AB108" s="23"/>
    </row>
    <row r="109" spans="1:28" x14ac:dyDescent="0.25">
      <c r="A109" s="10"/>
      <c r="M109" s="70"/>
      <c r="N109" s="137"/>
      <c r="O109" s="137"/>
    </row>
    <row r="110" spans="1:28" s="47" customFormat="1" x14ac:dyDescent="0.25">
      <c r="A110" s="26">
        <v>40163</v>
      </c>
      <c r="B110" s="47">
        <v>1129</v>
      </c>
      <c r="C110" s="47" t="s">
        <v>280</v>
      </c>
      <c r="D110" s="47">
        <v>400</v>
      </c>
      <c r="E110" s="23">
        <v>11.9</v>
      </c>
      <c r="F110" s="23">
        <f>D110*E110</f>
        <v>4760</v>
      </c>
      <c r="G110" s="23">
        <v>0.28000000000000003</v>
      </c>
      <c r="H110" s="23">
        <v>1.35</v>
      </c>
      <c r="I110" s="23">
        <v>15.99</v>
      </c>
      <c r="J110" s="23">
        <v>0.8</v>
      </c>
      <c r="K110" s="23"/>
      <c r="L110" s="23">
        <f>F110+G110+H110+I110</f>
        <v>4777.62</v>
      </c>
      <c r="M110" s="70"/>
      <c r="N110" s="137">
        <f t="shared" si="2"/>
        <v>5.8823529411764714E-5</v>
      </c>
      <c r="O110" s="137">
        <f t="shared" si="3"/>
        <v>2.8361344537815129E-4</v>
      </c>
      <c r="R110" s="23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</row>
    <row r="111" spans="1:28" x14ac:dyDescent="0.25">
      <c r="A111" s="10"/>
      <c r="M111" s="70"/>
      <c r="N111" s="137"/>
      <c r="O111" s="137"/>
    </row>
    <row r="112" spans="1:28" x14ac:dyDescent="0.25">
      <c r="A112" s="71">
        <v>40177</v>
      </c>
      <c r="B112" s="72">
        <v>812</v>
      </c>
      <c r="C112" s="72" t="s">
        <v>280</v>
      </c>
      <c r="D112" s="72">
        <v>400</v>
      </c>
      <c r="E112" s="73">
        <v>12.35</v>
      </c>
      <c r="F112" s="73">
        <f>D112*E112</f>
        <v>4940</v>
      </c>
      <c r="G112" s="75">
        <f t="shared" ref="G112" si="5">F112*0.0275%</f>
        <v>1.3585</v>
      </c>
      <c r="H112" s="75">
        <f>F112*0.007%</f>
        <v>0.34580000000000005</v>
      </c>
      <c r="I112" s="75">
        <v>15.99</v>
      </c>
      <c r="J112" s="75">
        <v>0.8</v>
      </c>
      <c r="K112" s="75">
        <v>0.24</v>
      </c>
      <c r="L112" s="73">
        <f>F112-G112-H112-I112</f>
        <v>4922.3056999999999</v>
      </c>
      <c r="M112" s="70"/>
      <c r="N112" s="139">
        <f t="shared" si="2"/>
        <v>2.7500000000000002E-4</v>
      </c>
      <c r="O112" s="139">
        <f t="shared" si="3"/>
        <v>7.0000000000000007E-5</v>
      </c>
    </row>
    <row r="113" spans="1:28" x14ac:dyDescent="0.25">
      <c r="A113" s="10"/>
      <c r="M113" s="70"/>
      <c r="N113" s="137"/>
      <c r="O113" s="137"/>
    </row>
    <row r="114" spans="1:28" x14ac:dyDescent="0.25">
      <c r="A114" s="71">
        <v>40184</v>
      </c>
      <c r="B114" s="72">
        <v>1288</v>
      </c>
      <c r="C114" s="72" t="s">
        <v>281</v>
      </c>
      <c r="D114" s="72">
        <v>1800</v>
      </c>
      <c r="E114" s="73">
        <v>4.92</v>
      </c>
      <c r="F114" s="73">
        <f>D114*E114</f>
        <v>8856</v>
      </c>
      <c r="G114" s="75">
        <f t="shared" ref="G114" si="6">F114*0.0275%</f>
        <v>2.4354</v>
      </c>
      <c r="H114" s="75">
        <f>F114*0.007%</f>
        <v>0.61992000000000003</v>
      </c>
      <c r="I114" s="75">
        <v>15.99</v>
      </c>
      <c r="J114" s="75">
        <v>0.8</v>
      </c>
      <c r="K114" s="75">
        <v>0.44</v>
      </c>
      <c r="L114" s="73">
        <f>F114-G114-H114-I114</f>
        <v>8836.9546800000007</v>
      </c>
      <c r="M114" s="70"/>
      <c r="N114" s="139">
        <f t="shared" si="2"/>
        <v>2.7500000000000002E-4</v>
      </c>
      <c r="O114" s="139">
        <f t="shared" si="3"/>
        <v>7.0000000000000007E-5</v>
      </c>
    </row>
    <row r="115" spans="1:28" x14ac:dyDescent="0.25">
      <c r="A115" s="10"/>
      <c r="M115" s="70"/>
      <c r="N115" s="137"/>
      <c r="O115" s="137"/>
    </row>
    <row r="116" spans="1:28" s="47" customFormat="1" x14ac:dyDescent="0.25">
      <c r="A116" s="26">
        <v>40190</v>
      </c>
      <c r="B116" s="47">
        <v>1482</v>
      </c>
      <c r="C116" s="47" t="s">
        <v>268</v>
      </c>
      <c r="D116" s="47">
        <v>500</v>
      </c>
      <c r="E116" s="23">
        <v>36.200000000000003</v>
      </c>
      <c r="F116" s="23">
        <f>D116*E116</f>
        <v>18100</v>
      </c>
      <c r="G116" s="23">
        <v>1.08</v>
      </c>
      <c r="H116" s="23">
        <v>5.15</v>
      </c>
      <c r="I116" s="23">
        <v>15.99</v>
      </c>
      <c r="J116" s="23">
        <v>0.8</v>
      </c>
      <c r="K116" s="23"/>
      <c r="L116" s="23">
        <f>F116+G116+H116+I116</f>
        <v>18122.220000000005</v>
      </c>
      <c r="M116" s="70"/>
      <c r="N116" s="137">
        <f t="shared" si="2"/>
        <v>5.9668508287292822E-5</v>
      </c>
      <c r="O116" s="137">
        <f t="shared" si="3"/>
        <v>2.8453038674033151E-4</v>
      </c>
      <c r="R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</row>
    <row r="117" spans="1:28" x14ac:dyDescent="0.25">
      <c r="A117" s="10"/>
      <c r="M117" s="70"/>
      <c r="N117" s="137"/>
      <c r="O117" s="137"/>
    </row>
    <row r="118" spans="1:28" x14ac:dyDescent="0.25">
      <c r="A118" s="71">
        <v>40192</v>
      </c>
      <c r="B118" s="72">
        <v>1256</v>
      </c>
      <c r="C118" s="72" t="s">
        <v>282</v>
      </c>
      <c r="D118" s="72">
        <v>1200</v>
      </c>
      <c r="E118" s="73">
        <v>10.33</v>
      </c>
      <c r="F118" s="73">
        <f>D118*E118</f>
        <v>12396</v>
      </c>
      <c r="G118" s="75">
        <f t="shared" ref="G118" si="7">F118*0.0275%</f>
        <v>3.4089</v>
      </c>
      <c r="H118" s="75">
        <f>F118*0.007%</f>
        <v>0.86772000000000005</v>
      </c>
      <c r="I118" s="75">
        <v>15.99</v>
      </c>
      <c r="J118" s="75">
        <v>0.8</v>
      </c>
      <c r="K118" s="75">
        <v>0.61</v>
      </c>
      <c r="L118" s="73">
        <f>F118-G118-H118-I118</f>
        <v>12375.73338</v>
      </c>
      <c r="M118" s="70"/>
      <c r="N118" s="139">
        <f t="shared" si="2"/>
        <v>2.7500000000000002E-4</v>
      </c>
      <c r="O118" s="139">
        <f t="shared" si="3"/>
        <v>7.0000000000000007E-5</v>
      </c>
    </row>
    <row r="119" spans="1:28" x14ac:dyDescent="0.25">
      <c r="A119" s="10"/>
      <c r="M119" s="70"/>
      <c r="N119" s="137"/>
      <c r="O119" s="137"/>
    </row>
    <row r="120" spans="1:28" s="47" customFormat="1" x14ac:dyDescent="0.25">
      <c r="A120" s="26">
        <v>40193</v>
      </c>
      <c r="B120" s="47">
        <v>1239</v>
      </c>
      <c r="C120" s="47" t="s">
        <v>283</v>
      </c>
      <c r="D120" s="47">
        <v>700</v>
      </c>
      <c r="E120" s="23">
        <v>16.899999999999999</v>
      </c>
      <c r="F120" s="23">
        <f>D120*E120</f>
        <v>11829.999999999998</v>
      </c>
      <c r="G120" s="23">
        <v>0.7</v>
      </c>
      <c r="H120" s="23">
        <v>3.37</v>
      </c>
      <c r="I120" s="23">
        <v>15.99</v>
      </c>
      <c r="J120" s="23">
        <v>0.8</v>
      </c>
      <c r="K120" s="23"/>
      <c r="L120" s="23">
        <f>F120+G120+H120+I120</f>
        <v>11850.06</v>
      </c>
      <c r="M120" s="70"/>
      <c r="N120" s="137">
        <f t="shared" si="2"/>
        <v>5.9171597633136101E-5</v>
      </c>
      <c r="O120" s="137">
        <f t="shared" si="3"/>
        <v>2.8486897717666952E-4</v>
      </c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</row>
    <row r="121" spans="1:28" x14ac:dyDescent="0.25">
      <c r="A121" s="10"/>
      <c r="M121" s="70"/>
      <c r="N121" s="137"/>
      <c r="O121" s="137"/>
    </row>
    <row r="122" spans="1:28" s="72" customFormat="1" x14ac:dyDescent="0.25">
      <c r="A122" s="71">
        <v>40205</v>
      </c>
      <c r="B122" s="72">
        <v>1165</v>
      </c>
      <c r="C122" s="72" t="s">
        <v>283</v>
      </c>
      <c r="D122" s="72">
        <v>700</v>
      </c>
      <c r="E122" s="73">
        <v>17</v>
      </c>
      <c r="F122" s="73">
        <f>D122*E122</f>
        <v>11900</v>
      </c>
      <c r="G122" s="73">
        <v>0.71</v>
      </c>
      <c r="H122" s="73">
        <v>3.39</v>
      </c>
      <c r="I122" s="73">
        <v>15.99</v>
      </c>
      <c r="J122" s="73">
        <v>0.8</v>
      </c>
      <c r="K122" s="73">
        <v>0.59</v>
      </c>
      <c r="L122" s="73">
        <f>F122-G122-H122-I122</f>
        <v>11879.910000000002</v>
      </c>
      <c r="M122" s="70"/>
      <c r="N122" s="137">
        <f t="shared" si="2"/>
        <v>5.9663865546218487E-5</v>
      </c>
      <c r="O122" s="137">
        <f t="shared" si="3"/>
        <v>2.8487394957983197E-4</v>
      </c>
      <c r="R122" s="73"/>
      <c r="S122" s="73"/>
      <c r="T122" s="73"/>
      <c r="U122" s="73"/>
      <c r="V122" s="73"/>
      <c r="W122" s="73"/>
      <c r="X122" s="73"/>
      <c r="Y122" s="73"/>
      <c r="Z122" s="73"/>
      <c r="AA122" s="73"/>
      <c r="AB122" s="73"/>
    </row>
    <row r="123" spans="1:28" x14ac:dyDescent="0.25">
      <c r="A123" s="10"/>
      <c r="M123" s="70"/>
      <c r="N123" s="137"/>
      <c r="O123" s="137"/>
    </row>
    <row r="124" spans="1:28" s="47" customFormat="1" x14ac:dyDescent="0.25">
      <c r="A124" s="26">
        <v>40210</v>
      </c>
      <c r="B124" s="47">
        <v>1039</v>
      </c>
      <c r="C124" s="47" t="s">
        <v>277</v>
      </c>
      <c r="D124" s="47">
        <v>2700</v>
      </c>
      <c r="E124" s="23">
        <v>4.8</v>
      </c>
      <c r="F124" s="23">
        <f>D124*E124</f>
        <v>12960</v>
      </c>
      <c r="G124" s="23">
        <v>0.77</v>
      </c>
      <c r="H124" s="23">
        <v>3.69</v>
      </c>
      <c r="I124" s="23">
        <v>15.99</v>
      </c>
      <c r="J124" s="23">
        <v>0.8</v>
      </c>
      <c r="K124" s="23"/>
      <c r="L124" s="23">
        <f>F124+G124+H124+I124</f>
        <v>12980.45</v>
      </c>
      <c r="M124" s="70"/>
      <c r="N124" s="137">
        <f t="shared" si="2"/>
        <v>5.9413580246913582E-5</v>
      </c>
      <c r="O124" s="137">
        <f t="shared" si="3"/>
        <v>2.8472222222222223E-4</v>
      </c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</row>
    <row r="125" spans="1:28" x14ac:dyDescent="0.25">
      <c r="A125" s="10"/>
      <c r="M125" s="70"/>
      <c r="N125" s="137"/>
      <c r="O125" s="137"/>
    </row>
    <row r="126" spans="1:28" x14ac:dyDescent="0.25">
      <c r="A126" s="26">
        <v>40211</v>
      </c>
      <c r="B126" s="47">
        <v>1147</v>
      </c>
      <c r="C126" s="47" t="s">
        <v>282</v>
      </c>
      <c r="D126" s="47">
        <v>500</v>
      </c>
      <c r="E126" s="23">
        <v>9.4</v>
      </c>
      <c r="F126" s="23">
        <f>D126*E126</f>
        <v>4700</v>
      </c>
      <c r="G126" s="57">
        <f t="shared" ref="G126:G127" si="8">F126*0.0275%</f>
        <v>1.2925</v>
      </c>
      <c r="H126" s="57">
        <f>F126*0.007%</f>
        <v>0.32900000000000001</v>
      </c>
      <c r="I126" s="57">
        <v>15.99</v>
      </c>
      <c r="J126" s="57">
        <v>0.8</v>
      </c>
      <c r="K126" s="57"/>
      <c r="L126" s="23">
        <f>F126+G126+H126+I126</f>
        <v>4717.6114999999991</v>
      </c>
      <c r="M126" s="70"/>
      <c r="N126" s="139">
        <f t="shared" si="2"/>
        <v>2.7500000000000002E-4</v>
      </c>
      <c r="O126" s="139">
        <f t="shared" si="3"/>
        <v>7.0000000000000007E-5</v>
      </c>
    </row>
    <row r="127" spans="1:28" x14ac:dyDescent="0.25">
      <c r="A127" s="71">
        <v>40211</v>
      </c>
      <c r="B127" s="72">
        <v>1147</v>
      </c>
      <c r="C127" s="72" t="s">
        <v>277</v>
      </c>
      <c r="D127" s="72">
        <v>2700</v>
      </c>
      <c r="E127" s="73">
        <v>4.95</v>
      </c>
      <c r="F127" s="73">
        <f>D127*E127</f>
        <v>13365</v>
      </c>
      <c r="G127" s="75">
        <f t="shared" si="8"/>
        <v>3.6753750000000003</v>
      </c>
      <c r="H127" s="75">
        <f>F127*0.007%</f>
        <v>0.9355500000000001</v>
      </c>
      <c r="I127" s="75">
        <v>15.99</v>
      </c>
      <c r="J127" s="75">
        <v>0.8</v>
      </c>
      <c r="K127" s="75"/>
      <c r="L127" s="73">
        <f>F127-G127-H127-I127-K127</f>
        <v>13344.399074999999</v>
      </c>
      <c r="M127" s="70"/>
      <c r="N127" s="139">
        <f t="shared" si="2"/>
        <v>2.7500000000000002E-4</v>
      </c>
      <c r="O127" s="139">
        <f t="shared" si="3"/>
        <v>7.0000000000000007E-5</v>
      </c>
    </row>
    <row r="128" spans="1:28" s="47" customFormat="1" x14ac:dyDescent="0.25">
      <c r="A128" s="26"/>
      <c r="E128" s="23"/>
      <c r="F128" s="74">
        <f>F127-F126</f>
        <v>8665</v>
      </c>
      <c r="G128" s="19">
        <f>SUM(G126:G127)</f>
        <v>4.9678750000000003</v>
      </c>
      <c r="H128" s="19">
        <f>SUM(H126:H127)</f>
        <v>1.2645500000000001</v>
      </c>
      <c r="I128" s="19">
        <f>SUM(I126:I127)</f>
        <v>31.98</v>
      </c>
      <c r="J128" s="19">
        <f>SUM(J126:J127)</f>
        <v>1.6</v>
      </c>
      <c r="K128" s="19"/>
      <c r="L128" s="74">
        <f>L127-L126</f>
        <v>8626.7875750000003</v>
      </c>
      <c r="M128" s="70"/>
      <c r="N128" s="137"/>
      <c r="O128" s="137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</row>
    <row r="129" spans="1:28" x14ac:dyDescent="0.25">
      <c r="A129" s="10"/>
      <c r="M129" s="70"/>
      <c r="N129" s="137"/>
      <c r="O129" s="137"/>
    </row>
    <row r="130" spans="1:28" x14ac:dyDescent="0.25">
      <c r="A130" s="26">
        <v>40213</v>
      </c>
      <c r="B130" s="47">
        <v>1720</v>
      </c>
      <c r="C130" s="47" t="s">
        <v>284</v>
      </c>
      <c r="D130" s="47">
        <v>1200</v>
      </c>
      <c r="E130" s="23">
        <v>3.45</v>
      </c>
      <c r="F130" s="23">
        <f>D130*E130</f>
        <v>4140</v>
      </c>
      <c r="G130" s="57">
        <f t="shared" ref="G130:G131" si="9">F130*0.0275%</f>
        <v>1.1385000000000001</v>
      </c>
      <c r="H130" s="57">
        <f>F130*0.007%</f>
        <v>0.28980000000000006</v>
      </c>
      <c r="I130" s="57">
        <v>15.99</v>
      </c>
      <c r="J130" s="57">
        <v>0.8</v>
      </c>
      <c r="K130" s="57"/>
      <c r="L130" s="23">
        <f>F130+G130+H130+I130</f>
        <v>4157.4182999999994</v>
      </c>
      <c r="M130" s="70"/>
      <c r="N130" s="139">
        <f t="shared" si="2"/>
        <v>2.7500000000000002E-4</v>
      </c>
      <c r="O130" s="139">
        <f t="shared" si="3"/>
        <v>7.0000000000000007E-5</v>
      </c>
    </row>
    <row r="131" spans="1:28" x14ac:dyDescent="0.25">
      <c r="A131" s="26">
        <v>40213</v>
      </c>
      <c r="B131" s="47">
        <v>1720</v>
      </c>
      <c r="C131" s="47" t="s">
        <v>277</v>
      </c>
      <c r="D131" s="47">
        <v>900</v>
      </c>
      <c r="E131" s="23">
        <v>4.8499999999999996</v>
      </c>
      <c r="F131" s="23">
        <f>D131*E131</f>
        <v>4365</v>
      </c>
      <c r="G131" s="57">
        <f t="shared" si="9"/>
        <v>1.200375</v>
      </c>
      <c r="H131" s="57">
        <f>F131*0.007%</f>
        <v>0.30555000000000004</v>
      </c>
      <c r="I131" s="57">
        <v>15.99</v>
      </c>
      <c r="J131" s="57">
        <v>0.8</v>
      </c>
      <c r="K131" s="57"/>
      <c r="L131" s="23">
        <f>F131+G131+H131+I131</f>
        <v>4382.4959250000002</v>
      </c>
      <c r="M131" s="70"/>
      <c r="N131" s="139">
        <f t="shared" ref="N131:N193" si="10">G131/F131</f>
        <v>2.7500000000000002E-4</v>
      </c>
      <c r="O131" s="139">
        <f t="shared" ref="O131:O193" si="11">H131/F131</f>
        <v>7.0000000000000007E-5</v>
      </c>
    </row>
    <row r="132" spans="1:28" s="47" customFormat="1" x14ac:dyDescent="0.25">
      <c r="A132" s="26"/>
      <c r="E132" s="23"/>
      <c r="F132" s="19">
        <f>SUM(F130:F131)</f>
        <v>8505</v>
      </c>
      <c r="G132" s="19">
        <f>SUM(G130:G131)</f>
        <v>2.3388749999999998</v>
      </c>
      <c r="H132" s="19">
        <f>SUM(H130:H131)</f>
        <v>0.59535000000000005</v>
      </c>
      <c r="I132" s="19">
        <f>SUM(I130:I131)</f>
        <v>31.98</v>
      </c>
      <c r="J132" s="19">
        <f>SUM(J130:J131)</f>
        <v>1.6</v>
      </c>
      <c r="K132" s="19"/>
      <c r="L132" s="19">
        <f>SUM(L130:L131)</f>
        <v>8539.9142250000004</v>
      </c>
      <c r="M132" s="70"/>
      <c r="N132" s="137"/>
      <c r="O132" s="137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</row>
    <row r="133" spans="1:28" x14ac:dyDescent="0.25">
      <c r="A133" s="10"/>
      <c r="M133" s="70"/>
      <c r="N133" s="137"/>
      <c r="O133" s="137"/>
    </row>
    <row r="134" spans="1:28" x14ac:dyDescent="0.25">
      <c r="A134" s="71">
        <v>40246</v>
      </c>
      <c r="B134" s="72">
        <v>1286</v>
      </c>
      <c r="C134" s="72" t="s">
        <v>277</v>
      </c>
      <c r="D134" s="72">
        <v>900</v>
      </c>
      <c r="E134" s="73">
        <v>5.15</v>
      </c>
      <c r="F134" s="73">
        <f>D134*E134</f>
        <v>4635</v>
      </c>
      <c r="G134" s="75">
        <f t="shared" ref="G134" si="12">F134*0.0275%</f>
        <v>1.2746250000000001</v>
      </c>
      <c r="H134" s="75">
        <f>F134*0.007%</f>
        <v>0.32445000000000002</v>
      </c>
      <c r="I134" s="75">
        <v>15.99</v>
      </c>
      <c r="J134" s="75">
        <v>0.8</v>
      </c>
      <c r="K134" s="75"/>
      <c r="L134" s="73">
        <f>F134-G134-H134-I134-K134</f>
        <v>4617.4109250000001</v>
      </c>
      <c r="M134" s="70"/>
      <c r="N134" s="139">
        <f t="shared" si="10"/>
        <v>2.7500000000000002E-4</v>
      </c>
      <c r="O134" s="139">
        <f t="shared" si="11"/>
        <v>7.0000000000000007E-5</v>
      </c>
    </row>
    <row r="135" spans="1:28" x14ac:dyDescent="0.25">
      <c r="A135" s="10"/>
      <c r="M135" s="70"/>
      <c r="N135" s="137"/>
      <c r="O135" s="137"/>
    </row>
    <row r="136" spans="1:28" x14ac:dyDescent="0.25">
      <c r="A136" s="26">
        <v>40260</v>
      </c>
      <c r="B136" s="47">
        <v>957</v>
      </c>
      <c r="C136" s="47" t="s">
        <v>285</v>
      </c>
      <c r="D136" s="47">
        <v>4100</v>
      </c>
      <c r="E136" s="23">
        <v>1.1499999999999999</v>
      </c>
      <c r="F136" s="23">
        <f>D136*E136</f>
        <v>4715</v>
      </c>
      <c r="G136" s="57">
        <f t="shared" ref="G136" si="13">F136*0.0275%</f>
        <v>1.2966250000000001</v>
      </c>
      <c r="H136" s="57">
        <f>F136*0.007%</f>
        <v>0.33005000000000001</v>
      </c>
      <c r="I136" s="57">
        <v>15.99</v>
      </c>
      <c r="J136" s="57">
        <v>0.8</v>
      </c>
      <c r="K136" s="57"/>
      <c r="L136" s="23">
        <f>F136+G136+H136+I136</f>
        <v>4732.6166749999993</v>
      </c>
      <c r="M136" s="70"/>
      <c r="N136" s="139">
        <f t="shared" si="10"/>
        <v>2.7500000000000002E-4</v>
      </c>
      <c r="O136" s="139">
        <f t="shared" si="11"/>
        <v>7.0000000000000007E-5</v>
      </c>
    </row>
    <row r="137" spans="1:28" x14ac:dyDescent="0.25">
      <c r="A137" s="10"/>
      <c r="M137" s="70"/>
      <c r="N137" s="137"/>
      <c r="O137" s="137"/>
    </row>
    <row r="138" spans="1:28" x14ac:dyDescent="0.25">
      <c r="A138" s="71">
        <v>40473</v>
      </c>
      <c r="B138" s="72">
        <v>699</v>
      </c>
      <c r="C138" s="72" t="s">
        <v>285</v>
      </c>
      <c r="D138" s="72">
        <v>4100</v>
      </c>
      <c r="E138" s="73">
        <v>1.25</v>
      </c>
      <c r="F138" s="73">
        <f>D138*E138</f>
        <v>5125</v>
      </c>
      <c r="G138" s="75">
        <f t="shared" ref="G138" si="14">F138*0.0275%</f>
        <v>1.409375</v>
      </c>
      <c r="H138" s="75">
        <f>F138*0.007%</f>
        <v>0.35875000000000001</v>
      </c>
      <c r="I138" s="75">
        <v>15.99</v>
      </c>
      <c r="J138" s="75">
        <v>0.8</v>
      </c>
      <c r="K138" s="75"/>
      <c r="L138" s="73">
        <f>F138-G138-H138-I138-K138</f>
        <v>5107.2418749999997</v>
      </c>
      <c r="M138" s="70"/>
      <c r="N138" s="139">
        <f t="shared" si="10"/>
        <v>2.7500000000000002E-4</v>
      </c>
      <c r="O138" s="139">
        <f t="shared" si="11"/>
        <v>7.0000000000000007E-5</v>
      </c>
    </row>
    <row r="139" spans="1:28" x14ac:dyDescent="0.25">
      <c r="A139" s="10"/>
      <c r="M139" s="70"/>
      <c r="N139" s="137"/>
      <c r="O139" s="137"/>
    </row>
    <row r="140" spans="1:28" x14ac:dyDescent="0.25">
      <c r="A140" s="71">
        <v>40540</v>
      </c>
      <c r="B140" s="72">
        <v>617</v>
      </c>
      <c r="C140" s="72" t="s">
        <v>284</v>
      </c>
      <c r="D140" s="72">
        <v>1200</v>
      </c>
      <c r="E140" s="73">
        <v>3.47</v>
      </c>
      <c r="F140" s="73">
        <f>D140*E140</f>
        <v>4164</v>
      </c>
      <c r="G140" s="75">
        <f t="shared" ref="G140" si="15">F140*0.0275%</f>
        <v>1.1451</v>
      </c>
      <c r="H140" s="75">
        <f>F140*0.007%</f>
        <v>0.29148000000000002</v>
      </c>
      <c r="I140" s="75">
        <v>15.99</v>
      </c>
      <c r="J140" s="75">
        <v>0.8</v>
      </c>
      <c r="K140" s="75"/>
      <c r="L140" s="73">
        <f>F140-G140-H140-I140-K140</f>
        <v>4146.5734200000006</v>
      </c>
      <c r="M140" s="70"/>
      <c r="N140" s="139">
        <f t="shared" si="10"/>
        <v>2.7500000000000002E-4</v>
      </c>
      <c r="O140" s="139">
        <f t="shared" si="11"/>
        <v>7.0000000000000007E-5</v>
      </c>
    </row>
    <row r="141" spans="1:28" x14ac:dyDescent="0.25">
      <c r="A141" s="10"/>
      <c r="M141" s="70"/>
      <c r="N141" s="137"/>
      <c r="O141" s="137"/>
    </row>
    <row r="142" spans="1:28" s="47" customFormat="1" x14ac:dyDescent="0.25">
      <c r="A142" s="26">
        <v>41604</v>
      </c>
      <c r="B142" s="47">
        <v>368</v>
      </c>
      <c r="C142" s="47" t="s">
        <v>286</v>
      </c>
      <c r="D142" s="47">
        <v>1400</v>
      </c>
      <c r="E142" s="23">
        <v>0.47</v>
      </c>
      <c r="F142" s="23">
        <f>D142*E142</f>
        <v>658</v>
      </c>
      <c r="G142" s="23">
        <f t="shared" ref="G142" si="16">F142*0.0275%</f>
        <v>0.18095</v>
      </c>
      <c r="H142" s="23">
        <f>F142*0.005%</f>
        <v>3.2899999999999999E-2</v>
      </c>
      <c r="I142" s="23">
        <v>15.99</v>
      </c>
      <c r="J142" s="23">
        <v>0.8</v>
      </c>
      <c r="K142" s="23"/>
      <c r="L142" s="23">
        <f>F142+G142+H142+I142</f>
        <v>674.2038500000001</v>
      </c>
      <c r="M142" s="70"/>
      <c r="N142" s="138">
        <f t="shared" si="10"/>
        <v>2.7500000000000002E-4</v>
      </c>
      <c r="O142" s="138">
        <f t="shared" si="11"/>
        <v>4.9999999999999996E-5</v>
      </c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</row>
    <row r="143" spans="1:28" x14ac:dyDescent="0.25">
      <c r="A143" s="10"/>
      <c r="M143" s="70"/>
      <c r="N143" s="137"/>
      <c r="O143" s="137"/>
    </row>
    <row r="144" spans="1:28" s="47" customFormat="1" x14ac:dyDescent="0.25">
      <c r="A144" s="26">
        <v>41614</v>
      </c>
      <c r="B144" s="47">
        <v>228</v>
      </c>
      <c r="C144" s="47" t="s">
        <v>287</v>
      </c>
      <c r="D144" s="47">
        <v>4500</v>
      </c>
      <c r="E144" s="23">
        <v>0.22</v>
      </c>
      <c r="F144" s="23">
        <f>D144*E144</f>
        <v>990</v>
      </c>
      <c r="G144" s="23">
        <f t="shared" ref="G144" si="17">F144*0.0275%</f>
        <v>0.27224999999999999</v>
      </c>
      <c r="H144" s="23">
        <f>F144*0.005%</f>
        <v>4.9500000000000002E-2</v>
      </c>
      <c r="I144" s="23">
        <v>15.99</v>
      </c>
      <c r="J144" s="23">
        <v>0.8</v>
      </c>
      <c r="K144" s="23"/>
      <c r="L144" s="23">
        <f>F144+G144+H144+I144</f>
        <v>1006.31175</v>
      </c>
      <c r="M144" s="70"/>
      <c r="N144" s="137">
        <f t="shared" si="10"/>
        <v>2.7500000000000002E-4</v>
      </c>
      <c r="O144" s="137">
        <f t="shared" si="11"/>
        <v>5.0000000000000002E-5</v>
      </c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</row>
    <row r="145" spans="1:31" x14ac:dyDescent="0.25">
      <c r="A145" s="10"/>
      <c r="M145" s="70"/>
      <c r="N145" s="137"/>
      <c r="O145" s="137"/>
      <c r="AB145" s="38"/>
      <c r="AC145" s="38"/>
      <c r="AD145" s="41"/>
      <c r="AE145" s="38"/>
    </row>
    <row r="146" spans="1:31" s="72" customFormat="1" x14ac:dyDescent="0.25">
      <c r="A146" s="71">
        <v>41617</v>
      </c>
      <c r="B146" s="72">
        <v>244</v>
      </c>
      <c r="C146" s="72" t="s">
        <v>287</v>
      </c>
      <c r="D146" s="72">
        <v>4500</v>
      </c>
      <c r="E146" s="73">
        <v>0.27</v>
      </c>
      <c r="F146" s="73">
        <f>D146*E146</f>
        <v>1215</v>
      </c>
      <c r="G146" s="73">
        <f t="shared" ref="G146" si="18">F146*0.0275%</f>
        <v>0.33412500000000001</v>
      </c>
      <c r="H146" s="73">
        <f>F146*0.005%</f>
        <v>6.0750000000000005E-2</v>
      </c>
      <c r="I146" s="73">
        <v>20.71</v>
      </c>
      <c r="J146" s="73">
        <v>1.03</v>
      </c>
      <c r="K146" s="73">
        <v>0</v>
      </c>
      <c r="L146" s="73">
        <f>F146-G146-H146-I146-K146</f>
        <v>1193.8951249999998</v>
      </c>
      <c r="M146" s="70"/>
      <c r="N146" s="137">
        <f t="shared" si="10"/>
        <v>2.7500000000000002E-4</v>
      </c>
      <c r="O146" s="137">
        <f t="shared" si="11"/>
        <v>5.0000000000000002E-5</v>
      </c>
      <c r="R146" s="73"/>
      <c r="S146" s="73"/>
      <c r="T146" s="73"/>
      <c r="U146" s="73"/>
      <c r="V146" s="73"/>
      <c r="W146" s="73"/>
      <c r="X146" s="73"/>
      <c r="Y146" s="73"/>
      <c r="Z146" s="73"/>
      <c r="AA146" s="73"/>
      <c r="AB146" s="73"/>
    </row>
    <row r="147" spans="1:31" x14ac:dyDescent="0.25">
      <c r="A147" s="10"/>
      <c r="I147" s="23"/>
      <c r="M147" s="70"/>
      <c r="N147" s="137"/>
      <c r="O147" s="137"/>
      <c r="AB147" s="46"/>
      <c r="AC147" s="22"/>
      <c r="AD147" s="46"/>
      <c r="AE147" s="22"/>
    </row>
    <row r="148" spans="1:31" s="47" customFormat="1" x14ac:dyDescent="0.25">
      <c r="A148" s="26">
        <v>41619</v>
      </c>
      <c r="B148" s="47">
        <v>294</v>
      </c>
      <c r="C148" s="47" t="s">
        <v>288</v>
      </c>
      <c r="D148" s="47">
        <v>1000</v>
      </c>
      <c r="E148" s="23">
        <v>3.8</v>
      </c>
      <c r="F148" s="23">
        <f>D148*E148</f>
        <v>3800</v>
      </c>
      <c r="G148" s="23">
        <f t="shared" ref="G148" si="19">F148*0.0275%</f>
        <v>1.0450000000000002</v>
      </c>
      <c r="H148" s="23">
        <f>F148*0.005%</f>
        <v>0.19</v>
      </c>
      <c r="I148" s="23">
        <v>15.99</v>
      </c>
      <c r="J148" s="23">
        <v>0.8</v>
      </c>
      <c r="K148" s="23"/>
      <c r="L148" s="23">
        <f>F148+G148+H148+I148</f>
        <v>3817.2249999999999</v>
      </c>
      <c r="M148" s="70"/>
      <c r="N148" s="137">
        <f t="shared" si="10"/>
        <v>2.7500000000000002E-4</v>
      </c>
      <c r="O148" s="137">
        <f t="shared" si="11"/>
        <v>5.0000000000000002E-5</v>
      </c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</row>
    <row r="149" spans="1:31" x14ac:dyDescent="0.25">
      <c r="A149" s="10"/>
      <c r="M149" s="70"/>
      <c r="N149" s="137"/>
      <c r="O149" s="137"/>
      <c r="AB149" s="46"/>
      <c r="AC149" s="23"/>
      <c r="AD149" s="46"/>
      <c r="AE149" s="22"/>
    </row>
    <row r="150" spans="1:31" s="47" customFormat="1" x14ac:dyDescent="0.25">
      <c r="A150" s="26">
        <v>41625</v>
      </c>
      <c r="B150" s="47">
        <v>277</v>
      </c>
      <c r="C150" s="47" t="s">
        <v>287</v>
      </c>
      <c r="D150" s="47">
        <v>5300</v>
      </c>
      <c r="E150" s="23">
        <v>0.22</v>
      </c>
      <c r="F150" s="23">
        <f>D150*E150</f>
        <v>1166</v>
      </c>
      <c r="G150" s="23">
        <f t="shared" ref="G150" si="20">F150*0.0275%</f>
        <v>0.32065000000000005</v>
      </c>
      <c r="H150" s="23">
        <f>F150*0.005%</f>
        <v>5.8300000000000005E-2</v>
      </c>
      <c r="I150" s="23">
        <v>15.99</v>
      </c>
      <c r="J150" s="23">
        <v>0.8</v>
      </c>
      <c r="K150" s="23"/>
      <c r="L150" s="23">
        <f>F150+G150+H150+I150</f>
        <v>1182.3689499999998</v>
      </c>
      <c r="M150" s="70"/>
      <c r="N150" s="137">
        <f t="shared" si="10"/>
        <v>2.7500000000000002E-4</v>
      </c>
      <c r="O150" s="137">
        <f t="shared" si="11"/>
        <v>5.0000000000000002E-5</v>
      </c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</row>
    <row r="151" spans="1:31" x14ac:dyDescent="0.25">
      <c r="A151" s="10"/>
      <c r="M151" s="70"/>
      <c r="N151" s="137"/>
      <c r="O151" s="137"/>
      <c r="AB151" s="38"/>
      <c r="AC151" s="41"/>
    </row>
    <row r="152" spans="1:31" s="47" customFormat="1" x14ac:dyDescent="0.25">
      <c r="A152" s="26">
        <v>41628</v>
      </c>
      <c r="B152" s="47">
        <v>264</v>
      </c>
      <c r="C152" s="47" t="s">
        <v>289</v>
      </c>
      <c r="D152" s="47">
        <v>15000000</v>
      </c>
      <c r="E152" s="23">
        <v>6.9999999999999994E-5</v>
      </c>
      <c r="F152" s="23">
        <f>D152*E152</f>
        <v>1050</v>
      </c>
      <c r="G152" s="23">
        <f t="shared" ref="G152" si="21">F152*0.0275%</f>
        <v>0.28875000000000001</v>
      </c>
      <c r="H152" s="23">
        <f>F152*0.005%</f>
        <v>5.2500000000000005E-2</v>
      </c>
      <c r="I152" s="23">
        <v>15.99</v>
      </c>
      <c r="J152" s="23">
        <v>0.8</v>
      </c>
      <c r="K152" s="23"/>
      <c r="L152" s="23">
        <f>F152+G152+H152+I152</f>
        <v>1066.33125</v>
      </c>
      <c r="M152" s="70"/>
      <c r="N152" s="137">
        <f t="shared" si="10"/>
        <v>2.7500000000000002E-4</v>
      </c>
      <c r="O152" s="137">
        <f t="shared" si="11"/>
        <v>5.0000000000000002E-5</v>
      </c>
      <c r="R152" s="23"/>
      <c r="S152" s="23"/>
      <c r="T152" s="23"/>
      <c r="U152" s="23"/>
      <c r="V152" s="23"/>
      <c r="W152" s="23"/>
      <c r="X152" s="23"/>
      <c r="Y152" s="23"/>
      <c r="Z152" s="23"/>
      <c r="AA152" s="23"/>
      <c r="AB152" s="23"/>
    </row>
    <row r="153" spans="1:31" x14ac:dyDescent="0.25">
      <c r="A153" s="10"/>
      <c r="M153" s="70"/>
      <c r="N153" s="137"/>
      <c r="O153" s="137"/>
      <c r="AB153" s="38"/>
    </row>
    <row r="154" spans="1:31" s="72" customFormat="1" x14ac:dyDescent="0.25">
      <c r="A154" s="71">
        <v>41634</v>
      </c>
      <c r="B154" s="72">
        <v>189</v>
      </c>
      <c r="C154" s="72" t="s">
        <v>286</v>
      </c>
      <c r="D154" s="72">
        <v>1400</v>
      </c>
      <c r="E154" s="73">
        <v>0.62</v>
      </c>
      <c r="F154" s="73">
        <f>D154*E154</f>
        <v>868</v>
      </c>
      <c r="G154" s="73">
        <f t="shared" ref="G154" si="22">F154*0.0275%</f>
        <v>0.23870000000000002</v>
      </c>
      <c r="H154" s="73">
        <f>F154*0.005%</f>
        <v>4.3400000000000001E-2</v>
      </c>
      <c r="I154" s="73">
        <v>15.99</v>
      </c>
      <c r="J154" s="73">
        <v>0.8</v>
      </c>
      <c r="K154" s="73">
        <v>0</v>
      </c>
      <c r="L154" s="73">
        <f>F154-G154-H154-I154-K154</f>
        <v>851.72789999999998</v>
      </c>
      <c r="M154" s="70"/>
      <c r="N154" s="137">
        <f t="shared" si="10"/>
        <v>2.7500000000000002E-4</v>
      </c>
      <c r="O154" s="137">
        <f t="shared" si="11"/>
        <v>5.0000000000000002E-5</v>
      </c>
      <c r="R154" s="73"/>
      <c r="S154" s="73"/>
      <c r="T154" s="73"/>
      <c r="U154" s="73"/>
      <c r="V154" s="73"/>
      <c r="W154" s="73"/>
      <c r="X154" s="73"/>
      <c r="Y154" s="73"/>
      <c r="Z154" s="73"/>
      <c r="AA154" s="73"/>
      <c r="AB154" s="73"/>
    </row>
    <row r="155" spans="1:31" x14ac:dyDescent="0.25">
      <c r="A155" s="10"/>
      <c r="M155" s="70"/>
      <c r="N155" s="137"/>
      <c r="O155" s="137"/>
    </row>
    <row r="156" spans="1:31" s="47" customFormat="1" x14ac:dyDescent="0.25">
      <c r="A156" s="26">
        <v>41641</v>
      </c>
      <c r="B156" s="47">
        <v>254</v>
      </c>
      <c r="C156" s="47" t="s">
        <v>290</v>
      </c>
      <c r="D156" s="47">
        <v>2700</v>
      </c>
      <c r="E156" s="23">
        <v>1.01</v>
      </c>
      <c r="F156" s="23">
        <f>D156*E156</f>
        <v>2727</v>
      </c>
      <c r="G156" s="23">
        <f t="shared" ref="G156:G157" si="23">F156*0.0275%</f>
        <v>0.74992500000000006</v>
      </c>
      <c r="H156" s="23">
        <f>F156*0.005%</f>
        <v>0.13635</v>
      </c>
      <c r="I156" s="23">
        <v>15.99</v>
      </c>
      <c r="J156" s="23">
        <v>0.8</v>
      </c>
      <c r="K156" s="23"/>
      <c r="L156" s="23">
        <f>F156+G156+H156+I156</f>
        <v>2743.8762750000001</v>
      </c>
      <c r="M156" s="70"/>
      <c r="N156" s="137">
        <f t="shared" si="10"/>
        <v>2.7500000000000002E-4</v>
      </c>
      <c r="O156" s="137">
        <f t="shared" si="11"/>
        <v>5.0000000000000002E-5</v>
      </c>
      <c r="R156" s="23"/>
      <c r="S156" s="23"/>
      <c r="T156" s="23"/>
      <c r="U156" s="23"/>
      <c r="V156" s="23"/>
      <c r="W156" s="23"/>
      <c r="X156" s="23"/>
      <c r="Y156" s="23"/>
      <c r="Z156" s="23"/>
      <c r="AA156" s="23"/>
      <c r="AB156" s="23"/>
    </row>
    <row r="157" spans="1:31" s="47" customFormat="1" x14ac:dyDescent="0.25">
      <c r="A157" s="26">
        <v>41641</v>
      </c>
      <c r="B157" s="47">
        <v>254</v>
      </c>
      <c r="C157" s="47" t="s">
        <v>280</v>
      </c>
      <c r="D157" s="47">
        <v>3000</v>
      </c>
      <c r="E157" s="23">
        <v>0.65</v>
      </c>
      <c r="F157" s="23">
        <f>D157*E157</f>
        <v>1950</v>
      </c>
      <c r="G157" s="23">
        <f t="shared" si="23"/>
        <v>0.53625</v>
      </c>
      <c r="H157" s="23">
        <f>F157*0.005%</f>
        <v>9.7500000000000003E-2</v>
      </c>
      <c r="I157" s="23">
        <v>15.99</v>
      </c>
      <c r="J157" s="23">
        <v>0.8</v>
      </c>
      <c r="K157" s="23"/>
      <c r="L157" s="23">
        <f>F157+G157+H157+I157</f>
        <v>1966.6237500000002</v>
      </c>
      <c r="M157" s="70"/>
      <c r="N157" s="137">
        <f t="shared" si="10"/>
        <v>2.7500000000000002E-4</v>
      </c>
      <c r="O157" s="137">
        <f t="shared" si="11"/>
        <v>5.0000000000000002E-5</v>
      </c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</row>
    <row r="158" spans="1:31" s="47" customFormat="1" x14ac:dyDescent="0.25">
      <c r="A158" s="26"/>
      <c r="E158" s="23"/>
      <c r="F158" s="19">
        <f>SUM(F156:F157)</f>
        <v>4677</v>
      </c>
      <c r="G158" s="19">
        <f>SUM(G156:G157)</f>
        <v>1.2861750000000001</v>
      </c>
      <c r="H158" s="19">
        <f>SUM(H156:H157)</f>
        <v>0.23385</v>
      </c>
      <c r="I158" s="19">
        <f>SUM(I156:I157)</f>
        <v>31.98</v>
      </c>
      <c r="J158" s="19">
        <f>SUM(J156:J157)</f>
        <v>1.6</v>
      </c>
      <c r="K158" s="19"/>
      <c r="L158" s="19">
        <f>SUM(L156:L157)</f>
        <v>4710.5000250000003</v>
      </c>
      <c r="M158" s="70"/>
      <c r="N158" s="137"/>
      <c r="O158" s="137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</row>
    <row r="159" spans="1:31" x14ac:dyDescent="0.25">
      <c r="A159" s="10"/>
      <c r="M159" s="70"/>
      <c r="N159" s="137"/>
      <c r="O159" s="137"/>
    </row>
    <row r="160" spans="1:31" s="72" customFormat="1" x14ac:dyDescent="0.25">
      <c r="A160" s="71">
        <v>41642</v>
      </c>
      <c r="B160" s="72">
        <v>279</v>
      </c>
      <c r="C160" s="72" t="s">
        <v>288</v>
      </c>
      <c r="D160" s="72">
        <v>1000</v>
      </c>
      <c r="E160" s="73">
        <v>4</v>
      </c>
      <c r="F160" s="73">
        <f>D160*E160</f>
        <v>4000</v>
      </c>
      <c r="G160" s="73">
        <f t="shared" ref="G160:G162" si="24">F160*0.0275%</f>
        <v>1.1000000000000001</v>
      </c>
      <c r="H160" s="73">
        <f>F160*0.007%</f>
        <v>0.28000000000000003</v>
      </c>
      <c r="I160" s="73">
        <v>15.99</v>
      </c>
      <c r="J160" s="73">
        <v>0.8</v>
      </c>
      <c r="K160" s="73">
        <v>0</v>
      </c>
      <c r="L160" s="73">
        <f>F160-G160-H160-I160-K160</f>
        <v>3982.63</v>
      </c>
      <c r="M160" s="70"/>
      <c r="N160" s="137">
        <f t="shared" si="10"/>
        <v>2.7500000000000002E-4</v>
      </c>
      <c r="O160" s="139">
        <f t="shared" si="11"/>
        <v>7.0000000000000007E-5</v>
      </c>
      <c r="R160" s="73"/>
      <c r="S160" s="73"/>
      <c r="T160" s="73"/>
      <c r="U160" s="73"/>
      <c r="V160" s="73"/>
      <c r="W160" s="73"/>
      <c r="X160" s="73"/>
      <c r="Y160" s="73"/>
      <c r="Z160" s="73"/>
      <c r="AA160" s="73"/>
      <c r="AB160" s="73"/>
    </row>
    <row r="161" spans="1:29" s="72" customFormat="1" x14ac:dyDescent="0.25">
      <c r="A161" s="71">
        <v>41642</v>
      </c>
      <c r="B161" s="72">
        <v>279</v>
      </c>
      <c r="C161" s="72" t="s">
        <v>290</v>
      </c>
      <c r="D161" s="72">
        <v>2700</v>
      </c>
      <c r="E161" s="73">
        <v>1.3</v>
      </c>
      <c r="F161" s="73">
        <f>D161*E161</f>
        <v>3510</v>
      </c>
      <c r="G161" s="73">
        <f t="shared" si="24"/>
        <v>0.96525000000000005</v>
      </c>
      <c r="H161" s="73">
        <f>F161*0.005%</f>
        <v>0.17550000000000002</v>
      </c>
      <c r="I161" s="73">
        <v>15.99</v>
      </c>
      <c r="J161" s="73">
        <v>0.8</v>
      </c>
      <c r="K161" s="73">
        <v>0</v>
      </c>
      <c r="L161" s="73">
        <f>F161-G161-H161-I161-K161</f>
        <v>3492.8692500000002</v>
      </c>
      <c r="M161" s="70"/>
      <c r="N161" s="137">
        <f t="shared" si="10"/>
        <v>2.7500000000000002E-4</v>
      </c>
      <c r="O161" s="137">
        <f t="shared" si="11"/>
        <v>5.0000000000000002E-5</v>
      </c>
      <c r="R161" s="73"/>
      <c r="S161" s="73"/>
      <c r="T161" s="73"/>
      <c r="U161" s="73"/>
      <c r="V161" s="73"/>
      <c r="W161" s="73"/>
      <c r="X161" s="73"/>
      <c r="Y161" s="73"/>
      <c r="Z161" s="73"/>
      <c r="AA161" s="73"/>
      <c r="AB161" s="73"/>
    </row>
    <row r="162" spans="1:29" s="72" customFormat="1" x14ac:dyDescent="0.25">
      <c r="A162" s="71">
        <v>41642</v>
      </c>
      <c r="B162" s="72">
        <v>279</v>
      </c>
      <c r="C162" s="72" t="s">
        <v>280</v>
      </c>
      <c r="D162" s="72">
        <v>3000</v>
      </c>
      <c r="E162" s="73">
        <v>0.85</v>
      </c>
      <c r="F162" s="73">
        <f>D162*E162</f>
        <v>2550</v>
      </c>
      <c r="G162" s="73">
        <f t="shared" si="24"/>
        <v>0.70125000000000004</v>
      </c>
      <c r="H162" s="73">
        <f>F162*0.007%</f>
        <v>0.17850000000000002</v>
      </c>
      <c r="I162" s="73">
        <v>15.99</v>
      </c>
      <c r="J162" s="73">
        <v>0.8</v>
      </c>
      <c r="K162" s="73">
        <v>0</v>
      </c>
      <c r="L162" s="73">
        <f>F162-G162-H162-I162-K162</f>
        <v>2533.1302500000002</v>
      </c>
      <c r="M162" s="70"/>
      <c r="N162" s="137">
        <f t="shared" si="10"/>
        <v>2.7500000000000002E-4</v>
      </c>
      <c r="O162" s="139">
        <f t="shared" si="11"/>
        <v>7.0000000000000007E-5</v>
      </c>
      <c r="R162" s="73"/>
      <c r="S162" s="73"/>
      <c r="T162" s="73"/>
      <c r="U162" s="73"/>
      <c r="V162" s="73"/>
      <c r="W162" s="73"/>
      <c r="X162" s="73"/>
      <c r="Y162" s="73"/>
      <c r="Z162" s="73"/>
      <c r="AA162" s="73"/>
      <c r="AB162" s="73"/>
    </row>
    <row r="163" spans="1:29" s="47" customFormat="1" x14ac:dyDescent="0.25">
      <c r="A163" s="26"/>
      <c r="E163" s="23"/>
      <c r="F163" s="74">
        <f>SUM(F160:F162)</f>
        <v>10060</v>
      </c>
      <c r="G163" s="74">
        <f>SUM(G160:G162)</f>
        <v>2.7665000000000002</v>
      </c>
      <c r="H163" s="74">
        <f>SUM(H160:H162)</f>
        <v>0.63400000000000001</v>
      </c>
      <c r="I163" s="74">
        <f>SUM(I160:I162)</f>
        <v>47.97</v>
      </c>
      <c r="J163" s="74">
        <f>SUM(J160:J162)</f>
        <v>2.4000000000000004</v>
      </c>
      <c r="K163" s="74"/>
      <c r="L163" s="74">
        <f>SUM(L160:L162)</f>
        <v>10008.629500000001</v>
      </c>
      <c r="M163" s="70"/>
      <c r="N163" s="137"/>
      <c r="O163" s="137"/>
      <c r="R163" s="23"/>
      <c r="S163" s="23"/>
      <c r="T163" s="23"/>
      <c r="U163" s="23"/>
      <c r="V163" s="23"/>
      <c r="W163" s="23"/>
      <c r="X163" s="23"/>
      <c r="Y163" s="23"/>
      <c r="Z163" s="23"/>
      <c r="AA163" s="23"/>
      <c r="AB163" s="23"/>
    </row>
    <row r="164" spans="1:29" x14ac:dyDescent="0.25">
      <c r="A164" s="10"/>
      <c r="M164" s="70"/>
      <c r="N164" s="137"/>
      <c r="O164" s="137"/>
      <c r="AB164" s="38"/>
    </row>
    <row r="165" spans="1:29" s="72" customFormat="1" x14ac:dyDescent="0.25">
      <c r="A165" s="71">
        <v>41645</v>
      </c>
      <c r="B165" s="72">
        <v>256</v>
      </c>
      <c r="C165" s="72" t="s">
        <v>287</v>
      </c>
      <c r="D165" s="72">
        <v>5300</v>
      </c>
      <c r="E165" s="73">
        <v>0.28000000000000003</v>
      </c>
      <c r="F165" s="73">
        <f>D165*E165</f>
        <v>1484.0000000000002</v>
      </c>
      <c r="G165" s="73">
        <f t="shared" ref="G165" si="25">F165*0.0275%</f>
        <v>0.40810000000000007</v>
      </c>
      <c r="H165" s="73">
        <f>F165*0.007%</f>
        <v>0.10388000000000003</v>
      </c>
      <c r="I165" s="73">
        <v>15.99</v>
      </c>
      <c r="J165" s="73">
        <v>0.8</v>
      </c>
      <c r="K165" s="73">
        <v>0</v>
      </c>
      <c r="L165" s="73">
        <f>F165-G165-H165-I165-K165</f>
        <v>1467.4980200000002</v>
      </c>
      <c r="M165" s="70"/>
      <c r="N165" s="137">
        <f t="shared" si="10"/>
        <v>2.7500000000000002E-4</v>
      </c>
      <c r="O165" s="139">
        <f t="shared" si="11"/>
        <v>7.0000000000000007E-5</v>
      </c>
      <c r="R165" s="73"/>
      <c r="S165" s="73"/>
      <c r="T165" s="73"/>
      <c r="U165" s="73"/>
      <c r="V165" s="73"/>
      <c r="W165" s="73"/>
      <c r="X165" s="73"/>
      <c r="Y165" s="73"/>
      <c r="Z165" s="73"/>
      <c r="AA165" s="73"/>
      <c r="AB165" s="73"/>
    </row>
    <row r="166" spans="1:29" x14ac:dyDescent="0.25">
      <c r="A166" s="82"/>
      <c r="B166" s="79"/>
      <c r="C166" s="79"/>
      <c r="D166" s="79"/>
      <c r="E166" s="80"/>
      <c r="F166" s="80"/>
      <c r="G166" s="80"/>
      <c r="H166" s="80"/>
      <c r="I166" s="80"/>
      <c r="J166" s="80"/>
      <c r="K166" s="80"/>
      <c r="L166" s="80"/>
      <c r="M166" s="81"/>
      <c r="N166" s="137"/>
      <c r="O166" s="137"/>
    </row>
    <row r="167" spans="1:29" x14ac:dyDescent="0.25">
      <c r="A167" s="27">
        <v>41654</v>
      </c>
      <c r="B167" s="131">
        <v>15104493</v>
      </c>
      <c r="C167" s="131" t="s">
        <v>291</v>
      </c>
      <c r="D167" s="131">
        <v>30000</v>
      </c>
      <c r="E167" s="132">
        <v>0.13</v>
      </c>
      <c r="F167" s="132">
        <f>D167*E167</f>
        <v>3900</v>
      </c>
      <c r="G167" s="132">
        <f t="shared" ref="G167" si="26">F167*0.0275%</f>
        <v>1.0725</v>
      </c>
      <c r="H167" s="132">
        <f>F167*0.005%</f>
        <v>0.19500000000000001</v>
      </c>
      <c r="I167" s="132">
        <v>15.99</v>
      </c>
      <c r="J167" s="132">
        <v>0.8</v>
      </c>
      <c r="K167" s="132"/>
      <c r="L167" s="132">
        <f>F167+G167+H167+I167</f>
        <v>3917.2575000000002</v>
      </c>
      <c r="M167" s="81"/>
      <c r="N167" s="137">
        <f t="shared" si="10"/>
        <v>2.7500000000000002E-4</v>
      </c>
      <c r="O167" s="137">
        <f t="shared" si="11"/>
        <v>5.0000000000000002E-5</v>
      </c>
      <c r="AB167" s="38"/>
    </row>
    <row r="168" spans="1:29" x14ac:dyDescent="0.25">
      <c r="A168" s="10"/>
      <c r="M168" s="81"/>
      <c r="N168" s="137"/>
      <c r="O168" s="137"/>
    </row>
    <row r="169" spans="1:29" x14ac:dyDescent="0.25">
      <c r="A169" s="27">
        <v>41660</v>
      </c>
      <c r="B169" s="131">
        <v>15114144</v>
      </c>
      <c r="C169" s="131" t="s">
        <v>292</v>
      </c>
      <c r="D169" s="131">
        <v>3000</v>
      </c>
      <c r="E169" s="132">
        <v>1.04</v>
      </c>
      <c r="F169" s="132">
        <f t="shared" ref="F169:F183" si="27">D169*E169</f>
        <v>3120</v>
      </c>
      <c r="G169" s="132">
        <f t="shared" ref="G169" si="28">F169*0.0275%</f>
        <v>0.8580000000000001</v>
      </c>
      <c r="H169" s="132">
        <f t="shared" ref="H169:H183" si="29">F169*0.005%</f>
        <v>0.156</v>
      </c>
      <c r="I169" s="132">
        <v>15.99</v>
      </c>
      <c r="J169" s="132">
        <v>0.8</v>
      </c>
      <c r="K169" s="132"/>
      <c r="L169" s="132">
        <f t="shared" ref="L169:L179" si="30">F169+G169+H169+I169</f>
        <v>3137.0039999999999</v>
      </c>
      <c r="M169" s="81"/>
      <c r="N169" s="137">
        <f t="shared" si="10"/>
        <v>2.7500000000000002E-4</v>
      </c>
      <c r="O169" s="137">
        <f t="shared" si="11"/>
        <v>5.0000000000000002E-5</v>
      </c>
      <c r="AC169" s="22"/>
    </row>
    <row r="170" spans="1:29" x14ac:dyDescent="0.25">
      <c r="A170" s="10"/>
      <c r="M170" s="81"/>
      <c r="N170" s="137"/>
      <c r="O170" s="137"/>
    </row>
    <row r="171" spans="1:29" x14ac:dyDescent="0.25">
      <c r="A171" s="27">
        <v>41660</v>
      </c>
      <c r="B171" s="131">
        <v>15113971</v>
      </c>
      <c r="C171" s="131" t="s">
        <v>293</v>
      </c>
      <c r="D171" s="131">
        <v>10000</v>
      </c>
      <c r="E171" s="132">
        <v>0.3</v>
      </c>
      <c r="F171" s="132">
        <f t="shared" si="27"/>
        <v>3000</v>
      </c>
      <c r="G171" s="132">
        <f t="shared" ref="G171:G183" si="31">F171*0.0275%</f>
        <v>0.82500000000000007</v>
      </c>
      <c r="H171" s="132">
        <f t="shared" si="29"/>
        <v>0.15</v>
      </c>
      <c r="I171" s="132">
        <v>15.99</v>
      </c>
      <c r="J171" s="132">
        <v>0.8</v>
      </c>
      <c r="K171" s="132"/>
      <c r="L171" s="132">
        <f t="shared" si="30"/>
        <v>3016.9649999999997</v>
      </c>
      <c r="M171" s="81"/>
      <c r="N171" s="137">
        <f t="shared" si="10"/>
        <v>2.7500000000000002E-4</v>
      </c>
      <c r="O171" s="137">
        <f t="shared" si="11"/>
        <v>4.9999999999999996E-5</v>
      </c>
      <c r="AB171" s="38"/>
    </row>
    <row r="172" spans="1:29" x14ac:dyDescent="0.25">
      <c r="A172" s="10"/>
      <c r="M172" s="81"/>
      <c r="N172" s="137"/>
      <c r="O172" s="137"/>
    </row>
    <row r="173" spans="1:29" x14ac:dyDescent="0.25">
      <c r="A173" s="27">
        <v>41660</v>
      </c>
      <c r="B173" s="131">
        <v>15113970</v>
      </c>
      <c r="C173" s="131" t="s">
        <v>294</v>
      </c>
      <c r="D173" s="131">
        <v>100</v>
      </c>
      <c r="E173" s="132">
        <v>27.1</v>
      </c>
      <c r="F173" s="132">
        <f t="shared" si="27"/>
        <v>2710</v>
      </c>
      <c r="G173" s="132">
        <f t="shared" si="31"/>
        <v>0.74525000000000008</v>
      </c>
      <c r="H173" s="132">
        <f t="shared" si="29"/>
        <v>0.13550000000000001</v>
      </c>
      <c r="I173" s="132">
        <v>15.99</v>
      </c>
      <c r="J173" s="132">
        <v>0.8</v>
      </c>
      <c r="K173" s="132"/>
      <c r="L173" s="132">
        <f t="shared" si="30"/>
        <v>2726.8707499999996</v>
      </c>
      <c r="M173" s="81"/>
      <c r="N173" s="137">
        <f t="shared" si="10"/>
        <v>2.7500000000000002E-4</v>
      </c>
      <c r="O173" s="137">
        <f t="shared" si="11"/>
        <v>5.0000000000000002E-5</v>
      </c>
    </row>
    <row r="174" spans="1:29" x14ac:dyDescent="0.25">
      <c r="A174" s="10"/>
      <c r="M174" s="81"/>
      <c r="N174" s="137"/>
      <c r="O174" s="137"/>
    </row>
    <row r="175" spans="1:29" x14ac:dyDescent="0.25">
      <c r="A175" s="27">
        <v>41660</v>
      </c>
      <c r="B175" s="131">
        <v>15114241</v>
      </c>
      <c r="C175" s="131" t="s">
        <v>280</v>
      </c>
      <c r="D175" s="131">
        <v>4000</v>
      </c>
      <c r="E175" s="132">
        <v>0.66</v>
      </c>
      <c r="F175" s="132">
        <f t="shared" si="27"/>
        <v>2640</v>
      </c>
      <c r="G175" s="132">
        <f t="shared" si="31"/>
        <v>0.72600000000000009</v>
      </c>
      <c r="H175" s="132">
        <f t="shared" si="29"/>
        <v>0.13200000000000001</v>
      </c>
      <c r="I175" s="132">
        <v>15.99</v>
      </c>
      <c r="J175" s="132">
        <v>0.8</v>
      </c>
      <c r="K175" s="132"/>
      <c r="L175" s="132">
        <f t="shared" si="30"/>
        <v>2656.848</v>
      </c>
      <c r="M175" s="81"/>
      <c r="N175" s="137">
        <f t="shared" si="10"/>
        <v>2.7500000000000002E-4</v>
      </c>
      <c r="O175" s="137">
        <f t="shared" si="11"/>
        <v>5.0000000000000002E-5</v>
      </c>
    </row>
    <row r="176" spans="1:29" x14ac:dyDescent="0.25">
      <c r="A176" s="10"/>
      <c r="M176" s="81"/>
      <c r="N176" s="137"/>
      <c r="O176" s="137"/>
    </row>
    <row r="177" spans="1:15" x14ac:dyDescent="0.25">
      <c r="A177" s="27">
        <v>41660</v>
      </c>
      <c r="B177" s="131">
        <v>15114218</v>
      </c>
      <c r="C177" s="131" t="s">
        <v>286</v>
      </c>
      <c r="D177" s="131">
        <v>6000</v>
      </c>
      <c r="E177" s="132">
        <v>0.74</v>
      </c>
      <c r="F177" s="132">
        <f t="shared" si="27"/>
        <v>4440</v>
      </c>
      <c r="G177" s="132">
        <f t="shared" si="31"/>
        <v>1.2210000000000001</v>
      </c>
      <c r="H177" s="132">
        <f t="shared" si="29"/>
        <v>0.222</v>
      </c>
      <c r="I177" s="132">
        <v>15.99</v>
      </c>
      <c r="J177" s="132">
        <v>0.8</v>
      </c>
      <c r="K177" s="132"/>
      <c r="L177" s="132">
        <f t="shared" si="30"/>
        <v>4457.4329999999991</v>
      </c>
      <c r="M177" s="81"/>
      <c r="N177" s="137">
        <f t="shared" si="10"/>
        <v>2.7500000000000002E-4</v>
      </c>
      <c r="O177" s="137">
        <f t="shared" si="11"/>
        <v>5.0000000000000002E-5</v>
      </c>
    </row>
    <row r="178" spans="1:15" x14ac:dyDescent="0.25">
      <c r="A178" s="10"/>
      <c r="M178" s="81"/>
      <c r="N178" s="137"/>
      <c r="O178" s="137"/>
    </row>
    <row r="179" spans="1:15" x14ac:dyDescent="0.25">
      <c r="A179" s="27">
        <v>41660</v>
      </c>
      <c r="B179" s="131">
        <v>15114284</v>
      </c>
      <c r="C179" s="131" t="s">
        <v>295</v>
      </c>
      <c r="D179" s="131">
        <v>1200</v>
      </c>
      <c r="E179" s="132">
        <v>3.3</v>
      </c>
      <c r="F179" s="132">
        <f t="shared" si="27"/>
        <v>3960</v>
      </c>
      <c r="G179" s="132">
        <f t="shared" si="31"/>
        <v>1.089</v>
      </c>
      <c r="H179" s="132">
        <f t="shared" si="29"/>
        <v>0.19800000000000001</v>
      </c>
      <c r="I179" s="132">
        <v>15.99</v>
      </c>
      <c r="J179" s="132">
        <v>0.8</v>
      </c>
      <c r="K179" s="132"/>
      <c r="L179" s="132">
        <f t="shared" si="30"/>
        <v>3977.2769999999996</v>
      </c>
      <c r="M179" s="81"/>
      <c r="N179" s="137">
        <f t="shared" si="10"/>
        <v>2.7500000000000002E-4</v>
      </c>
      <c r="O179" s="137">
        <f t="shared" si="11"/>
        <v>5.0000000000000002E-5</v>
      </c>
    </row>
    <row r="180" spans="1:15" x14ac:dyDescent="0.25">
      <c r="A180" s="10"/>
      <c r="M180" s="81"/>
      <c r="N180" s="137"/>
      <c r="O180" s="137"/>
    </row>
    <row r="181" spans="1:15" x14ac:dyDescent="0.25">
      <c r="A181" s="134">
        <v>41660</v>
      </c>
      <c r="B181" s="135">
        <v>15114495</v>
      </c>
      <c r="C181" s="135" t="s">
        <v>292</v>
      </c>
      <c r="D181" s="135">
        <v>3000</v>
      </c>
      <c r="E181" s="133">
        <v>1.0900000000000001</v>
      </c>
      <c r="F181" s="133">
        <f t="shared" si="27"/>
        <v>3270.0000000000005</v>
      </c>
      <c r="G181" s="133">
        <f t="shared" si="31"/>
        <v>0.89925000000000022</v>
      </c>
      <c r="H181" s="133">
        <f t="shared" si="29"/>
        <v>0.16350000000000003</v>
      </c>
      <c r="I181" s="133">
        <v>15.99</v>
      </c>
      <c r="J181" s="133">
        <v>0.8</v>
      </c>
      <c r="K181" s="133"/>
      <c r="L181" s="133">
        <f>F181-G181-H181-I181-K181</f>
        <v>3252.9472500000006</v>
      </c>
      <c r="M181" s="81"/>
      <c r="N181" s="137">
        <f t="shared" si="10"/>
        <v>2.7500000000000002E-4</v>
      </c>
      <c r="O181" s="137">
        <f t="shared" si="11"/>
        <v>5.0000000000000002E-5</v>
      </c>
    </row>
    <row r="182" spans="1:15" x14ac:dyDescent="0.25">
      <c r="A182" s="10"/>
      <c r="M182" s="81"/>
      <c r="N182" s="137"/>
      <c r="O182" s="137"/>
    </row>
    <row r="183" spans="1:15" x14ac:dyDescent="0.25">
      <c r="A183" s="134">
        <v>41660</v>
      </c>
      <c r="B183" s="135">
        <v>15116461</v>
      </c>
      <c r="C183" s="135" t="s">
        <v>286</v>
      </c>
      <c r="D183" s="135">
        <v>6000</v>
      </c>
      <c r="E183" s="133">
        <v>0.79</v>
      </c>
      <c r="F183" s="133">
        <f t="shared" si="27"/>
        <v>4740</v>
      </c>
      <c r="G183" s="133">
        <f t="shared" si="31"/>
        <v>1.3035000000000001</v>
      </c>
      <c r="H183" s="133">
        <f t="shared" si="29"/>
        <v>0.23700000000000002</v>
      </c>
      <c r="I183" s="133">
        <v>15.99</v>
      </c>
      <c r="J183" s="133">
        <v>0.8</v>
      </c>
      <c r="K183" s="133"/>
      <c r="L183" s="133">
        <f>F183-G183-H183-I183-K183</f>
        <v>4722.4695000000002</v>
      </c>
      <c r="M183" s="81"/>
      <c r="N183" s="137">
        <f t="shared" si="10"/>
        <v>2.7500000000000002E-4</v>
      </c>
      <c r="O183" s="137">
        <f t="shared" si="11"/>
        <v>5.0000000000000002E-5</v>
      </c>
    </row>
    <row r="184" spans="1:15" x14ac:dyDescent="0.25">
      <c r="A184" s="10"/>
      <c r="M184" s="81"/>
      <c r="N184" s="137"/>
      <c r="O184" s="137"/>
    </row>
    <row r="185" spans="1:15" x14ac:dyDescent="0.25">
      <c r="A185" s="27">
        <v>41667</v>
      </c>
      <c r="B185" s="131">
        <v>15129144</v>
      </c>
      <c r="C185" s="131" t="s">
        <v>287</v>
      </c>
      <c r="D185" s="131">
        <v>11100</v>
      </c>
      <c r="E185" s="132">
        <v>0.28999999999999998</v>
      </c>
      <c r="F185" s="132">
        <f>D185*E185</f>
        <v>3219</v>
      </c>
      <c r="G185" s="132">
        <f t="shared" ref="G185" si="32">F185*0.0275%</f>
        <v>0.88522500000000004</v>
      </c>
      <c r="H185" s="132">
        <f>F185*0.005%</f>
        <v>0.16095000000000001</v>
      </c>
      <c r="I185" s="132">
        <v>15.99</v>
      </c>
      <c r="J185" s="132">
        <v>0.8</v>
      </c>
      <c r="K185" s="132"/>
      <c r="L185" s="132">
        <f>F185+G185+H185+I185</f>
        <v>3236.0361749999997</v>
      </c>
      <c r="M185" s="81"/>
      <c r="N185" s="137">
        <f t="shared" si="10"/>
        <v>2.7500000000000002E-4</v>
      </c>
      <c r="O185" s="137">
        <f t="shared" si="11"/>
        <v>5.0000000000000002E-5</v>
      </c>
    </row>
    <row r="186" spans="1:15" x14ac:dyDescent="0.25">
      <c r="A186" s="10"/>
      <c r="M186" s="81"/>
      <c r="N186" s="137"/>
      <c r="O186" s="137"/>
    </row>
    <row r="187" spans="1:15" x14ac:dyDescent="0.25">
      <c r="A187" s="27">
        <v>41668</v>
      </c>
      <c r="B187" s="131">
        <v>15132609</v>
      </c>
      <c r="C187" s="131" t="s">
        <v>296</v>
      </c>
      <c r="D187" s="131">
        <v>600</v>
      </c>
      <c r="E187" s="132">
        <v>5.2</v>
      </c>
      <c r="F187" s="132">
        <f>D187*E187</f>
        <v>3120</v>
      </c>
      <c r="G187" s="132">
        <f t="shared" ref="G187" si="33">F187*0.0275%</f>
        <v>0.8580000000000001</v>
      </c>
      <c r="H187" s="132">
        <f>F187*0.005%</f>
        <v>0.156</v>
      </c>
      <c r="I187" s="132">
        <v>15.99</v>
      </c>
      <c r="J187" s="132">
        <v>0.8</v>
      </c>
      <c r="K187" s="132"/>
      <c r="L187" s="132">
        <f>F187+G187+H187+I187</f>
        <v>3137.0039999999999</v>
      </c>
      <c r="M187" s="81"/>
      <c r="N187" s="137">
        <f t="shared" si="10"/>
        <v>2.7500000000000002E-4</v>
      </c>
      <c r="O187" s="137">
        <f t="shared" si="11"/>
        <v>5.0000000000000002E-5</v>
      </c>
    </row>
    <row r="188" spans="1:15" x14ac:dyDescent="0.25">
      <c r="A188" s="10"/>
      <c r="M188" s="81"/>
      <c r="N188" s="137"/>
      <c r="O188" s="137"/>
    </row>
    <row r="189" spans="1:15" x14ac:dyDescent="0.25">
      <c r="A189" s="27">
        <v>41669</v>
      </c>
      <c r="B189" s="131">
        <v>15135063</v>
      </c>
      <c r="C189" s="131" t="s">
        <v>290</v>
      </c>
      <c r="D189" s="131">
        <v>4200</v>
      </c>
      <c r="E189" s="132">
        <v>0.95</v>
      </c>
      <c r="F189" s="132">
        <f>D189*E189</f>
        <v>3990</v>
      </c>
      <c r="G189" s="132">
        <f t="shared" ref="G189:G191" si="34">F189*0.0275%</f>
        <v>1.0972500000000001</v>
      </c>
      <c r="H189" s="132">
        <f>F189*0.005%</f>
        <v>0.19950000000000001</v>
      </c>
      <c r="I189" s="132">
        <v>15.99</v>
      </c>
      <c r="J189" s="132">
        <v>0.8</v>
      </c>
      <c r="K189" s="132"/>
      <c r="L189" s="132">
        <f>F189+G189+H189+I189</f>
        <v>4007.2867499999998</v>
      </c>
      <c r="M189" s="81"/>
      <c r="N189" s="137">
        <f t="shared" si="10"/>
        <v>2.7500000000000002E-4</v>
      </c>
      <c r="O189" s="137">
        <f t="shared" si="11"/>
        <v>5.0000000000000002E-5</v>
      </c>
    </row>
    <row r="190" spans="1:15" x14ac:dyDescent="0.25">
      <c r="A190" s="10"/>
      <c r="M190" s="81"/>
      <c r="N190" s="137"/>
      <c r="O190" s="137"/>
    </row>
    <row r="191" spans="1:15" x14ac:dyDescent="0.25">
      <c r="A191" s="27">
        <v>41669</v>
      </c>
      <c r="B191" s="131">
        <v>15135061</v>
      </c>
      <c r="C191" s="131" t="s">
        <v>268</v>
      </c>
      <c r="D191" s="131">
        <v>300</v>
      </c>
      <c r="E191" s="132">
        <v>14.7</v>
      </c>
      <c r="F191" s="132">
        <f>D191*E191</f>
        <v>4410</v>
      </c>
      <c r="G191" s="132">
        <f t="shared" si="34"/>
        <v>1.21275</v>
      </c>
      <c r="H191" s="132">
        <f>F191*0.005%</f>
        <v>0.2205</v>
      </c>
      <c r="I191" s="132">
        <v>15.99</v>
      </c>
      <c r="J191" s="132">
        <v>0.8</v>
      </c>
      <c r="K191" s="132"/>
      <c r="L191" s="132">
        <f>F191+G191+H191+I191</f>
        <v>4427.4232499999998</v>
      </c>
      <c r="M191" s="81"/>
      <c r="N191" s="137">
        <f t="shared" si="10"/>
        <v>2.7500000000000002E-4</v>
      </c>
      <c r="O191" s="137">
        <f t="shared" si="11"/>
        <v>5.0000000000000002E-5</v>
      </c>
    </row>
    <row r="192" spans="1:15" x14ac:dyDescent="0.25">
      <c r="A192" s="10"/>
      <c r="M192" s="81"/>
      <c r="N192" s="137"/>
      <c r="O192" s="137"/>
    </row>
    <row r="193" spans="1:31" x14ac:dyDescent="0.25">
      <c r="A193" s="27">
        <v>41680</v>
      </c>
      <c r="B193" s="131">
        <v>15160387</v>
      </c>
      <c r="C193" s="131" t="s">
        <v>286</v>
      </c>
      <c r="D193" s="131">
        <v>7000</v>
      </c>
      <c r="E193" s="132">
        <v>0.67</v>
      </c>
      <c r="F193" s="132">
        <f>D193*E193</f>
        <v>4690</v>
      </c>
      <c r="G193" s="132">
        <f t="shared" ref="G193" si="35">F193*0.0275%</f>
        <v>1.2897500000000002</v>
      </c>
      <c r="H193" s="132">
        <f>F193*0.005%</f>
        <v>0.23450000000000001</v>
      </c>
      <c r="I193" s="132">
        <v>15.99</v>
      </c>
      <c r="J193" s="132">
        <v>0.8</v>
      </c>
      <c r="K193" s="132"/>
      <c r="L193" s="132">
        <f>F193+G193+H193+I193</f>
        <v>4707.5142499999993</v>
      </c>
      <c r="M193" s="81"/>
      <c r="N193" s="137">
        <f t="shared" si="10"/>
        <v>2.7500000000000002E-4</v>
      </c>
      <c r="O193" s="137">
        <f t="shared" si="11"/>
        <v>5.0000000000000002E-5</v>
      </c>
    </row>
    <row r="194" spans="1:31" x14ac:dyDescent="0.25">
      <c r="A194" s="10"/>
      <c r="M194" s="81"/>
      <c r="N194" s="137"/>
      <c r="O194" s="137"/>
    </row>
    <row r="195" spans="1:31" x14ac:dyDescent="0.25">
      <c r="A195" s="71">
        <v>41717</v>
      </c>
      <c r="B195" s="135">
        <v>15070144</v>
      </c>
      <c r="C195" s="72" t="s">
        <v>289</v>
      </c>
      <c r="D195" s="72">
        <v>15000000</v>
      </c>
      <c r="E195" s="77">
        <v>9.0000000000000006E-5</v>
      </c>
      <c r="F195" s="73">
        <f>D195*E195</f>
        <v>1350</v>
      </c>
      <c r="G195" s="75">
        <f t="shared" ref="G195" si="36">F195*0.0275%</f>
        <v>0.37125000000000002</v>
      </c>
      <c r="H195" s="75">
        <f>F195*0.005%</f>
        <v>6.7500000000000004E-2</v>
      </c>
      <c r="I195" s="75">
        <v>15.99</v>
      </c>
      <c r="J195" s="75">
        <v>0.8</v>
      </c>
      <c r="K195" s="75"/>
      <c r="L195" s="73">
        <f>F195-G195-H195-I195-K195</f>
        <v>1333.57125</v>
      </c>
      <c r="M195" s="81"/>
      <c r="N195" s="137">
        <f t="shared" ref="N195:N258" si="37">G195/F195</f>
        <v>2.7500000000000002E-4</v>
      </c>
      <c r="O195" s="137">
        <f t="shared" ref="O195:O258" si="38">H195/F195</f>
        <v>5.0000000000000002E-5</v>
      </c>
    </row>
    <row r="196" spans="1:31" x14ac:dyDescent="0.25">
      <c r="A196" s="10"/>
      <c r="M196" s="81"/>
      <c r="N196" s="137"/>
      <c r="O196" s="137"/>
    </row>
    <row r="197" spans="1:31" x14ac:dyDescent="0.25">
      <c r="A197" s="71">
        <v>41718</v>
      </c>
      <c r="B197" s="135">
        <v>15133831</v>
      </c>
      <c r="C197" s="72" t="s">
        <v>296</v>
      </c>
      <c r="D197" s="72">
        <v>600</v>
      </c>
      <c r="E197" s="73">
        <v>6.05</v>
      </c>
      <c r="F197" s="73">
        <f>D197*E197</f>
        <v>3630</v>
      </c>
      <c r="G197" s="75">
        <f t="shared" ref="G197" si="39">F197*0.0275%</f>
        <v>0.99825000000000008</v>
      </c>
      <c r="H197" s="75">
        <f>F197*0.005%</f>
        <v>0.18150000000000002</v>
      </c>
      <c r="I197" s="75">
        <v>15.99</v>
      </c>
      <c r="J197" s="75">
        <v>0.8</v>
      </c>
      <c r="K197" s="75"/>
      <c r="L197" s="73">
        <f>F197-G197-H197-I197-K197</f>
        <v>3612.83025</v>
      </c>
      <c r="M197" s="81"/>
      <c r="N197" s="137">
        <f t="shared" si="37"/>
        <v>2.7500000000000002E-4</v>
      </c>
      <c r="O197" s="137">
        <f t="shared" si="38"/>
        <v>5.0000000000000009E-5</v>
      </c>
    </row>
    <row r="198" spans="1:31" x14ac:dyDescent="0.25">
      <c r="A198" s="10"/>
      <c r="M198" s="81"/>
      <c r="N198" s="137"/>
      <c r="O198" s="137"/>
    </row>
    <row r="199" spans="1:31" x14ac:dyDescent="0.25">
      <c r="A199" s="26">
        <v>41725</v>
      </c>
      <c r="B199" s="131">
        <v>15254837</v>
      </c>
      <c r="C199" s="47" t="s">
        <v>288</v>
      </c>
      <c r="D199" s="47">
        <v>1500</v>
      </c>
      <c r="E199" s="23">
        <v>3.29</v>
      </c>
      <c r="F199" s="23">
        <f>D199*E199</f>
        <v>4935</v>
      </c>
      <c r="G199" s="57">
        <f t="shared" ref="G199" si="40">F199*0.0275%</f>
        <v>1.3571250000000001</v>
      </c>
      <c r="H199" s="57">
        <f>F199*0.005%</f>
        <v>0.24675000000000002</v>
      </c>
      <c r="I199" s="57">
        <v>15.99</v>
      </c>
      <c r="J199" s="57">
        <v>0.8</v>
      </c>
      <c r="K199" s="57"/>
      <c r="L199" s="23">
        <f>F199+G199+H199+I199</f>
        <v>4952.5938750000005</v>
      </c>
      <c r="M199" s="81"/>
      <c r="N199" s="137">
        <f t="shared" si="37"/>
        <v>2.7500000000000002E-4</v>
      </c>
      <c r="O199" s="137">
        <f t="shared" si="38"/>
        <v>5.0000000000000002E-5</v>
      </c>
    </row>
    <row r="200" spans="1:31" x14ac:dyDescent="0.25">
      <c r="A200" s="10"/>
      <c r="M200" s="81"/>
      <c r="N200" s="137"/>
      <c r="O200" s="137"/>
    </row>
    <row r="201" spans="1:31" x14ac:dyDescent="0.25">
      <c r="A201" s="71">
        <v>41726</v>
      </c>
      <c r="B201" s="135">
        <v>15135613</v>
      </c>
      <c r="C201" s="72" t="s">
        <v>290</v>
      </c>
      <c r="D201" s="72">
        <v>4200</v>
      </c>
      <c r="E201" s="73">
        <v>1.05</v>
      </c>
      <c r="F201" s="73">
        <f>D201*E201</f>
        <v>4410</v>
      </c>
      <c r="G201" s="75">
        <f t="shared" ref="G201" si="41">F201*0.0275%</f>
        <v>1.21275</v>
      </c>
      <c r="H201" s="75">
        <f>F201*0.005%</f>
        <v>0.2205</v>
      </c>
      <c r="I201" s="75">
        <v>15.99</v>
      </c>
      <c r="J201" s="75">
        <v>0.8</v>
      </c>
      <c r="K201" s="75"/>
      <c r="L201" s="73">
        <f>F201-G201-H201-I201-K201</f>
        <v>4392.5767500000002</v>
      </c>
      <c r="M201" s="81"/>
      <c r="N201" s="137">
        <f t="shared" si="37"/>
        <v>2.7500000000000002E-4</v>
      </c>
      <c r="O201" s="137">
        <f t="shared" si="38"/>
        <v>5.0000000000000002E-5</v>
      </c>
    </row>
    <row r="202" spans="1:31" x14ac:dyDescent="0.25">
      <c r="A202" s="10"/>
      <c r="M202" s="81"/>
      <c r="N202" s="137"/>
      <c r="O202" s="137"/>
    </row>
    <row r="203" spans="1:31" x14ac:dyDescent="0.25">
      <c r="A203" s="71">
        <v>41758</v>
      </c>
      <c r="B203" s="135">
        <v>15273303</v>
      </c>
      <c r="C203" s="72" t="s">
        <v>291</v>
      </c>
      <c r="D203" s="72">
        <v>30000</v>
      </c>
      <c r="E203" s="73">
        <v>0.13</v>
      </c>
      <c r="F203" s="73">
        <f>D203*E203</f>
        <v>3900</v>
      </c>
      <c r="G203" s="75">
        <f t="shared" ref="G203" si="42">F203*0.0275%</f>
        <v>1.0725</v>
      </c>
      <c r="H203" s="75">
        <f>F203*0.005%</f>
        <v>0.19500000000000001</v>
      </c>
      <c r="I203" s="75">
        <v>15.99</v>
      </c>
      <c r="J203" s="75">
        <v>0.8</v>
      </c>
      <c r="K203" s="75"/>
      <c r="L203" s="73">
        <f>F203-G203-H203-I203-K203</f>
        <v>3882.7424999999998</v>
      </c>
      <c r="M203" s="81"/>
      <c r="N203" s="137">
        <f t="shared" si="37"/>
        <v>2.7500000000000002E-4</v>
      </c>
      <c r="O203" s="137">
        <f t="shared" si="38"/>
        <v>5.0000000000000002E-5</v>
      </c>
      <c r="AB203" s="38"/>
      <c r="AC203" s="38"/>
      <c r="AD203" s="41"/>
      <c r="AE203" s="38"/>
    </row>
    <row r="204" spans="1:31" x14ac:dyDescent="0.25">
      <c r="A204" s="10"/>
      <c r="M204" s="81"/>
      <c r="N204" s="137"/>
      <c r="O204" s="137"/>
    </row>
    <row r="205" spans="1:31" x14ac:dyDescent="0.25">
      <c r="A205" s="71">
        <v>41761</v>
      </c>
      <c r="B205" s="135">
        <v>15291158</v>
      </c>
      <c r="C205" s="72" t="s">
        <v>268</v>
      </c>
      <c r="D205" s="72">
        <v>300</v>
      </c>
      <c r="E205" s="73">
        <v>17.7</v>
      </c>
      <c r="F205" s="73">
        <f>D205*E205</f>
        <v>5310</v>
      </c>
      <c r="G205" s="75">
        <f t="shared" ref="G205" si="43">F205*0.0275%</f>
        <v>1.46025</v>
      </c>
      <c r="H205" s="75">
        <f>F205*0.005%</f>
        <v>0.26550000000000001</v>
      </c>
      <c r="I205" s="75">
        <v>15.99</v>
      </c>
      <c r="J205" s="75">
        <v>0.8</v>
      </c>
      <c r="K205" s="75"/>
      <c r="L205" s="73">
        <f>F205-G205-H205-I205-K205</f>
        <v>5292.2842499999997</v>
      </c>
      <c r="M205" s="81"/>
      <c r="N205" s="137">
        <f t="shared" si="37"/>
        <v>2.7500000000000002E-4</v>
      </c>
      <c r="O205" s="137">
        <f t="shared" si="38"/>
        <v>5.0000000000000002E-5</v>
      </c>
      <c r="AB205" s="46"/>
      <c r="AC205" s="22"/>
      <c r="AD205" s="46"/>
      <c r="AE205" s="22"/>
    </row>
    <row r="206" spans="1:31" x14ac:dyDescent="0.25">
      <c r="A206" s="10"/>
      <c r="M206" s="81"/>
      <c r="N206" s="137"/>
      <c r="O206" s="137"/>
    </row>
    <row r="207" spans="1:31" x14ac:dyDescent="0.25">
      <c r="A207" s="26">
        <v>41768</v>
      </c>
      <c r="B207" s="131">
        <v>15422960</v>
      </c>
      <c r="C207" s="47" t="s">
        <v>289</v>
      </c>
      <c r="D207" s="47">
        <v>50000000</v>
      </c>
      <c r="E207" s="68">
        <v>8.0000000000000007E-5</v>
      </c>
      <c r="F207" s="23">
        <f>D207*E207</f>
        <v>4000.0000000000005</v>
      </c>
      <c r="G207" s="57">
        <f t="shared" ref="G207" si="44">F207*0.0275%</f>
        <v>1.1000000000000001</v>
      </c>
      <c r="H207" s="57">
        <f>F207*0.005%</f>
        <v>0.20000000000000004</v>
      </c>
      <c r="I207" s="57">
        <v>15.99</v>
      </c>
      <c r="J207" s="57">
        <v>0.8</v>
      </c>
      <c r="K207" s="57"/>
      <c r="L207" s="23">
        <f>F207+G207+H207+I207</f>
        <v>4017.29</v>
      </c>
      <c r="M207" s="81"/>
      <c r="N207" s="137">
        <f t="shared" si="37"/>
        <v>2.7500000000000002E-4</v>
      </c>
      <c r="O207" s="137">
        <f t="shared" si="38"/>
        <v>5.0000000000000002E-5</v>
      </c>
      <c r="AB207" s="46"/>
      <c r="AC207" s="47"/>
      <c r="AD207" s="46"/>
      <c r="AE207" s="22"/>
    </row>
    <row r="208" spans="1:31" x14ac:dyDescent="0.25">
      <c r="A208" s="10"/>
      <c r="M208" s="81"/>
      <c r="N208" s="137"/>
      <c r="O208" s="137"/>
    </row>
    <row r="209" spans="1:31" x14ac:dyDescent="0.25">
      <c r="A209" s="26">
        <v>41773</v>
      </c>
      <c r="B209" s="131">
        <v>15424067</v>
      </c>
      <c r="C209" s="47" t="s">
        <v>297</v>
      </c>
      <c r="D209" s="47">
        <v>12800</v>
      </c>
      <c r="E209" s="23">
        <v>0.25</v>
      </c>
      <c r="F209" s="23">
        <f>D209*E209</f>
        <v>3200</v>
      </c>
      <c r="G209" s="57">
        <f t="shared" ref="G209" si="45">F209*0.0275%</f>
        <v>0.88</v>
      </c>
      <c r="H209" s="57">
        <f>F209*0.005%</f>
        <v>0.16</v>
      </c>
      <c r="I209" s="57">
        <v>15.99</v>
      </c>
      <c r="J209" s="57">
        <v>0.8</v>
      </c>
      <c r="K209" s="57"/>
      <c r="L209" s="23">
        <f>F209+G209+H209+I209</f>
        <v>3217.0299999999997</v>
      </c>
      <c r="M209" s="81"/>
      <c r="N209" s="137">
        <f t="shared" si="37"/>
        <v>2.7500000000000002E-4</v>
      </c>
      <c r="O209" s="137">
        <f t="shared" si="38"/>
        <v>5.0000000000000002E-5</v>
      </c>
      <c r="AB209" s="46"/>
      <c r="AC209" s="47"/>
      <c r="AD209" s="46"/>
      <c r="AE209" s="22"/>
    </row>
    <row r="210" spans="1:31" x14ac:dyDescent="0.25">
      <c r="A210" s="10"/>
      <c r="M210" s="81"/>
      <c r="N210" s="137"/>
      <c r="O210" s="137"/>
    </row>
    <row r="211" spans="1:31" x14ac:dyDescent="0.25">
      <c r="A211" s="71">
        <v>41796</v>
      </c>
      <c r="B211" s="135">
        <v>15488529</v>
      </c>
      <c r="C211" s="72" t="s">
        <v>297</v>
      </c>
      <c r="D211" s="72">
        <v>12800</v>
      </c>
      <c r="E211" s="73">
        <v>0.3</v>
      </c>
      <c r="F211" s="73">
        <f>D211*E211</f>
        <v>3840</v>
      </c>
      <c r="G211" s="75">
        <f t="shared" ref="G211" si="46">F211*0.0275%</f>
        <v>1.056</v>
      </c>
      <c r="H211" s="75">
        <f>F211*0.005%</f>
        <v>0.192</v>
      </c>
      <c r="I211" s="75">
        <v>15.99</v>
      </c>
      <c r="J211" s="75">
        <v>0.8</v>
      </c>
      <c r="K211" s="75"/>
      <c r="L211" s="73">
        <f>F211-G211-H211-I211-K211</f>
        <v>3822.7620000000002</v>
      </c>
      <c r="M211" s="81"/>
      <c r="N211" s="137">
        <f t="shared" si="37"/>
        <v>2.7500000000000002E-4</v>
      </c>
      <c r="O211" s="137">
        <f t="shared" si="38"/>
        <v>5.0000000000000002E-5</v>
      </c>
      <c r="AB211" s="38"/>
      <c r="AC211" s="41"/>
    </row>
    <row r="212" spans="1:31" x14ac:dyDescent="0.25">
      <c r="A212" s="10"/>
      <c r="M212" s="81"/>
      <c r="N212" s="137"/>
      <c r="O212" s="137"/>
    </row>
    <row r="213" spans="1:31" x14ac:dyDescent="0.25">
      <c r="A213" s="71">
        <v>41806</v>
      </c>
      <c r="B213" s="135">
        <v>15450856</v>
      </c>
      <c r="C213" s="72" t="s">
        <v>289</v>
      </c>
      <c r="D213" s="72">
        <v>50000000</v>
      </c>
      <c r="E213" s="77">
        <v>9.0000000000000006E-5</v>
      </c>
      <c r="F213" s="73">
        <f>D213*E213</f>
        <v>4500</v>
      </c>
      <c r="G213" s="75">
        <f t="shared" ref="G213" si="47">F213*0.0275%</f>
        <v>1.2375</v>
      </c>
      <c r="H213" s="75">
        <f>F213*0.005%</f>
        <v>0.22500000000000001</v>
      </c>
      <c r="I213" s="75">
        <v>15.99</v>
      </c>
      <c r="J213" s="75">
        <v>0.8</v>
      </c>
      <c r="K213" s="75"/>
      <c r="L213" s="73">
        <f>F213-G213-H213-I213-K213</f>
        <v>4482.5474999999997</v>
      </c>
      <c r="M213" s="81"/>
      <c r="N213" s="137">
        <f t="shared" si="37"/>
        <v>2.7500000000000002E-4</v>
      </c>
      <c r="O213" s="137">
        <f t="shared" si="38"/>
        <v>5.0000000000000002E-5</v>
      </c>
      <c r="AB213" s="38"/>
    </row>
    <row r="214" spans="1:31" x14ac:dyDescent="0.25">
      <c r="A214" s="10"/>
      <c r="M214" s="81"/>
      <c r="N214" s="137"/>
      <c r="O214" s="137"/>
    </row>
    <row r="215" spans="1:31" x14ac:dyDescent="0.25">
      <c r="A215" s="71">
        <v>41814</v>
      </c>
      <c r="B215" s="135">
        <v>15133940</v>
      </c>
      <c r="C215" s="72" t="s">
        <v>293</v>
      </c>
      <c r="D215" s="72">
        <v>10000</v>
      </c>
      <c r="E215" s="73">
        <v>0.34</v>
      </c>
      <c r="F215" s="73">
        <f>D215*E215</f>
        <v>3400.0000000000005</v>
      </c>
      <c r="G215" s="75">
        <f t="shared" ref="G215" si="48">F215*0.0275%</f>
        <v>0.93500000000000016</v>
      </c>
      <c r="H215" s="75">
        <f>F215*0.005%</f>
        <v>0.17000000000000004</v>
      </c>
      <c r="I215" s="75">
        <v>15.99</v>
      </c>
      <c r="J215" s="75">
        <v>0.8</v>
      </c>
      <c r="K215" s="75"/>
      <c r="L215" s="73">
        <f>F215-G215-H215-I215-K215</f>
        <v>3382.9050000000007</v>
      </c>
      <c r="M215" s="81"/>
      <c r="N215" s="137">
        <f t="shared" si="37"/>
        <v>2.7500000000000002E-4</v>
      </c>
      <c r="O215" s="137">
        <f t="shared" si="38"/>
        <v>5.0000000000000002E-5</v>
      </c>
    </row>
    <row r="216" spans="1:31" x14ac:dyDescent="0.25">
      <c r="A216" s="10"/>
      <c r="M216" s="81"/>
      <c r="N216" s="137"/>
      <c r="O216" s="137"/>
    </row>
    <row r="217" spans="1:31" x14ac:dyDescent="0.25">
      <c r="A217" s="26">
        <v>41815</v>
      </c>
      <c r="B217" s="131">
        <v>15488903</v>
      </c>
      <c r="C217" s="47" t="s">
        <v>298</v>
      </c>
      <c r="D217" s="47">
        <v>23000</v>
      </c>
      <c r="E217" s="68">
        <v>1.7000000000000001E-4</v>
      </c>
      <c r="F217" s="23">
        <f>D217*E217</f>
        <v>3.91</v>
      </c>
      <c r="G217" s="57">
        <f t="shared" ref="G217" si="49">F217*0.0275%</f>
        <v>1.07525E-3</v>
      </c>
      <c r="H217" s="57">
        <f>F217*0.005%</f>
        <v>1.9550000000000001E-4</v>
      </c>
      <c r="I217" s="57">
        <v>0</v>
      </c>
      <c r="J217" s="57">
        <v>0</v>
      </c>
      <c r="K217" s="57"/>
      <c r="L217" s="23">
        <f>F217+G217+H217+I217</f>
        <v>3.9112707499999999</v>
      </c>
      <c r="M217" s="81"/>
      <c r="N217" s="137">
        <f t="shared" si="37"/>
        <v>2.7500000000000002E-4</v>
      </c>
      <c r="O217" s="137">
        <f t="shared" si="38"/>
        <v>5.0000000000000002E-5</v>
      </c>
    </row>
    <row r="218" spans="1:31" x14ac:dyDescent="0.25">
      <c r="A218" s="10"/>
      <c r="M218" s="81"/>
      <c r="N218" s="137"/>
      <c r="O218" s="137"/>
    </row>
    <row r="219" spans="1:31" x14ac:dyDescent="0.25">
      <c r="A219" s="26">
        <v>41823</v>
      </c>
      <c r="B219" s="131">
        <v>15626146</v>
      </c>
      <c r="C219" s="47" t="s">
        <v>299</v>
      </c>
      <c r="D219" s="47">
        <v>25</v>
      </c>
      <c r="E219" s="68">
        <v>2.5000000000000001E-4</v>
      </c>
      <c r="F219" s="23">
        <f>D219*E219</f>
        <v>6.2500000000000003E-3</v>
      </c>
      <c r="G219" s="57">
        <f t="shared" ref="G219" si="50">F219*0.0275%</f>
        <v>1.7187500000000003E-6</v>
      </c>
      <c r="H219" s="57">
        <f>F219*0.005%</f>
        <v>3.1250000000000003E-7</v>
      </c>
      <c r="I219" s="57">
        <v>0</v>
      </c>
      <c r="J219" s="57">
        <v>0</v>
      </c>
      <c r="K219" s="57"/>
      <c r="L219" s="23">
        <f>F219+G219+H219+I219</f>
        <v>6.2520312500000006E-3</v>
      </c>
      <c r="M219" s="81"/>
      <c r="N219" s="137">
        <f t="shared" si="37"/>
        <v>2.7500000000000002E-4</v>
      </c>
      <c r="O219" s="137">
        <f t="shared" si="38"/>
        <v>5.0000000000000002E-5</v>
      </c>
      <c r="AB219" s="38"/>
    </row>
    <row r="220" spans="1:31" x14ac:dyDescent="0.25">
      <c r="A220" s="10"/>
      <c r="M220" s="81"/>
      <c r="N220" s="137"/>
      <c r="O220" s="137"/>
    </row>
    <row r="221" spans="1:31" x14ac:dyDescent="0.25">
      <c r="A221" s="26">
        <v>41831</v>
      </c>
      <c r="B221" s="131">
        <v>15488903</v>
      </c>
      <c r="C221" s="47" t="s">
        <v>298</v>
      </c>
      <c r="D221" s="47">
        <v>500000</v>
      </c>
      <c r="E221" s="68">
        <v>1.7000000000000001E-4</v>
      </c>
      <c r="F221" s="23">
        <f>D221*E221</f>
        <v>85</v>
      </c>
      <c r="G221" s="57">
        <f t="shared" ref="G221" si="51">F221*0.0275%</f>
        <v>2.3375E-2</v>
      </c>
      <c r="H221" s="57">
        <f>F221*0.005%</f>
        <v>4.2500000000000003E-3</v>
      </c>
      <c r="I221" s="57">
        <v>0</v>
      </c>
      <c r="J221" s="57">
        <v>0</v>
      </c>
      <c r="K221" s="57"/>
      <c r="L221" s="23">
        <f>F221+G221+H221+I221</f>
        <v>85.027625</v>
      </c>
      <c r="M221" s="81"/>
      <c r="N221" s="137">
        <f t="shared" si="37"/>
        <v>2.7500000000000002E-4</v>
      </c>
      <c r="O221" s="137">
        <f t="shared" si="38"/>
        <v>5.0000000000000002E-5</v>
      </c>
    </row>
    <row r="222" spans="1:31" x14ac:dyDescent="0.25">
      <c r="A222" s="10"/>
      <c r="M222" s="81"/>
      <c r="N222" s="137"/>
      <c r="O222" s="137"/>
    </row>
    <row r="223" spans="1:31" x14ac:dyDescent="0.25">
      <c r="A223" s="26">
        <v>41836</v>
      </c>
      <c r="B223" s="131">
        <v>15488903</v>
      </c>
      <c r="C223" s="47" t="s">
        <v>298</v>
      </c>
      <c r="D223" s="47">
        <v>3477000</v>
      </c>
      <c r="E223" s="68">
        <v>1.7000000000000001E-4</v>
      </c>
      <c r="F223" s="23">
        <f>D223*E223</f>
        <v>591.09</v>
      </c>
      <c r="G223" s="57">
        <f t="shared" ref="G223" si="52">F223*0.0275%</f>
        <v>0.16254975000000002</v>
      </c>
      <c r="H223" s="57">
        <f>F223*0.005%</f>
        <v>2.9554500000000004E-2</v>
      </c>
      <c r="I223" s="57">
        <v>15.99</v>
      </c>
      <c r="J223" s="57">
        <v>0.8</v>
      </c>
      <c r="K223" s="57"/>
      <c r="L223" s="23">
        <f>F223+G223+H223+I223</f>
        <v>607.2721042500001</v>
      </c>
      <c r="M223" s="81"/>
      <c r="N223" s="137">
        <f t="shared" si="37"/>
        <v>2.7500000000000002E-4</v>
      </c>
      <c r="O223" s="137">
        <f t="shared" si="38"/>
        <v>5.0000000000000002E-5</v>
      </c>
    </row>
    <row r="224" spans="1:31" x14ac:dyDescent="0.25">
      <c r="A224" s="10"/>
      <c r="M224" s="81"/>
      <c r="N224" s="137"/>
      <c r="O224" s="137"/>
    </row>
    <row r="225" spans="1:15" x14ac:dyDescent="0.25">
      <c r="A225" s="134">
        <v>41837</v>
      </c>
      <c r="B225" s="135">
        <v>15664559</v>
      </c>
      <c r="C225" s="135" t="s">
        <v>298</v>
      </c>
      <c r="D225" s="135">
        <v>4000000</v>
      </c>
      <c r="E225" s="136">
        <v>2.4000000000000001E-4</v>
      </c>
      <c r="F225" s="133">
        <f>D225*E225</f>
        <v>960</v>
      </c>
      <c r="G225" s="133">
        <f t="shared" ref="G225" si="53">F225*0.0275%</f>
        <v>0.26400000000000001</v>
      </c>
      <c r="H225" s="133">
        <f>F225*0.005%</f>
        <v>4.8000000000000001E-2</v>
      </c>
      <c r="I225" s="133">
        <v>15.99</v>
      </c>
      <c r="J225" s="133">
        <v>0.8</v>
      </c>
      <c r="K225" s="133"/>
      <c r="L225" s="133">
        <f>F225-G225-H225-I225-K225</f>
        <v>943.69799999999998</v>
      </c>
      <c r="M225" s="81"/>
      <c r="N225" s="137">
        <f t="shared" si="37"/>
        <v>2.7500000000000002E-4</v>
      </c>
      <c r="O225" s="137">
        <f t="shared" si="38"/>
        <v>5.0000000000000002E-5</v>
      </c>
    </row>
    <row r="226" spans="1:15" x14ac:dyDescent="0.25">
      <c r="A226" s="10"/>
      <c r="M226" s="81"/>
      <c r="N226" s="137"/>
      <c r="O226" s="137"/>
    </row>
    <row r="227" spans="1:15" x14ac:dyDescent="0.25">
      <c r="A227" s="27">
        <v>41848</v>
      </c>
      <c r="B227" s="131">
        <v>15701852</v>
      </c>
      <c r="C227" s="131" t="s">
        <v>300</v>
      </c>
      <c r="D227" s="131">
        <v>1900</v>
      </c>
      <c r="E227" s="132">
        <v>1.39</v>
      </c>
      <c r="F227" s="132">
        <f>D227*E227</f>
        <v>2641</v>
      </c>
      <c r="G227" s="132">
        <f t="shared" ref="G227" si="54">F227*0.0275%</f>
        <v>0.726275</v>
      </c>
      <c r="H227" s="132">
        <f>F227*0.005%</f>
        <v>0.13205</v>
      </c>
      <c r="I227" s="132">
        <v>15.99</v>
      </c>
      <c r="J227" s="132">
        <v>0.8</v>
      </c>
      <c r="K227" s="132"/>
      <c r="L227" s="132">
        <f>F227+G227+H227+I227</f>
        <v>2657.8483249999999</v>
      </c>
      <c r="M227" s="81"/>
      <c r="N227" s="137">
        <f t="shared" si="37"/>
        <v>2.7500000000000002E-4</v>
      </c>
      <c r="O227" s="137">
        <f t="shared" si="38"/>
        <v>5.0000000000000002E-5</v>
      </c>
    </row>
    <row r="228" spans="1:15" x14ac:dyDescent="0.25">
      <c r="A228" s="10"/>
      <c r="M228" s="81"/>
      <c r="N228" s="137"/>
      <c r="O228" s="137"/>
    </row>
    <row r="229" spans="1:15" x14ac:dyDescent="0.25">
      <c r="A229" s="26">
        <v>41848</v>
      </c>
      <c r="B229" s="131">
        <v>15046492</v>
      </c>
      <c r="C229" s="47" t="s">
        <v>301</v>
      </c>
      <c r="D229" s="47">
        <v>252000000</v>
      </c>
      <c r="E229" s="68">
        <v>1.0000000000000001E-5</v>
      </c>
      <c r="F229" s="23">
        <f>D229*E229</f>
        <v>2520</v>
      </c>
      <c r="G229" s="57">
        <f t="shared" ref="G229" si="55">F229*0.0275%</f>
        <v>0.69300000000000006</v>
      </c>
      <c r="H229" s="57">
        <f>F229*0.005%</f>
        <v>0.126</v>
      </c>
      <c r="I229" s="57">
        <v>15.99</v>
      </c>
      <c r="J229" s="57">
        <v>0.8</v>
      </c>
      <c r="K229" s="57"/>
      <c r="L229" s="23">
        <f>F229+G229+H229+I229</f>
        <v>2536.8090000000002</v>
      </c>
      <c r="M229" s="81"/>
      <c r="N229" s="137">
        <f t="shared" si="37"/>
        <v>2.7500000000000002E-4</v>
      </c>
      <c r="O229" s="137">
        <f t="shared" si="38"/>
        <v>5.0000000000000002E-5</v>
      </c>
    </row>
    <row r="230" spans="1:15" x14ac:dyDescent="0.25">
      <c r="A230" s="10"/>
      <c r="M230" s="81"/>
      <c r="N230" s="137"/>
      <c r="O230" s="137"/>
    </row>
    <row r="231" spans="1:15" x14ac:dyDescent="0.25">
      <c r="A231" s="26">
        <v>41850</v>
      </c>
      <c r="B231" s="131">
        <v>15701805</v>
      </c>
      <c r="C231" s="47" t="s">
        <v>302</v>
      </c>
      <c r="D231" s="47">
        <v>4800</v>
      </c>
      <c r="E231" s="23">
        <v>1.05</v>
      </c>
      <c r="F231" s="23">
        <f>D231*E231</f>
        <v>5040</v>
      </c>
      <c r="G231" s="57">
        <f t="shared" ref="G231" si="56">F231*0.0275%</f>
        <v>1.3860000000000001</v>
      </c>
      <c r="H231" s="57">
        <f>F231*0.005%</f>
        <v>0.252</v>
      </c>
      <c r="I231" s="57">
        <v>15.99</v>
      </c>
      <c r="J231" s="57">
        <v>0.8</v>
      </c>
      <c r="K231" s="57"/>
      <c r="L231" s="23">
        <f>F231+G231+H231+I231</f>
        <v>5057.6280000000006</v>
      </c>
      <c r="M231" s="81"/>
      <c r="N231" s="137">
        <f t="shared" si="37"/>
        <v>2.7500000000000002E-4</v>
      </c>
      <c r="O231" s="137">
        <f t="shared" si="38"/>
        <v>5.0000000000000002E-5</v>
      </c>
    </row>
    <row r="232" spans="1:15" x14ac:dyDescent="0.25">
      <c r="A232" s="10"/>
      <c r="M232" s="81"/>
      <c r="N232" s="137"/>
      <c r="O232" s="137"/>
    </row>
    <row r="233" spans="1:15" x14ac:dyDescent="0.25">
      <c r="A233" s="26">
        <v>41851</v>
      </c>
      <c r="B233" s="131">
        <v>15701580</v>
      </c>
      <c r="C233" s="47" t="s">
        <v>297</v>
      </c>
      <c r="D233" s="47">
        <v>13600</v>
      </c>
      <c r="E233" s="23">
        <v>0.26</v>
      </c>
      <c r="F233" s="23">
        <f>D233*E233</f>
        <v>3536</v>
      </c>
      <c r="G233" s="57">
        <f t="shared" ref="G233:G235" si="57">F233*0.0275%</f>
        <v>0.97240000000000004</v>
      </c>
      <c r="H233" s="57">
        <f>F233*0.005%</f>
        <v>0.17680000000000001</v>
      </c>
      <c r="I233" s="57">
        <v>15.99</v>
      </c>
      <c r="J233" s="57">
        <v>0.8</v>
      </c>
      <c r="K233" s="57"/>
      <c r="L233" s="23">
        <f>F233+G233+H233+I233</f>
        <v>3553.1392000000001</v>
      </c>
      <c r="M233" s="81"/>
      <c r="N233" s="137">
        <f t="shared" si="37"/>
        <v>2.7500000000000002E-4</v>
      </c>
      <c r="O233" s="137">
        <f t="shared" si="38"/>
        <v>5.0000000000000002E-5</v>
      </c>
    </row>
    <row r="234" spans="1:15" x14ac:dyDescent="0.25">
      <c r="A234" s="10"/>
      <c r="M234" s="81"/>
      <c r="N234" s="137"/>
      <c r="O234" s="137"/>
    </row>
    <row r="235" spans="1:15" x14ac:dyDescent="0.25">
      <c r="A235" s="26">
        <v>41851</v>
      </c>
      <c r="B235" s="131">
        <v>15701731</v>
      </c>
      <c r="C235" s="47" t="s">
        <v>303</v>
      </c>
      <c r="D235" s="47">
        <v>13800</v>
      </c>
      <c r="E235" s="23">
        <v>0.18</v>
      </c>
      <c r="F235" s="23">
        <f>D235*E235</f>
        <v>2484</v>
      </c>
      <c r="G235" s="57">
        <f t="shared" si="57"/>
        <v>0.68310000000000004</v>
      </c>
      <c r="H235" s="57">
        <f>F235*0.005%</f>
        <v>0.1242</v>
      </c>
      <c r="I235" s="57">
        <v>15.99</v>
      </c>
      <c r="J235" s="57">
        <v>0.8</v>
      </c>
      <c r="K235" s="57"/>
      <c r="L235" s="23">
        <f>F235+G235+H235+I235</f>
        <v>2500.7973000000002</v>
      </c>
      <c r="M235" s="81"/>
      <c r="N235" s="137">
        <f t="shared" si="37"/>
        <v>2.7500000000000002E-4</v>
      </c>
      <c r="O235" s="137">
        <f t="shared" si="38"/>
        <v>5.0000000000000002E-5</v>
      </c>
    </row>
    <row r="236" spans="1:15" x14ac:dyDescent="0.25">
      <c r="A236" s="10"/>
      <c r="M236" s="81"/>
      <c r="N236" s="137"/>
      <c r="O236" s="137"/>
    </row>
    <row r="237" spans="1:15" x14ac:dyDescent="0.25">
      <c r="A237" s="134">
        <v>41869</v>
      </c>
      <c r="B237" s="135">
        <v>15765836</v>
      </c>
      <c r="C237" s="135" t="s">
        <v>282</v>
      </c>
      <c r="D237" s="135">
        <v>500</v>
      </c>
      <c r="E237" s="133">
        <v>10.5</v>
      </c>
      <c r="F237" s="133">
        <f>D237*E237</f>
        <v>5250</v>
      </c>
      <c r="G237" s="133">
        <f t="shared" ref="G237" si="58">F237*0.0275%</f>
        <v>1.4437500000000001</v>
      </c>
      <c r="H237" s="133">
        <f>F237*0.005%</f>
        <v>0.26250000000000001</v>
      </c>
      <c r="I237" s="133">
        <v>15.99</v>
      </c>
      <c r="J237" s="133">
        <v>0.8</v>
      </c>
      <c r="K237" s="133"/>
      <c r="L237" s="133">
        <f>F237-G237-H237-I237-K237</f>
        <v>5232.30375</v>
      </c>
      <c r="M237" s="81"/>
      <c r="N237" s="137">
        <f t="shared" si="37"/>
        <v>2.7500000000000002E-4</v>
      </c>
      <c r="O237" s="137">
        <f t="shared" si="38"/>
        <v>5.0000000000000002E-5</v>
      </c>
    </row>
    <row r="238" spans="1:15" x14ac:dyDescent="0.25">
      <c r="A238" s="10"/>
      <c r="M238" s="81"/>
      <c r="N238" s="137"/>
      <c r="O238" s="137"/>
    </row>
    <row r="239" spans="1:15" x14ac:dyDescent="0.25">
      <c r="A239" s="27">
        <v>41880</v>
      </c>
      <c r="B239" s="131">
        <v>15799889</v>
      </c>
      <c r="C239" s="131" t="s">
        <v>269</v>
      </c>
      <c r="D239" s="131">
        <v>200</v>
      </c>
      <c r="E239" s="132">
        <v>26</v>
      </c>
      <c r="F239" s="132">
        <f>D239*E239</f>
        <v>5200</v>
      </c>
      <c r="G239" s="132">
        <f t="shared" ref="G239" si="59">F239*0.0275%</f>
        <v>1.4300000000000002</v>
      </c>
      <c r="H239" s="132">
        <f>F239*0.005%</f>
        <v>0.26</v>
      </c>
      <c r="I239" s="132">
        <v>15.99</v>
      </c>
      <c r="J239" s="132">
        <v>0.8</v>
      </c>
      <c r="K239" s="132"/>
      <c r="L239" s="132">
        <f>F239+G239+H239+I239</f>
        <v>5217.68</v>
      </c>
      <c r="M239" s="81"/>
      <c r="N239" s="137">
        <f t="shared" si="37"/>
        <v>2.7500000000000002E-4</v>
      </c>
      <c r="O239" s="137">
        <f t="shared" si="38"/>
        <v>5.0000000000000002E-5</v>
      </c>
    </row>
    <row r="240" spans="1:15" x14ac:dyDescent="0.25">
      <c r="A240" s="82"/>
      <c r="B240" s="79"/>
      <c r="C240" s="79"/>
      <c r="D240" s="79"/>
      <c r="E240" s="80"/>
      <c r="F240" s="80"/>
      <c r="G240" s="80"/>
      <c r="H240" s="80"/>
      <c r="I240" s="80"/>
      <c r="J240" s="80"/>
      <c r="K240" s="80"/>
      <c r="L240" s="80"/>
      <c r="M240" s="81"/>
      <c r="N240" s="137"/>
      <c r="O240" s="137"/>
    </row>
    <row r="241" spans="1:28" s="47" customFormat="1" x14ac:dyDescent="0.25">
      <c r="A241" s="26">
        <v>41904</v>
      </c>
      <c r="B241" s="47">
        <v>186587</v>
      </c>
      <c r="C241" s="47" t="s">
        <v>303</v>
      </c>
      <c r="D241" s="47">
        <v>1</v>
      </c>
      <c r="E241" s="23">
        <v>0.13</v>
      </c>
      <c r="F241" s="23">
        <f>D241*E241</f>
        <v>0.13</v>
      </c>
      <c r="G241" s="23">
        <f t="shared" ref="G241" si="60">F241*0.0275%</f>
        <v>3.5750000000000002E-5</v>
      </c>
      <c r="H241" s="23">
        <f>F241*0.005%</f>
        <v>6.5000000000000004E-6</v>
      </c>
      <c r="I241" s="23">
        <v>7.99</v>
      </c>
      <c r="J241" s="23">
        <v>0.39</v>
      </c>
      <c r="K241" s="23"/>
      <c r="L241" s="23">
        <f>F241+G241+H241+I241</f>
        <v>8.1200422500000009</v>
      </c>
      <c r="M241" s="70"/>
      <c r="N241" s="137">
        <f t="shared" si="37"/>
        <v>2.7500000000000002E-4</v>
      </c>
      <c r="O241" s="137">
        <f t="shared" si="38"/>
        <v>5.0000000000000002E-5</v>
      </c>
      <c r="R241" s="23"/>
      <c r="S241" s="23"/>
      <c r="T241" s="23"/>
      <c r="U241" s="23"/>
      <c r="V241" s="23"/>
      <c r="W241" s="23"/>
      <c r="X241" s="23"/>
      <c r="Y241" s="23"/>
      <c r="Z241" s="23"/>
      <c r="AA241" s="23"/>
      <c r="AB241" s="23"/>
    </row>
    <row r="242" spans="1:28" s="47" customFormat="1" x14ac:dyDescent="0.25">
      <c r="A242" s="26"/>
      <c r="E242" s="23"/>
      <c r="F242" s="23"/>
      <c r="G242" s="23"/>
      <c r="H242" s="23"/>
      <c r="I242" s="23"/>
      <c r="J242" s="23"/>
      <c r="K242" s="23"/>
      <c r="L242" s="23"/>
      <c r="M242" s="70"/>
      <c r="N242" s="137"/>
      <c r="O242" s="137"/>
      <c r="R242" s="23"/>
      <c r="S242" s="23"/>
      <c r="T242" s="23"/>
      <c r="U242" s="23"/>
      <c r="V242" s="23"/>
      <c r="W242" s="23"/>
      <c r="X242" s="23"/>
      <c r="Y242" s="23"/>
      <c r="Z242" s="23"/>
      <c r="AA242" s="23"/>
      <c r="AB242" s="23"/>
    </row>
    <row r="243" spans="1:28" s="47" customFormat="1" x14ac:dyDescent="0.25">
      <c r="A243" s="26">
        <v>41905</v>
      </c>
      <c r="B243" s="47">
        <v>188169</v>
      </c>
      <c r="C243" s="47" t="s">
        <v>303</v>
      </c>
      <c r="D243" s="47">
        <v>3001</v>
      </c>
      <c r="E243" s="23">
        <v>0.13</v>
      </c>
      <c r="F243" s="23">
        <f>D243*E243</f>
        <v>390.13</v>
      </c>
      <c r="G243" s="23">
        <f t="shared" ref="G243" si="61">F243*0.0275%</f>
        <v>0.10728575</v>
      </c>
      <c r="H243" s="23">
        <f>F243*0.005%</f>
        <v>1.95065E-2</v>
      </c>
      <c r="I243" s="23">
        <v>0</v>
      </c>
      <c r="J243" s="23">
        <v>0</v>
      </c>
      <c r="K243" s="23"/>
      <c r="L243" s="23">
        <f>F243+G243+H243+I243</f>
        <v>390.25679224999999</v>
      </c>
      <c r="M243" s="70"/>
      <c r="N243" s="137">
        <f t="shared" si="37"/>
        <v>2.7500000000000002E-4</v>
      </c>
      <c r="O243" s="137">
        <f t="shared" si="38"/>
        <v>5.0000000000000002E-5</v>
      </c>
      <c r="R243" s="23"/>
      <c r="S243" s="23"/>
      <c r="T243" s="23"/>
      <c r="U243" s="23"/>
      <c r="V243" s="23"/>
      <c r="W243" s="23"/>
      <c r="X243" s="23"/>
      <c r="Y243" s="23"/>
      <c r="Z243" s="23"/>
      <c r="AA243" s="23"/>
      <c r="AB243" s="23"/>
    </row>
    <row r="244" spans="1:28" s="47" customFormat="1" x14ac:dyDescent="0.25">
      <c r="A244" s="26"/>
      <c r="E244" s="23"/>
      <c r="F244" s="23"/>
      <c r="G244" s="23"/>
      <c r="H244" s="23"/>
      <c r="I244" s="23"/>
      <c r="J244" s="23"/>
      <c r="K244" s="23"/>
      <c r="L244" s="23"/>
      <c r="M244" s="70"/>
      <c r="N244" s="137"/>
      <c r="O244" s="137"/>
      <c r="R244" s="23"/>
      <c r="S244" s="23"/>
      <c r="T244" s="23"/>
      <c r="U244" s="23"/>
      <c r="V244" s="23"/>
      <c r="W244" s="23"/>
      <c r="X244" s="23"/>
      <c r="Y244" s="23"/>
      <c r="Z244" s="23"/>
      <c r="AA244" s="23"/>
      <c r="AB244" s="23"/>
    </row>
    <row r="245" spans="1:28" s="47" customFormat="1" x14ac:dyDescent="0.25">
      <c r="A245" s="26">
        <v>41906</v>
      </c>
      <c r="B245" s="47">
        <v>189482</v>
      </c>
      <c r="C245" s="47" t="s">
        <v>303</v>
      </c>
      <c r="D245" s="47">
        <v>1</v>
      </c>
      <c r="E245" s="23">
        <v>0.13</v>
      </c>
      <c r="F245" s="23">
        <f>D245*E245</f>
        <v>0.13</v>
      </c>
      <c r="G245" s="23">
        <f t="shared" ref="G245" si="62">F245*0.0275%</f>
        <v>3.5750000000000002E-5</v>
      </c>
      <c r="H245" s="23">
        <f>F245*0.005%</f>
        <v>6.5000000000000004E-6</v>
      </c>
      <c r="I245" s="23">
        <v>0</v>
      </c>
      <c r="J245" s="23">
        <v>0</v>
      </c>
      <c r="K245" s="23"/>
      <c r="L245" s="23">
        <f>F245+G245+H245+I245</f>
        <v>0.13004225</v>
      </c>
      <c r="M245" s="70"/>
      <c r="N245" s="137">
        <f t="shared" si="37"/>
        <v>2.7500000000000002E-4</v>
      </c>
      <c r="O245" s="137">
        <f t="shared" si="38"/>
        <v>5.0000000000000002E-5</v>
      </c>
      <c r="R245" s="23"/>
      <c r="S245" s="23"/>
      <c r="T245" s="23"/>
      <c r="U245" s="23"/>
      <c r="V245" s="23"/>
      <c r="W245" s="23"/>
      <c r="X245" s="23"/>
      <c r="Y245" s="23"/>
      <c r="Z245" s="23"/>
      <c r="AA245" s="23"/>
      <c r="AB245" s="23"/>
    </row>
    <row r="246" spans="1:28" s="47" customFormat="1" x14ac:dyDescent="0.25">
      <c r="A246" s="26"/>
      <c r="E246" s="23"/>
      <c r="F246" s="23"/>
      <c r="G246" s="23"/>
      <c r="H246" s="23"/>
      <c r="I246" s="23"/>
      <c r="J246" s="23"/>
      <c r="K246" s="23"/>
      <c r="L246" s="23"/>
      <c r="M246" s="70"/>
      <c r="N246" s="137"/>
      <c r="O246" s="137"/>
      <c r="R246" s="23"/>
      <c r="S246" s="23"/>
      <c r="T246" s="23"/>
      <c r="U246" s="23"/>
      <c r="V246" s="23"/>
      <c r="W246" s="23"/>
      <c r="X246" s="23"/>
      <c r="Y246" s="23"/>
      <c r="Z246" s="23"/>
      <c r="AA246" s="23"/>
      <c r="AB246" s="23"/>
    </row>
    <row r="247" spans="1:28" s="47" customFormat="1" x14ac:dyDescent="0.25">
      <c r="A247" s="26">
        <v>41907</v>
      </c>
      <c r="B247" s="47">
        <v>190711</v>
      </c>
      <c r="C247" s="47" t="s">
        <v>303</v>
      </c>
      <c r="D247" s="47">
        <v>1</v>
      </c>
      <c r="E247" s="23">
        <v>0.13</v>
      </c>
      <c r="F247" s="23">
        <f>D247*E247</f>
        <v>0.13</v>
      </c>
      <c r="G247" s="23">
        <f t="shared" ref="G247" si="63">F247*0.0275%</f>
        <v>3.5750000000000002E-5</v>
      </c>
      <c r="H247" s="23">
        <f>F247*0.005%</f>
        <v>6.5000000000000004E-6</v>
      </c>
      <c r="I247" s="23">
        <v>0</v>
      </c>
      <c r="J247" s="23">
        <v>0</v>
      </c>
      <c r="K247" s="23"/>
      <c r="L247" s="23">
        <f>F247+G247+H247+I247</f>
        <v>0.13004225</v>
      </c>
      <c r="M247" s="70"/>
      <c r="N247" s="137">
        <f t="shared" si="37"/>
        <v>2.7500000000000002E-4</v>
      </c>
      <c r="O247" s="137">
        <f t="shared" si="38"/>
        <v>5.0000000000000002E-5</v>
      </c>
      <c r="R247" s="23"/>
      <c r="S247" s="23"/>
      <c r="T247" s="23"/>
      <c r="U247" s="23"/>
      <c r="V247" s="23"/>
      <c r="W247" s="23"/>
      <c r="X247" s="23"/>
      <c r="Y247" s="23"/>
      <c r="Z247" s="23"/>
      <c r="AA247" s="23"/>
      <c r="AB247" s="23"/>
    </row>
    <row r="248" spans="1:28" s="47" customFormat="1" x14ac:dyDescent="0.25">
      <c r="A248" s="26"/>
      <c r="E248" s="23"/>
      <c r="F248" s="23"/>
      <c r="G248" s="23"/>
      <c r="H248" s="23"/>
      <c r="I248" s="23"/>
      <c r="J248" s="23"/>
      <c r="K248" s="23"/>
      <c r="L248" s="23"/>
      <c r="M248" s="70"/>
      <c r="N248" s="137"/>
      <c r="O248" s="137"/>
      <c r="R248" s="23"/>
      <c r="S248" s="23"/>
      <c r="T248" s="23"/>
      <c r="U248" s="23"/>
      <c r="V248" s="23"/>
      <c r="W248" s="23"/>
      <c r="X248" s="23"/>
      <c r="Y248" s="23"/>
      <c r="Z248" s="23"/>
      <c r="AA248" s="23"/>
      <c r="AB248" s="23"/>
    </row>
    <row r="249" spans="1:28" s="47" customFormat="1" x14ac:dyDescent="0.25">
      <c r="A249" s="26">
        <v>41908</v>
      </c>
      <c r="B249" s="47">
        <v>192007</v>
      </c>
      <c r="C249" s="47" t="s">
        <v>303</v>
      </c>
      <c r="D249" s="47">
        <v>12996</v>
      </c>
      <c r="E249" s="23">
        <v>0.13</v>
      </c>
      <c r="F249" s="23">
        <f>D249*E249</f>
        <v>1689.48</v>
      </c>
      <c r="G249" s="23">
        <f t="shared" ref="G249" si="64">F249*0.0275%</f>
        <v>0.46460700000000005</v>
      </c>
      <c r="H249" s="23">
        <f>F249*0.005%</f>
        <v>8.4474000000000007E-2</v>
      </c>
      <c r="I249" s="23">
        <v>0</v>
      </c>
      <c r="J249" s="23">
        <v>0</v>
      </c>
      <c r="K249" s="23"/>
      <c r="L249" s="23">
        <f>F249+G249+H249+I249</f>
        <v>1690.0290809999999</v>
      </c>
      <c r="M249" s="70"/>
      <c r="N249" s="137">
        <f t="shared" si="37"/>
        <v>2.7500000000000002E-4</v>
      </c>
      <c r="O249" s="137">
        <f t="shared" si="38"/>
        <v>5.0000000000000002E-5</v>
      </c>
      <c r="R249" s="23"/>
      <c r="S249" s="23"/>
      <c r="T249" s="23"/>
      <c r="U249" s="23"/>
      <c r="V249" s="23"/>
      <c r="W249" s="23"/>
      <c r="X249" s="23"/>
      <c r="Y249" s="23"/>
      <c r="Z249" s="23"/>
      <c r="AA249" s="23"/>
      <c r="AB249" s="23"/>
    </row>
    <row r="250" spans="1:28" s="18" customFormat="1" x14ac:dyDescent="0.25">
      <c r="A250" s="76"/>
      <c r="E250" s="19"/>
      <c r="F250" s="19"/>
      <c r="G250" s="19"/>
      <c r="H250" s="19"/>
      <c r="I250" s="19"/>
      <c r="J250" s="19"/>
      <c r="K250" s="19"/>
      <c r="L250" s="19"/>
      <c r="M250" s="70"/>
      <c r="N250" s="137"/>
      <c r="O250" s="137"/>
      <c r="R250" s="19"/>
      <c r="S250" s="19"/>
      <c r="T250" s="19"/>
      <c r="U250" s="19"/>
      <c r="V250" s="19"/>
      <c r="W250" s="19"/>
      <c r="X250" s="19"/>
      <c r="Y250" s="19"/>
      <c r="Z250" s="19"/>
      <c r="AA250" s="19"/>
      <c r="AB250" s="19"/>
    </row>
    <row r="251" spans="1:28" s="47" customFormat="1" x14ac:dyDescent="0.25">
      <c r="A251" s="26">
        <v>41915</v>
      </c>
      <c r="B251" s="47">
        <v>200360</v>
      </c>
      <c r="C251" s="47" t="s">
        <v>304</v>
      </c>
      <c r="D251" s="47">
        <v>200000000</v>
      </c>
      <c r="E251" s="68">
        <v>1.0000000000000001E-5</v>
      </c>
      <c r="F251" s="23">
        <f>D251*E251</f>
        <v>2000.0000000000002</v>
      </c>
      <c r="G251" s="23">
        <f t="shared" ref="G251" si="65">F251*0.0275%</f>
        <v>0.55000000000000004</v>
      </c>
      <c r="H251" s="23">
        <f>F251*0.005%</f>
        <v>0.10000000000000002</v>
      </c>
      <c r="I251" s="23">
        <v>15.99</v>
      </c>
      <c r="J251" s="23">
        <v>0.79</v>
      </c>
      <c r="K251" s="23"/>
      <c r="L251" s="23">
        <f>F251+G251+H251+I251</f>
        <v>2016.64</v>
      </c>
      <c r="M251" s="70"/>
      <c r="N251" s="137">
        <f t="shared" si="37"/>
        <v>2.7500000000000002E-4</v>
      </c>
      <c r="O251" s="137">
        <f t="shared" si="38"/>
        <v>5.0000000000000002E-5</v>
      </c>
      <c r="R251" s="23"/>
      <c r="S251" s="23"/>
      <c r="T251" s="23"/>
      <c r="U251" s="23"/>
      <c r="V251" s="23"/>
      <c r="W251" s="23"/>
      <c r="X251" s="23"/>
      <c r="Y251" s="23"/>
      <c r="Z251" s="23"/>
      <c r="AA251" s="23"/>
      <c r="AB251" s="23"/>
    </row>
    <row r="252" spans="1:28" x14ac:dyDescent="0.25">
      <c r="A252" s="10"/>
      <c r="E252" s="39"/>
      <c r="M252" s="70"/>
      <c r="N252" s="137"/>
      <c r="O252" s="137"/>
    </row>
    <row r="253" spans="1:28" s="47" customFormat="1" x14ac:dyDescent="0.25">
      <c r="A253" s="26">
        <v>41939</v>
      </c>
      <c r="B253" s="47">
        <v>228968</v>
      </c>
      <c r="C253" s="47" t="s">
        <v>289</v>
      </c>
      <c r="D253" s="47">
        <v>32600000</v>
      </c>
      <c r="E253" s="68">
        <v>6.9999999999999994E-5</v>
      </c>
      <c r="F253" s="23">
        <f>D253*E253</f>
        <v>2282</v>
      </c>
      <c r="G253" s="23">
        <f t="shared" ref="G253" si="66">F253*0.0275%</f>
        <v>0.62755000000000005</v>
      </c>
      <c r="H253" s="23">
        <f>F253*0.005%</f>
        <v>0.11410000000000001</v>
      </c>
      <c r="I253" s="23">
        <v>15.99</v>
      </c>
      <c r="J253" s="23">
        <v>0.79</v>
      </c>
      <c r="K253" s="23"/>
      <c r="L253" s="23">
        <f>F253+G253+H253+I253</f>
        <v>2298.7316499999997</v>
      </c>
      <c r="M253" s="70"/>
      <c r="N253" s="137">
        <f t="shared" si="37"/>
        <v>2.7500000000000002E-4</v>
      </c>
      <c r="O253" s="137">
        <f t="shared" si="38"/>
        <v>5.0000000000000002E-5</v>
      </c>
      <c r="R253" s="23"/>
      <c r="S253" s="23"/>
      <c r="T253" s="23"/>
      <c r="U253" s="23"/>
      <c r="V253" s="23"/>
      <c r="W253" s="23"/>
      <c r="X253" s="23"/>
      <c r="Y253" s="23"/>
      <c r="Z253" s="23"/>
      <c r="AA253" s="23"/>
      <c r="AB253" s="23"/>
    </row>
    <row r="254" spans="1:28" x14ac:dyDescent="0.25">
      <c r="A254" s="10"/>
      <c r="E254" s="39"/>
      <c r="M254" s="70"/>
      <c r="N254" s="137"/>
      <c r="O254" s="137"/>
    </row>
    <row r="255" spans="1:28" s="72" customFormat="1" x14ac:dyDescent="0.25">
      <c r="A255" s="71">
        <v>41943</v>
      </c>
      <c r="B255" s="72">
        <v>236409</v>
      </c>
      <c r="C255" s="72" t="s">
        <v>297</v>
      </c>
      <c r="D255" s="72">
        <v>13600</v>
      </c>
      <c r="E255" s="73">
        <v>0.3</v>
      </c>
      <c r="F255" s="73">
        <f>D255*E255</f>
        <v>4080</v>
      </c>
      <c r="G255" s="73">
        <f t="shared" ref="G255" si="67">F255*0.0275%</f>
        <v>1.1220000000000001</v>
      </c>
      <c r="H255" s="73">
        <f>F255*0.005%</f>
        <v>0.20400000000000001</v>
      </c>
      <c r="I255" s="73">
        <v>15.99</v>
      </c>
      <c r="J255" s="73">
        <v>0.79</v>
      </c>
      <c r="K255" s="73">
        <v>0</v>
      </c>
      <c r="L255" s="73">
        <f>F255-G255-H255-I255-K255</f>
        <v>4062.6840000000002</v>
      </c>
      <c r="M255" s="70"/>
      <c r="N255" s="137">
        <f t="shared" si="37"/>
        <v>2.7500000000000002E-4</v>
      </c>
      <c r="O255" s="137">
        <f t="shared" si="38"/>
        <v>5.0000000000000002E-5</v>
      </c>
      <c r="R255" s="73"/>
      <c r="S255" s="73"/>
      <c r="T255" s="73"/>
      <c r="U255" s="73"/>
      <c r="V255" s="73"/>
      <c r="W255" s="73"/>
      <c r="X255" s="73"/>
      <c r="Y255" s="73"/>
      <c r="Z255" s="73"/>
      <c r="AA255" s="73"/>
      <c r="AB255" s="73"/>
    </row>
    <row r="256" spans="1:28" x14ac:dyDescent="0.25">
      <c r="A256" s="10"/>
      <c r="M256" s="70"/>
      <c r="N256" s="137"/>
      <c r="O256" s="137"/>
    </row>
    <row r="257" spans="1:28" s="47" customFormat="1" x14ac:dyDescent="0.25">
      <c r="A257" s="26">
        <v>41954</v>
      </c>
      <c r="B257" s="47">
        <v>247516</v>
      </c>
      <c r="C257" s="47" t="s">
        <v>268</v>
      </c>
      <c r="D257" s="47">
        <v>300</v>
      </c>
      <c r="E257" s="23">
        <v>13.7</v>
      </c>
      <c r="F257" s="23">
        <f>D257*E257</f>
        <v>4110</v>
      </c>
      <c r="G257" s="23">
        <f t="shared" ref="G257:G258" si="68">F257*0.0275%</f>
        <v>1.13025</v>
      </c>
      <c r="H257" s="23">
        <f>F257*0.005%</f>
        <v>0.20550000000000002</v>
      </c>
      <c r="I257" s="23">
        <v>15.99</v>
      </c>
      <c r="J257" s="23">
        <v>0.8</v>
      </c>
      <c r="K257" s="23"/>
      <c r="L257" s="23">
        <f>F257+G257+H257+I257</f>
        <v>4127.32575</v>
      </c>
      <c r="M257" s="70"/>
      <c r="N257" s="137">
        <f t="shared" si="37"/>
        <v>2.7500000000000002E-4</v>
      </c>
      <c r="O257" s="137">
        <f t="shared" si="38"/>
        <v>5.0000000000000002E-5</v>
      </c>
      <c r="R257" s="23"/>
      <c r="S257" s="23"/>
      <c r="T257" s="23"/>
      <c r="U257" s="23"/>
      <c r="V257" s="23"/>
      <c r="W257" s="23"/>
      <c r="X257" s="23"/>
      <c r="Y257" s="23"/>
      <c r="Z257" s="23"/>
      <c r="AA257" s="23"/>
      <c r="AB257" s="23"/>
    </row>
    <row r="258" spans="1:28" s="47" customFormat="1" x14ac:dyDescent="0.25">
      <c r="A258" s="26">
        <v>41954</v>
      </c>
      <c r="B258" s="47">
        <v>247516</v>
      </c>
      <c r="C258" s="47" t="s">
        <v>298</v>
      </c>
      <c r="D258" s="47">
        <v>5540000</v>
      </c>
      <c r="E258" s="68">
        <v>1.7000000000000001E-4</v>
      </c>
      <c r="F258" s="23">
        <f>D258*E258</f>
        <v>941.80000000000007</v>
      </c>
      <c r="G258" s="23">
        <f t="shared" si="68"/>
        <v>0.25899500000000003</v>
      </c>
      <c r="H258" s="23">
        <f>F258*0.005%</f>
        <v>4.7090000000000007E-2</v>
      </c>
      <c r="I258" s="23">
        <v>15.99</v>
      </c>
      <c r="J258" s="23">
        <v>0.8</v>
      </c>
      <c r="K258" s="23"/>
      <c r="L258" s="23">
        <f>F258+G258+H258+I258</f>
        <v>958.09608500000013</v>
      </c>
      <c r="M258" s="70"/>
      <c r="N258" s="137">
        <f t="shared" si="37"/>
        <v>2.7500000000000002E-4</v>
      </c>
      <c r="O258" s="137">
        <f t="shared" si="38"/>
        <v>5.0000000000000002E-5</v>
      </c>
      <c r="R258" s="23"/>
      <c r="S258" s="23"/>
      <c r="T258" s="23"/>
      <c r="U258" s="23"/>
      <c r="V258" s="23"/>
      <c r="W258" s="23"/>
      <c r="X258" s="23"/>
      <c r="Y258" s="23"/>
      <c r="Z258" s="23"/>
      <c r="AA258" s="23"/>
      <c r="AB258" s="23"/>
    </row>
    <row r="259" spans="1:28" s="47" customFormat="1" x14ac:dyDescent="0.25">
      <c r="A259" s="26"/>
      <c r="E259" s="23"/>
      <c r="F259" s="19">
        <f>SUM(F257:F258)</f>
        <v>5051.8</v>
      </c>
      <c r="G259" s="19">
        <f>SUM(G257:G258)</f>
        <v>1.3892450000000001</v>
      </c>
      <c r="H259" s="19">
        <f>SUM(H257:H258)</f>
        <v>0.25259000000000004</v>
      </c>
      <c r="I259" s="19">
        <f>SUM(I257:I258)</f>
        <v>31.98</v>
      </c>
      <c r="J259" s="19">
        <f>SUM(J257:J258)</f>
        <v>1.6</v>
      </c>
      <c r="K259" s="19"/>
      <c r="L259" s="19">
        <f>SUM(L257:L258)</f>
        <v>5085.4218350000001</v>
      </c>
      <c r="M259" s="70"/>
      <c r="N259" s="137"/>
      <c r="O259" s="137"/>
      <c r="R259" s="23"/>
      <c r="S259" s="23"/>
      <c r="T259" s="23"/>
      <c r="U259" s="23"/>
      <c r="V259" s="23"/>
      <c r="W259" s="23"/>
      <c r="X259" s="23"/>
      <c r="Y259" s="23"/>
      <c r="Z259" s="23"/>
      <c r="AA259" s="23"/>
      <c r="AB259" s="23"/>
    </row>
    <row r="260" spans="1:28" x14ac:dyDescent="0.25">
      <c r="A260" s="10"/>
      <c r="E260" s="39"/>
      <c r="M260" s="70"/>
      <c r="N260" s="137"/>
      <c r="O260" s="137"/>
    </row>
    <row r="261" spans="1:28" s="72" customFormat="1" x14ac:dyDescent="0.25">
      <c r="A261" s="71">
        <v>42241</v>
      </c>
      <c r="B261" s="72">
        <v>284689</v>
      </c>
      <c r="C261" s="72" t="s">
        <v>298</v>
      </c>
      <c r="D261" s="72">
        <v>1900000</v>
      </c>
      <c r="E261" s="77">
        <v>2.4000000000000001E-4</v>
      </c>
      <c r="F261" s="73">
        <f>D261*E261</f>
        <v>456</v>
      </c>
      <c r="G261" s="73">
        <f t="shared" ref="G261" si="69">F261*0.0275%</f>
        <v>0.12540000000000001</v>
      </c>
      <c r="H261" s="73">
        <f>F261*0.005%</f>
        <v>2.2800000000000001E-2</v>
      </c>
      <c r="I261" s="73">
        <v>9.8000000000000007</v>
      </c>
      <c r="J261" s="73">
        <v>0.51</v>
      </c>
      <c r="K261" s="73">
        <v>0</v>
      </c>
      <c r="L261" s="73">
        <f>F261-G261-H261-I261-J261</f>
        <v>445.54179999999997</v>
      </c>
      <c r="M261" s="70"/>
      <c r="N261" s="137">
        <f t="shared" ref="N261:N322" si="70">G261/F261</f>
        <v>2.7500000000000002E-4</v>
      </c>
      <c r="O261" s="137">
        <f t="shared" ref="O261:O322" si="71">H261/F261</f>
        <v>5.0000000000000002E-5</v>
      </c>
      <c r="R261" s="73"/>
      <c r="S261" s="73"/>
      <c r="T261" s="73"/>
      <c r="U261" s="73"/>
      <c r="V261" s="73"/>
      <c r="W261" s="73"/>
      <c r="X261" s="73"/>
      <c r="Y261" s="73"/>
      <c r="Z261" s="73"/>
      <c r="AA261" s="73"/>
      <c r="AB261" s="73"/>
    </row>
    <row r="262" spans="1:28" s="72" customFormat="1" x14ac:dyDescent="0.25">
      <c r="A262" s="71"/>
      <c r="E262" s="77"/>
      <c r="F262" s="73"/>
      <c r="G262" s="73"/>
      <c r="H262" s="73"/>
      <c r="I262" s="73"/>
      <c r="J262" s="73"/>
      <c r="K262" s="73"/>
      <c r="L262" s="73"/>
      <c r="M262" s="70"/>
      <c r="N262" s="137"/>
      <c r="O262" s="137"/>
      <c r="R262" s="73"/>
      <c r="S262" s="73"/>
      <c r="T262" s="73"/>
      <c r="U262" s="73"/>
      <c r="V262" s="73"/>
      <c r="W262" s="73"/>
      <c r="X262" s="73"/>
      <c r="Y262" s="73"/>
      <c r="Z262" s="73"/>
      <c r="AA262" s="73"/>
      <c r="AB262" s="73"/>
    </row>
    <row r="263" spans="1:28" s="72" customFormat="1" x14ac:dyDescent="0.25">
      <c r="A263" s="71">
        <v>42242</v>
      </c>
      <c r="B263" s="72">
        <v>286196</v>
      </c>
      <c r="C263" s="72" t="s">
        <v>298</v>
      </c>
      <c r="D263" s="72">
        <v>3640000</v>
      </c>
      <c r="E263" s="77">
        <v>2.4000000000000001E-4</v>
      </c>
      <c r="F263" s="73">
        <f>D263*E263</f>
        <v>873.6</v>
      </c>
      <c r="G263" s="73">
        <f t="shared" ref="G263" si="72">F263*0.0275%</f>
        <v>0.24024000000000001</v>
      </c>
      <c r="H263" s="73">
        <f>F263*0.005%</f>
        <v>4.3680000000000004E-2</v>
      </c>
      <c r="I263" s="73">
        <v>0</v>
      </c>
      <c r="J263" s="73">
        <v>0</v>
      </c>
      <c r="K263" s="73">
        <v>0</v>
      </c>
      <c r="L263" s="73">
        <f>F263-G263-H263-I263-K263</f>
        <v>873.31608000000006</v>
      </c>
      <c r="M263" s="70"/>
      <c r="N263" s="137">
        <f t="shared" si="70"/>
        <v>2.7500000000000002E-4</v>
      </c>
      <c r="O263" s="137">
        <f t="shared" si="71"/>
        <v>5.0000000000000002E-5</v>
      </c>
      <c r="R263" s="73"/>
      <c r="S263" s="73"/>
      <c r="T263" s="73"/>
      <c r="U263" s="73"/>
      <c r="V263" s="73"/>
      <c r="W263" s="73"/>
      <c r="X263" s="73"/>
      <c r="Y263" s="73"/>
      <c r="Z263" s="73"/>
      <c r="AA263" s="73"/>
      <c r="AB263" s="73"/>
    </row>
    <row r="264" spans="1:28" x14ac:dyDescent="0.25">
      <c r="A264" s="10"/>
      <c r="E264" s="39"/>
      <c r="M264" s="70"/>
      <c r="N264" s="137"/>
      <c r="O264" s="137"/>
    </row>
    <row r="265" spans="1:28" s="47" customFormat="1" x14ac:dyDescent="0.25">
      <c r="A265" s="26">
        <v>42692</v>
      </c>
      <c r="B265" s="47">
        <v>51788</v>
      </c>
      <c r="C265" s="47" t="s">
        <v>271</v>
      </c>
      <c r="D265" s="47">
        <v>400</v>
      </c>
      <c r="E265" s="23">
        <v>25.45</v>
      </c>
      <c r="F265" s="23">
        <f>D265*E265</f>
        <v>10180</v>
      </c>
      <c r="G265" s="23">
        <f t="shared" ref="G265:G266" si="73">F265*0.0275%</f>
        <v>2.7995000000000001</v>
      </c>
      <c r="H265" s="23">
        <f>F265*0.007%</f>
        <v>0.71260000000000012</v>
      </c>
      <c r="I265" s="23">
        <v>8.99</v>
      </c>
      <c r="J265" s="23">
        <v>0.45</v>
      </c>
      <c r="K265" s="23"/>
      <c r="L265" s="23">
        <f>F265+G265+H265+I265</f>
        <v>10192.5021</v>
      </c>
      <c r="M265" s="70"/>
      <c r="N265" s="137">
        <f t="shared" si="70"/>
        <v>2.7500000000000002E-4</v>
      </c>
      <c r="O265" s="139">
        <f t="shared" si="71"/>
        <v>7.0000000000000007E-5</v>
      </c>
      <c r="R265" s="23"/>
      <c r="S265" s="23"/>
      <c r="T265" s="23"/>
      <c r="U265" s="23"/>
      <c r="V265" s="23"/>
      <c r="W265" s="23"/>
      <c r="X265" s="23"/>
      <c r="Y265" s="23"/>
      <c r="Z265" s="23"/>
      <c r="AA265" s="23"/>
      <c r="AB265" s="23"/>
    </row>
    <row r="266" spans="1:28" s="47" customFormat="1" x14ac:dyDescent="0.25">
      <c r="A266" s="26">
        <v>42692</v>
      </c>
      <c r="B266" s="47">
        <v>51788</v>
      </c>
      <c r="C266" s="47" t="s">
        <v>305</v>
      </c>
      <c r="D266" s="47">
        <v>1000</v>
      </c>
      <c r="E266" s="23">
        <v>7.83</v>
      </c>
      <c r="F266" s="23">
        <f>D266*E266</f>
        <v>7830</v>
      </c>
      <c r="G266" s="23">
        <f t="shared" si="73"/>
        <v>2.1532500000000003</v>
      </c>
      <c r="H266" s="23">
        <f>F266*0.005%</f>
        <v>0.39150000000000001</v>
      </c>
      <c r="I266" s="23">
        <v>8.99</v>
      </c>
      <c r="J266" s="23">
        <v>0.45</v>
      </c>
      <c r="K266" s="23"/>
      <c r="L266" s="23">
        <f>F266+G266+H266+I266</f>
        <v>7841.5347499999998</v>
      </c>
      <c r="M266" s="70"/>
      <c r="N266" s="137">
        <f t="shared" si="70"/>
        <v>2.7500000000000002E-4</v>
      </c>
      <c r="O266" s="137">
        <f t="shared" si="71"/>
        <v>5.0000000000000002E-5</v>
      </c>
      <c r="R266" s="23"/>
      <c r="S266" s="23"/>
      <c r="T266" s="23"/>
      <c r="U266" s="23"/>
      <c r="V266" s="23"/>
      <c r="W266" s="23"/>
      <c r="X266" s="23"/>
      <c r="Y266" s="23"/>
      <c r="Z266" s="23"/>
      <c r="AA266" s="23"/>
      <c r="AB266" s="23"/>
    </row>
    <row r="267" spans="1:28" s="47" customFormat="1" x14ac:dyDescent="0.25">
      <c r="A267" s="26"/>
      <c r="E267" s="23"/>
      <c r="F267" s="19">
        <f>SUM(F265:F266)</f>
        <v>18010</v>
      </c>
      <c r="G267" s="19">
        <f>SUM(G265:G266)</f>
        <v>4.95275</v>
      </c>
      <c r="H267" s="19">
        <f>SUM(H265:H266)</f>
        <v>1.1041000000000001</v>
      </c>
      <c r="I267" s="19">
        <f>SUM(I265:I266)</f>
        <v>17.98</v>
      </c>
      <c r="J267" s="19">
        <f>SUM(J265:J266)</f>
        <v>0.9</v>
      </c>
      <c r="K267" s="19"/>
      <c r="L267" s="19">
        <f>SUM(L265:L266)</f>
        <v>18034.03685</v>
      </c>
      <c r="M267" s="70"/>
      <c r="N267" s="137"/>
      <c r="O267" s="137"/>
      <c r="R267" s="23"/>
      <c r="S267" s="23"/>
      <c r="T267" s="23"/>
      <c r="U267" s="23"/>
      <c r="V267" s="23"/>
      <c r="W267" s="23"/>
      <c r="X267" s="23"/>
      <c r="Y267" s="23"/>
      <c r="Z267" s="23"/>
      <c r="AA267" s="23"/>
      <c r="AB267" s="23"/>
    </row>
    <row r="268" spans="1:28" x14ac:dyDescent="0.25">
      <c r="A268" s="10"/>
      <c r="D268" s="11"/>
      <c r="M268" s="70"/>
      <c r="N268" s="137"/>
      <c r="O268" s="137"/>
    </row>
    <row r="269" spans="1:28" s="47" customFormat="1" x14ac:dyDescent="0.25">
      <c r="A269" s="26">
        <v>42695</v>
      </c>
      <c r="B269" s="47">
        <v>52111</v>
      </c>
      <c r="C269" s="47" t="s">
        <v>279</v>
      </c>
      <c r="D269" s="47">
        <v>300</v>
      </c>
      <c r="E269" s="23">
        <v>27.85</v>
      </c>
      <c r="F269" s="23">
        <f>D269*E269</f>
        <v>8355</v>
      </c>
      <c r="G269" s="23">
        <f t="shared" ref="G269:G270" si="74">F269*0.0275%</f>
        <v>2.297625</v>
      </c>
      <c r="H269" s="23">
        <f>F269*0.005%</f>
        <v>0.41775000000000001</v>
      </c>
      <c r="I269" s="23">
        <v>8.99</v>
      </c>
      <c r="J269" s="23">
        <v>0.45</v>
      </c>
      <c r="K269" s="23"/>
      <c r="L269" s="23">
        <f>F269+G269+H269+I269</f>
        <v>8366.7053749999995</v>
      </c>
      <c r="M269" s="70"/>
      <c r="N269" s="137">
        <f t="shared" si="70"/>
        <v>2.7500000000000002E-4</v>
      </c>
      <c r="O269" s="137">
        <f t="shared" si="71"/>
        <v>5.0000000000000002E-5</v>
      </c>
      <c r="R269" s="23"/>
      <c r="S269" s="23"/>
      <c r="T269" s="23"/>
      <c r="U269" s="23"/>
      <c r="V269" s="23"/>
      <c r="W269" s="23"/>
      <c r="X269" s="23"/>
      <c r="Y269" s="23"/>
      <c r="Z269" s="23"/>
      <c r="AA269" s="23"/>
      <c r="AB269" s="23"/>
    </row>
    <row r="270" spans="1:28" s="72" customFormat="1" x14ac:dyDescent="0.25">
      <c r="A270" s="71">
        <v>42695</v>
      </c>
      <c r="B270" s="72">
        <v>52111</v>
      </c>
      <c r="C270" s="72" t="s">
        <v>271</v>
      </c>
      <c r="D270" s="72">
        <v>400</v>
      </c>
      <c r="E270" s="73">
        <v>28.33</v>
      </c>
      <c r="F270" s="73">
        <f>D270*E270</f>
        <v>11332</v>
      </c>
      <c r="G270" s="73">
        <f t="shared" si="74"/>
        <v>3.1163000000000003</v>
      </c>
      <c r="H270" s="73">
        <f>F270*0.007%</f>
        <v>0.79324000000000006</v>
      </c>
      <c r="I270" s="73">
        <v>8.99</v>
      </c>
      <c r="J270" s="73">
        <v>0.45</v>
      </c>
      <c r="K270" s="73">
        <v>0</v>
      </c>
      <c r="L270" s="73">
        <f>F270-G270-H270-I270-K270</f>
        <v>11319.10046</v>
      </c>
      <c r="M270" s="70"/>
      <c r="N270" s="137">
        <f t="shared" si="70"/>
        <v>2.7500000000000002E-4</v>
      </c>
      <c r="O270" s="139">
        <f t="shared" si="71"/>
        <v>7.0000000000000007E-5</v>
      </c>
      <c r="R270" s="73"/>
      <c r="S270" s="73"/>
      <c r="T270" s="73"/>
      <c r="U270" s="73"/>
      <c r="V270" s="73"/>
      <c r="W270" s="73"/>
      <c r="X270" s="73"/>
      <c r="Y270" s="73"/>
      <c r="Z270" s="73"/>
      <c r="AA270" s="73"/>
      <c r="AB270" s="73"/>
    </row>
    <row r="271" spans="1:28" s="47" customFormat="1" x14ac:dyDescent="0.25">
      <c r="A271" s="26"/>
      <c r="E271" s="23"/>
      <c r="F271" s="74">
        <f>F270-F269</f>
        <v>2977</v>
      </c>
      <c r="G271" s="19">
        <f>SUM(G269:G270)</f>
        <v>5.4139250000000008</v>
      </c>
      <c r="H271" s="19">
        <f>SUM(H269:H270)</f>
        <v>1.21099</v>
      </c>
      <c r="I271" s="19">
        <f>SUM(I269:I270)</f>
        <v>17.98</v>
      </c>
      <c r="J271" s="19">
        <f>SUM(J269:J270)</f>
        <v>0.9</v>
      </c>
      <c r="K271" s="19"/>
      <c r="L271" s="74">
        <f>L270-L269</f>
        <v>2952.3950850000001</v>
      </c>
      <c r="M271" s="70"/>
      <c r="N271" s="137"/>
      <c r="O271" s="137"/>
      <c r="R271" s="23"/>
      <c r="S271" s="23"/>
      <c r="T271" s="23"/>
      <c r="U271" s="23"/>
      <c r="V271" s="23"/>
      <c r="W271" s="23"/>
      <c r="X271" s="23"/>
      <c r="Y271" s="23"/>
      <c r="Z271" s="23"/>
      <c r="AA271" s="23"/>
      <c r="AB271" s="23"/>
    </row>
    <row r="272" spans="1:28" x14ac:dyDescent="0.25">
      <c r="A272" s="10"/>
      <c r="M272" s="70"/>
      <c r="N272" s="137"/>
      <c r="O272" s="137"/>
    </row>
    <row r="273" spans="1:28" s="47" customFormat="1" x14ac:dyDescent="0.25">
      <c r="A273" s="26">
        <v>42696</v>
      </c>
      <c r="B273" s="47">
        <v>52477</v>
      </c>
      <c r="C273" s="47" t="s">
        <v>306</v>
      </c>
      <c r="D273" s="47">
        <v>1000</v>
      </c>
      <c r="E273" s="23">
        <v>13.97</v>
      </c>
      <c r="F273" s="23">
        <f>D273*E273</f>
        <v>13970</v>
      </c>
      <c r="G273" s="23">
        <f t="shared" ref="G273:G275" si="75">F273*0.0275%</f>
        <v>3.8417500000000002</v>
      </c>
      <c r="H273" s="23">
        <f>F273*0.005%</f>
        <v>0.69850000000000001</v>
      </c>
      <c r="I273" s="23">
        <v>8.99</v>
      </c>
      <c r="J273" s="23">
        <v>0.45</v>
      </c>
      <c r="K273" s="23"/>
      <c r="L273" s="23">
        <f>F273+G273+H273+I273</f>
        <v>13983.53025</v>
      </c>
      <c r="M273" s="70"/>
      <c r="N273" s="137">
        <f t="shared" si="70"/>
        <v>2.7500000000000002E-4</v>
      </c>
      <c r="O273" s="137">
        <f t="shared" si="71"/>
        <v>5.0000000000000002E-5</v>
      </c>
      <c r="R273" s="23"/>
      <c r="S273" s="23"/>
      <c r="T273" s="23"/>
      <c r="U273" s="23"/>
      <c r="V273" s="23"/>
      <c r="W273" s="23"/>
      <c r="X273" s="23"/>
      <c r="Y273" s="23"/>
      <c r="Z273" s="23"/>
      <c r="AA273" s="23"/>
      <c r="AB273" s="23"/>
    </row>
    <row r="274" spans="1:28" s="47" customFormat="1" x14ac:dyDescent="0.25">
      <c r="A274" s="26">
        <v>42696</v>
      </c>
      <c r="B274" s="47">
        <v>52477</v>
      </c>
      <c r="C274" s="47" t="s">
        <v>282</v>
      </c>
      <c r="D274" s="47">
        <v>1000</v>
      </c>
      <c r="E274" s="23">
        <v>9.83</v>
      </c>
      <c r="F274" s="23">
        <f>D274*E274</f>
        <v>9830</v>
      </c>
      <c r="G274" s="23">
        <f t="shared" si="75"/>
        <v>2.7032500000000002</v>
      </c>
      <c r="H274" s="23">
        <f>F274*0.005%</f>
        <v>0.49150000000000005</v>
      </c>
      <c r="I274" s="23">
        <v>8.99</v>
      </c>
      <c r="J274" s="23">
        <v>0.45</v>
      </c>
      <c r="K274" s="23"/>
      <c r="L274" s="23">
        <f>F274+G274+H274+I274</f>
        <v>9842.1847500000003</v>
      </c>
      <c r="M274" s="70"/>
      <c r="N274" s="137">
        <f t="shared" si="70"/>
        <v>2.7500000000000002E-4</v>
      </c>
      <c r="O274" s="137">
        <f t="shared" si="71"/>
        <v>5.0000000000000002E-5</v>
      </c>
      <c r="R274" s="23"/>
      <c r="S274" s="23"/>
      <c r="T274" s="23"/>
      <c r="U274" s="23"/>
      <c r="V274" s="23"/>
      <c r="W274" s="23"/>
      <c r="X274" s="23"/>
      <c r="Y274" s="23"/>
      <c r="Z274" s="23"/>
      <c r="AA274" s="23"/>
      <c r="AB274" s="23"/>
    </row>
    <row r="275" spans="1:28" s="47" customFormat="1" x14ac:dyDescent="0.25">
      <c r="A275" s="26">
        <v>42696</v>
      </c>
      <c r="B275" s="47">
        <v>52477</v>
      </c>
      <c r="C275" s="47" t="s">
        <v>307</v>
      </c>
      <c r="D275" s="47">
        <v>400</v>
      </c>
      <c r="E275" s="23">
        <v>18.850000000000001</v>
      </c>
      <c r="F275" s="23">
        <f>D275*E275</f>
        <v>7540.0000000000009</v>
      </c>
      <c r="G275" s="23">
        <f t="shared" si="75"/>
        <v>2.0735000000000006</v>
      </c>
      <c r="H275" s="23">
        <f>F275*0.005%</f>
        <v>0.37700000000000006</v>
      </c>
      <c r="I275" s="23">
        <v>8.99</v>
      </c>
      <c r="J275" s="23">
        <v>0.45</v>
      </c>
      <c r="K275" s="23"/>
      <c r="L275" s="23">
        <f>F275+G275+H275+I275</f>
        <v>7551.4405000000015</v>
      </c>
      <c r="M275" s="70"/>
      <c r="N275" s="137">
        <f t="shared" si="70"/>
        <v>2.7500000000000002E-4</v>
      </c>
      <c r="O275" s="137">
        <f t="shared" si="71"/>
        <v>5.0000000000000002E-5</v>
      </c>
      <c r="R275" s="23"/>
      <c r="S275" s="23"/>
      <c r="T275" s="23"/>
      <c r="U275" s="23"/>
      <c r="V275" s="23"/>
      <c r="W275" s="23"/>
      <c r="X275" s="23"/>
      <c r="Y275" s="23"/>
      <c r="Z275" s="23"/>
      <c r="AA275" s="23"/>
      <c r="AB275" s="23"/>
    </row>
    <row r="276" spans="1:28" s="47" customFormat="1" x14ac:dyDescent="0.25">
      <c r="A276" s="26"/>
      <c r="E276" s="23"/>
      <c r="F276" s="19">
        <f>SUM(F273:F275)</f>
        <v>31340</v>
      </c>
      <c r="G276" s="19">
        <f>SUM(G273:G275)</f>
        <v>8.6185000000000009</v>
      </c>
      <c r="H276" s="19">
        <f>SUM(H273:H275)</f>
        <v>1.5669999999999999</v>
      </c>
      <c r="I276" s="19">
        <f>SUM(I273:I275)</f>
        <v>26.97</v>
      </c>
      <c r="J276" s="19">
        <f>SUM(J273:J275)</f>
        <v>1.35</v>
      </c>
      <c r="K276" s="19"/>
      <c r="L276" s="19">
        <f>SUM(L273:L275)</f>
        <v>31377.155500000001</v>
      </c>
      <c r="M276" s="70"/>
      <c r="N276" s="137"/>
      <c r="O276" s="137"/>
      <c r="R276" s="23"/>
      <c r="S276" s="23"/>
      <c r="T276" s="23"/>
      <c r="U276" s="23"/>
      <c r="V276" s="23"/>
      <c r="W276" s="23"/>
      <c r="X276" s="23"/>
      <c r="Y276" s="23"/>
      <c r="Z276" s="23"/>
      <c r="AA276" s="23"/>
      <c r="AB276" s="23"/>
    </row>
    <row r="277" spans="1:28" x14ac:dyDescent="0.25">
      <c r="A277" s="10"/>
      <c r="M277" s="70"/>
      <c r="N277" s="137"/>
      <c r="O277" s="137"/>
    </row>
    <row r="278" spans="1:28" s="47" customFormat="1" x14ac:dyDescent="0.25">
      <c r="A278" s="26">
        <v>42697</v>
      </c>
      <c r="B278" s="47">
        <v>52863</v>
      </c>
      <c r="C278" s="47" t="s">
        <v>272</v>
      </c>
      <c r="D278" s="47">
        <v>900</v>
      </c>
      <c r="E278" s="23">
        <v>8.75</v>
      </c>
      <c r="F278" s="23">
        <f>D278*E278</f>
        <v>7875</v>
      </c>
      <c r="G278" s="23">
        <f t="shared" ref="G278" si="76">F278*0.0275%</f>
        <v>2.1656249999999999</v>
      </c>
      <c r="H278" s="23">
        <f>F278*0.005%</f>
        <v>0.39375000000000004</v>
      </c>
      <c r="I278" s="23">
        <v>8.99</v>
      </c>
      <c r="J278" s="23">
        <v>0.44</v>
      </c>
      <c r="K278" s="23"/>
      <c r="L278" s="23">
        <f>F278+G278+H278+I278</f>
        <v>7886.5493749999996</v>
      </c>
      <c r="M278" s="70"/>
      <c r="N278" s="137">
        <f t="shared" si="70"/>
        <v>2.7499999999999996E-4</v>
      </c>
      <c r="O278" s="137">
        <f t="shared" si="71"/>
        <v>5.0000000000000002E-5</v>
      </c>
      <c r="R278" s="23"/>
      <c r="S278" s="23"/>
      <c r="T278" s="23"/>
      <c r="U278" s="23"/>
      <c r="V278" s="23"/>
      <c r="W278" s="23"/>
      <c r="X278" s="23"/>
      <c r="Y278" s="23"/>
      <c r="Z278" s="23"/>
      <c r="AA278" s="23"/>
      <c r="AB278" s="23"/>
    </row>
    <row r="279" spans="1:28" x14ac:dyDescent="0.25">
      <c r="A279" s="10"/>
      <c r="M279" s="70"/>
      <c r="N279" s="137"/>
      <c r="O279" s="137"/>
    </row>
    <row r="280" spans="1:28" s="47" customFormat="1" x14ac:dyDescent="0.25">
      <c r="A280" s="26">
        <v>42698</v>
      </c>
      <c r="B280" s="47">
        <v>53174</v>
      </c>
      <c r="C280" s="47" t="s">
        <v>308</v>
      </c>
      <c r="D280" s="47">
        <v>3600</v>
      </c>
      <c r="E280" s="23">
        <v>2.1800000000000002</v>
      </c>
      <c r="F280" s="23">
        <f>D280*E280</f>
        <v>7848.0000000000009</v>
      </c>
      <c r="G280" s="23">
        <f t="shared" ref="G280" si="77">F280*0.0275%</f>
        <v>2.1582000000000003</v>
      </c>
      <c r="H280" s="23">
        <f>F280*0.005%</f>
        <v>0.39240000000000008</v>
      </c>
      <c r="I280" s="23">
        <v>8.99</v>
      </c>
      <c r="J280" s="23">
        <v>0.44</v>
      </c>
      <c r="K280" s="23"/>
      <c r="L280" s="23">
        <f>F280+G280+H280+I280</f>
        <v>7859.5406000000003</v>
      </c>
      <c r="M280" s="70"/>
      <c r="N280" s="137">
        <f t="shared" si="70"/>
        <v>2.7500000000000002E-4</v>
      </c>
      <c r="O280" s="137">
        <f t="shared" si="71"/>
        <v>5.0000000000000002E-5</v>
      </c>
      <c r="R280" s="23"/>
      <c r="S280" s="23"/>
      <c r="T280" s="23"/>
      <c r="U280" s="23"/>
      <c r="V280" s="23"/>
      <c r="W280" s="23"/>
      <c r="X280" s="23"/>
      <c r="Y280" s="23"/>
      <c r="Z280" s="23"/>
      <c r="AA280" s="23"/>
      <c r="AB280" s="23"/>
    </row>
    <row r="281" spans="1:28" x14ac:dyDescent="0.25">
      <c r="A281" s="10"/>
      <c r="M281" s="70"/>
      <c r="N281" s="137"/>
      <c r="O281" s="137"/>
    </row>
    <row r="282" spans="1:28" s="47" customFormat="1" x14ac:dyDescent="0.25">
      <c r="A282" s="26">
        <v>42704</v>
      </c>
      <c r="B282" s="47">
        <v>54367</v>
      </c>
      <c r="C282" s="47" t="s">
        <v>309</v>
      </c>
      <c r="D282" s="47">
        <v>1000</v>
      </c>
      <c r="E282" s="23">
        <v>10.85</v>
      </c>
      <c r="F282" s="23">
        <f>D282*E282</f>
        <v>10850</v>
      </c>
      <c r="G282" s="23">
        <f t="shared" ref="G282:G284" si="78">F282*0.0275%</f>
        <v>2.9837500000000001</v>
      </c>
      <c r="H282" s="23">
        <f>F282*0.005%</f>
        <v>0.54249999999999998</v>
      </c>
      <c r="I282" s="23">
        <v>8.99</v>
      </c>
      <c r="J282" s="23">
        <v>0.45</v>
      </c>
      <c r="K282" s="23"/>
      <c r="L282" s="23">
        <f>F282+G282+H282+I282</f>
        <v>10862.516249999999</v>
      </c>
      <c r="M282" s="70"/>
      <c r="N282" s="137">
        <f t="shared" si="70"/>
        <v>2.7500000000000002E-4</v>
      </c>
      <c r="O282" s="137">
        <f t="shared" si="71"/>
        <v>4.9999999999999996E-5</v>
      </c>
      <c r="R282" s="23"/>
      <c r="S282" s="23"/>
      <c r="T282" s="23"/>
      <c r="U282" s="23"/>
      <c r="V282" s="23"/>
      <c r="W282" s="23"/>
      <c r="X282" s="23"/>
      <c r="Y282" s="23"/>
      <c r="Z282" s="23"/>
      <c r="AA282" s="23"/>
      <c r="AB282" s="23"/>
    </row>
    <row r="283" spans="1:28" s="47" customFormat="1" x14ac:dyDescent="0.25">
      <c r="A283" s="26">
        <v>42704</v>
      </c>
      <c r="B283" s="47">
        <v>54367</v>
      </c>
      <c r="C283" s="47" t="s">
        <v>310</v>
      </c>
      <c r="D283" s="47">
        <v>400</v>
      </c>
      <c r="E283" s="23">
        <v>7.35</v>
      </c>
      <c r="F283" s="23">
        <f>D283*E283</f>
        <v>2940</v>
      </c>
      <c r="G283" s="23">
        <f t="shared" si="78"/>
        <v>0.8085</v>
      </c>
      <c r="H283" s="23">
        <f>F283*0.005%</f>
        <v>0.14700000000000002</v>
      </c>
      <c r="I283" s="23">
        <v>8.99</v>
      </c>
      <c r="J283" s="23">
        <v>0.45</v>
      </c>
      <c r="K283" s="23"/>
      <c r="L283" s="23">
        <f>F283+G283+H283+I283</f>
        <v>2949.9454999999998</v>
      </c>
      <c r="M283" s="70"/>
      <c r="N283" s="137">
        <f t="shared" si="70"/>
        <v>2.7500000000000002E-4</v>
      </c>
      <c r="O283" s="137">
        <f t="shared" si="71"/>
        <v>5.0000000000000009E-5</v>
      </c>
      <c r="R283" s="23"/>
      <c r="S283" s="23"/>
      <c r="T283" s="23"/>
      <c r="U283" s="23"/>
      <c r="V283" s="23"/>
      <c r="W283" s="23"/>
      <c r="X283" s="23"/>
      <c r="Y283" s="23"/>
      <c r="Z283" s="23"/>
      <c r="AA283" s="23"/>
      <c r="AB283" s="23"/>
    </row>
    <row r="284" spans="1:28" s="47" customFormat="1" x14ac:dyDescent="0.25">
      <c r="A284" s="26">
        <v>42704</v>
      </c>
      <c r="B284" s="47">
        <v>54367</v>
      </c>
      <c r="C284" s="47" t="s">
        <v>277</v>
      </c>
      <c r="D284" s="47">
        <v>3000</v>
      </c>
      <c r="E284" s="23">
        <v>2.75</v>
      </c>
      <c r="F284" s="23">
        <f>D284*E284</f>
        <v>8250</v>
      </c>
      <c r="G284" s="23">
        <f t="shared" si="78"/>
        <v>2.2687500000000003</v>
      </c>
      <c r="H284" s="23">
        <f>F284*0.005%</f>
        <v>0.41250000000000003</v>
      </c>
      <c r="I284" s="23">
        <v>8.99</v>
      </c>
      <c r="J284" s="23">
        <v>0.45</v>
      </c>
      <c r="K284" s="23"/>
      <c r="L284" s="23">
        <f>F284+G284+H284+I284</f>
        <v>8261.6712499999994</v>
      </c>
      <c r="M284" s="70"/>
      <c r="N284" s="137">
        <f t="shared" si="70"/>
        <v>2.7500000000000002E-4</v>
      </c>
      <c r="O284" s="137">
        <f t="shared" si="71"/>
        <v>5.0000000000000002E-5</v>
      </c>
      <c r="R284" s="23"/>
      <c r="S284" s="23"/>
      <c r="T284" s="23"/>
      <c r="U284" s="23"/>
      <c r="V284" s="23"/>
      <c r="W284" s="23"/>
      <c r="X284" s="23"/>
      <c r="Y284" s="23"/>
      <c r="Z284" s="23"/>
      <c r="AA284" s="23"/>
      <c r="AB284" s="23"/>
    </row>
    <row r="285" spans="1:28" s="47" customFormat="1" x14ac:dyDescent="0.25">
      <c r="A285" s="26"/>
      <c r="E285" s="23"/>
      <c r="F285" s="19">
        <f>SUM(F282:F284)</f>
        <v>22040</v>
      </c>
      <c r="G285" s="19">
        <f>SUM(G282:G284)</f>
        <v>6.0609999999999999</v>
      </c>
      <c r="H285" s="19">
        <f>SUM(H282:H284)</f>
        <v>1.1020000000000001</v>
      </c>
      <c r="I285" s="19">
        <f>SUM(I282:I284)</f>
        <v>26.97</v>
      </c>
      <c r="J285" s="19">
        <f>SUM(J282:J284)</f>
        <v>1.35</v>
      </c>
      <c r="K285" s="19"/>
      <c r="L285" s="19">
        <f>SUM(L282:L284)</f>
        <v>22074.132999999998</v>
      </c>
      <c r="M285" s="70"/>
      <c r="N285" s="137"/>
      <c r="O285" s="137"/>
      <c r="R285" s="23"/>
      <c r="S285" s="23"/>
      <c r="T285" s="23"/>
      <c r="U285" s="23"/>
      <c r="V285" s="23"/>
      <c r="W285" s="23"/>
      <c r="X285" s="23"/>
      <c r="Y285" s="23"/>
      <c r="Z285" s="23"/>
      <c r="AA285" s="23"/>
      <c r="AB285" s="23"/>
    </row>
    <row r="286" spans="1:28" x14ac:dyDescent="0.25">
      <c r="A286" s="10"/>
      <c r="M286" s="70"/>
      <c r="N286" s="137"/>
      <c r="O286" s="137"/>
    </row>
    <row r="287" spans="1:28" s="47" customFormat="1" x14ac:dyDescent="0.25">
      <c r="A287" s="26">
        <v>42705</v>
      </c>
      <c r="B287" s="47">
        <v>54780</v>
      </c>
      <c r="C287" s="47" t="s">
        <v>310</v>
      </c>
      <c r="D287" s="47">
        <v>600</v>
      </c>
      <c r="E287" s="23">
        <v>7.35</v>
      </c>
      <c r="F287" s="23">
        <f>D287*E287</f>
        <v>4410</v>
      </c>
      <c r="G287" s="23">
        <f t="shared" ref="G287:G288" si="79">F287*0.0275%</f>
        <v>1.21275</v>
      </c>
      <c r="H287" s="23">
        <f>F287*0.005%</f>
        <v>0.2205</v>
      </c>
      <c r="I287" s="23">
        <v>8.99</v>
      </c>
      <c r="J287" s="23">
        <v>0.45</v>
      </c>
      <c r="K287" s="23"/>
      <c r="L287" s="23">
        <f>F287+G287+H287+I287</f>
        <v>4420.4232499999998</v>
      </c>
      <c r="M287" s="70"/>
      <c r="N287" s="137">
        <f t="shared" si="70"/>
        <v>2.7500000000000002E-4</v>
      </c>
      <c r="O287" s="137">
        <f t="shared" si="71"/>
        <v>5.0000000000000002E-5</v>
      </c>
      <c r="R287" s="23"/>
      <c r="S287" s="23"/>
      <c r="T287" s="23"/>
      <c r="U287" s="23"/>
      <c r="V287" s="23"/>
      <c r="W287" s="23"/>
      <c r="X287" s="23"/>
      <c r="Y287" s="23"/>
      <c r="Z287" s="23"/>
      <c r="AA287" s="23"/>
      <c r="AB287" s="23"/>
    </row>
    <row r="288" spans="1:28" s="47" customFormat="1" x14ac:dyDescent="0.25">
      <c r="A288" s="26">
        <v>42705</v>
      </c>
      <c r="B288" s="47">
        <v>54780</v>
      </c>
      <c r="C288" s="47" t="s">
        <v>311</v>
      </c>
      <c r="D288" s="47">
        <v>1000</v>
      </c>
      <c r="E288" s="23">
        <v>7.8</v>
      </c>
      <c r="F288" s="23">
        <f>D288*E288</f>
        <v>7800</v>
      </c>
      <c r="G288" s="23">
        <f t="shared" si="79"/>
        <v>2.145</v>
      </c>
      <c r="H288" s="23">
        <f>F288*0.007%</f>
        <v>0.54600000000000004</v>
      </c>
      <c r="I288" s="23">
        <v>8.99</v>
      </c>
      <c r="J288" s="23">
        <v>0.45</v>
      </c>
      <c r="K288" s="23"/>
      <c r="L288" s="23">
        <f>F288+G288+H288+I288</f>
        <v>7811.6810000000005</v>
      </c>
      <c r="M288" s="70"/>
      <c r="N288" s="137">
        <f t="shared" si="70"/>
        <v>2.7500000000000002E-4</v>
      </c>
      <c r="O288" s="139">
        <f t="shared" si="71"/>
        <v>7.0000000000000007E-5</v>
      </c>
      <c r="R288" s="23"/>
      <c r="S288" s="23"/>
      <c r="T288" s="23"/>
      <c r="U288" s="23"/>
      <c r="V288" s="23"/>
      <c r="W288" s="23"/>
      <c r="X288" s="23"/>
      <c r="Y288" s="23"/>
      <c r="Z288" s="23"/>
      <c r="AA288" s="23"/>
      <c r="AB288" s="23"/>
    </row>
    <row r="289" spans="1:28" s="47" customFormat="1" x14ac:dyDescent="0.25">
      <c r="A289" s="26"/>
      <c r="E289" s="23"/>
      <c r="F289" s="19">
        <f>SUM(F287:F288)</f>
        <v>12210</v>
      </c>
      <c r="G289" s="19">
        <f>SUM(G287:G288)</f>
        <v>3.3577500000000002</v>
      </c>
      <c r="H289" s="19">
        <f>SUM(H287:H288)</f>
        <v>0.76650000000000007</v>
      </c>
      <c r="I289" s="19">
        <f>SUM(I287:I288)</f>
        <v>17.98</v>
      </c>
      <c r="J289" s="19">
        <f>SUM(J287:J288)</f>
        <v>0.9</v>
      </c>
      <c r="K289" s="19"/>
      <c r="L289" s="19">
        <f>SUM(L287:L288)</f>
        <v>12232.10425</v>
      </c>
      <c r="M289" s="70"/>
      <c r="N289" s="137"/>
      <c r="O289" s="137"/>
      <c r="R289" s="23"/>
      <c r="S289" s="23"/>
      <c r="T289" s="23"/>
      <c r="U289" s="23"/>
      <c r="V289" s="23"/>
      <c r="W289" s="23"/>
      <c r="X289" s="23"/>
      <c r="Y289" s="23"/>
      <c r="Z289" s="23"/>
      <c r="AA289" s="23"/>
      <c r="AB289" s="23"/>
    </row>
    <row r="290" spans="1:28" x14ac:dyDescent="0.25">
      <c r="A290" s="10"/>
      <c r="M290" s="70"/>
      <c r="N290" s="137"/>
      <c r="O290" s="137"/>
    </row>
    <row r="291" spans="1:28" s="47" customFormat="1" x14ac:dyDescent="0.25">
      <c r="A291" s="26">
        <v>42716</v>
      </c>
      <c r="B291" s="47">
        <v>56988</v>
      </c>
      <c r="C291" s="47" t="s">
        <v>312</v>
      </c>
      <c r="D291" s="47">
        <v>200</v>
      </c>
      <c r="E291" s="23">
        <v>3.85</v>
      </c>
      <c r="F291" s="23">
        <f>D291*E291</f>
        <v>770</v>
      </c>
      <c r="G291" s="23">
        <f t="shared" ref="G291" si="80">F291*0.0275%</f>
        <v>0.21175000000000002</v>
      </c>
      <c r="H291" s="23">
        <f>F291*0.005%</f>
        <v>3.85E-2</v>
      </c>
      <c r="I291" s="23">
        <v>8.99</v>
      </c>
      <c r="J291" s="23">
        <v>0.44</v>
      </c>
      <c r="K291" s="23"/>
      <c r="L291" s="23">
        <f>F291+G291+H291+I291</f>
        <v>779.24025000000006</v>
      </c>
      <c r="M291" s="70"/>
      <c r="N291" s="137">
        <f t="shared" si="70"/>
        <v>2.7500000000000002E-4</v>
      </c>
      <c r="O291" s="137">
        <f t="shared" si="71"/>
        <v>5.0000000000000002E-5</v>
      </c>
      <c r="R291" s="23"/>
      <c r="S291" s="23"/>
      <c r="T291" s="23"/>
      <c r="U291" s="23"/>
      <c r="V291" s="23"/>
      <c r="W291" s="23"/>
      <c r="X291" s="23"/>
      <c r="Y291" s="23"/>
      <c r="Z291" s="23"/>
      <c r="AA291" s="23"/>
      <c r="AB291" s="23"/>
    </row>
    <row r="292" spans="1:28" x14ac:dyDescent="0.25">
      <c r="A292" s="10"/>
      <c r="M292" s="70"/>
      <c r="N292" s="137"/>
      <c r="O292" s="137"/>
    </row>
    <row r="293" spans="1:28" s="72" customFormat="1" x14ac:dyDescent="0.25">
      <c r="A293" s="71">
        <v>42733</v>
      </c>
      <c r="B293" s="72">
        <v>60314</v>
      </c>
      <c r="C293" s="72" t="s">
        <v>277</v>
      </c>
      <c r="D293" s="72">
        <v>3000</v>
      </c>
      <c r="E293" s="73">
        <v>2.86</v>
      </c>
      <c r="F293" s="73">
        <f>D293*E293</f>
        <v>8580</v>
      </c>
      <c r="G293" s="73">
        <f t="shared" ref="G293" si="81">F293*0.0275%</f>
        <v>2.3595000000000002</v>
      </c>
      <c r="H293" s="73">
        <f>F293*0.005%</f>
        <v>0.42900000000000005</v>
      </c>
      <c r="I293" s="73">
        <v>8.99</v>
      </c>
      <c r="J293" s="73">
        <v>0.44</v>
      </c>
      <c r="K293" s="73">
        <v>0</v>
      </c>
      <c r="L293" s="73">
        <f>F293-G293-H293-I293-K293</f>
        <v>8568.2214999999997</v>
      </c>
      <c r="M293" s="70"/>
      <c r="N293" s="137">
        <f t="shared" si="70"/>
        <v>2.7500000000000002E-4</v>
      </c>
      <c r="O293" s="137">
        <f t="shared" si="71"/>
        <v>5.0000000000000002E-5</v>
      </c>
      <c r="R293" s="73"/>
      <c r="S293" s="73"/>
      <c r="T293" s="73"/>
      <c r="U293" s="73"/>
      <c r="V293" s="73"/>
      <c r="W293" s="73"/>
      <c r="X293" s="73"/>
      <c r="Y293" s="73"/>
      <c r="Z293" s="73"/>
      <c r="AA293" s="73"/>
      <c r="AB293" s="73"/>
    </row>
    <row r="294" spans="1:28" x14ac:dyDescent="0.25">
      <c r="A294" s="10"/>
      <c r="M294" s="70"/>
      <c r="N294" s="137"/>
      <c r="O294" s="137"/>
    </row>
    <row r="295" spans="1:28" s="72" customFormat="1" x14ac:dyDescent="0.25">
      <c r="A295" s="71">
        <v>42737</v>
      </c>
      <c r="B295" s="72">
        <v>60519</v>
      </c>
      <c r="C295" s="72" t="s">
        <v>307</v>
      </c>
      <c r="D295" s="72">
        <v>400</v>
      </c>
      <c r="E295" s="73">
        <v>20.9</v>
      </c>
      <c r="F295" s="73">
        <f>D295*E295</f>
        <v>8360</v>
      </c>
      <c r="G295" s="73">
        <f t="shared" ref="G295" si="82">F295*0.0275%</f>
        <v>2.2989999999999999</v>
      </c>
      <c r="H295" s="73">
        <f>F295*0.005%</f>
        <v>0.41800000000000004</v>
      </c>
      <c r="I295" s="73">
        <v>8.99</v>
      </c>
      <c r="J295" s="73">
        <v>0.44</v>
      </c>
      <c r="K295" s="73">
        <v>0</v>
      </c>
      <c r="L295" s="73">
        <f>F295-G295-H295-I295-K295</f>
        <v>8348.2929999999997</v>
      </c>
      <c r="M295" s="70"/>
      <c r="N295" s="137">
        <f t="shared" si="70"/>
        <v>2.7500000000000002E-4</v>
      </c>
      <c r="O295" s="137">
        <f t="shared" si="71"/>
        <v>5.0000000000000002E-5</v>
      </c>
      <c r="R295" s="73"/>
      <c r="S295" s="73"/>
      <c r="T295" s="73"/>
      <c r="U295" s="73"/>
      <c r="V295" s="73"/>
      <c r="W295" s="73"/>
      <c r="X295" s="73"/>
      <c r="Y295" s="73"/>
      <c r="Z295" s="73"/>
      <c r="AA295" s="73"/>
      <c r="AB295" s="73"/>
    </row>
    <row r="296" spans="1:28" x14ac:dyDescent="0.25">
      <c r="A296" s="10"/>
      <c r="M296" s="70"/>
      <c r="N296" s="137"/>
      <c r="O296" s="137"/>
    </row>
    <row r="297" spans="1:28" s="72" customFormat="1" x14ac:dyDescent="0.25">
      <c r="A297" s="71">
        <v>42739</v>
      </c>
      <c r="B297" s="72">
        <v>61124</v>
      </c>
      <c r="C297" s="72" t="s">
        <v>312</v>
      </c>
      <c r="D297" s="72">
        <v>200</v>
      </c>
      <c r="E297" s="73">
        <v>4.55</v>
      </c>
      <c r="F297" s="73">
        <f>D297*E297</f>
        <v>910</v>
      </c>
      <c r="G297" s="73">
        <f t="shared" ref="G297" si="83">F297*0.0275%</f>
        <v>0.25025000000000003</v>
      </c>
      <c r="H297" s="73">
        <f>F297*0.005%</f>
        <v>4.5499999999999999E-2</v>
      </c>
      <c r="I297" s="73">
        <v>8.99</v>
      </c>
      <c r="J297" s="73">
        <v>0.44</v>
      </c>
      <c r="K297" s="73">
        <v>0</v>
      </c>
      <c r="L297" s="73">
        <f>F297-G297-H297-I297-K297</f>
        <v>900.71424999999999</v>
      </c>
      <c r="M297" s="70"/>
      <c r="N297" s="137">
        <f t="shared" si="70"/>
        <v>2.7500000000000002E-4</v>
      </c>
      <c r="O297" s="137">
        <f t="shared" si="71"/>
        <v>4.9999999999999996E-5</v>
      </c>
      <c r="R297" s="73"/>
      <c r="S297" s="73"/>
      <c r="T297" s="73"/>
      <c r="U297" s="73"/>
      <c r="V297" s="73"/>
      <c r="W297" s="73"/>
      <c r="X297" s="73"/>
      <c r="Y297" s="73"/>
      <c r="Z297" s="73"/>
      <c r="AA297" s="73"/>
      <c r="AB297" s="73"/>
    </row>
    <row r="298" spans="1:28" x14ac:dyDescent="0.25">
      <c r="A298" s="10"/>
      <c r="M298" s="70"/>
      <c r="N298" s="137"/>
      <c r="O298" s="137"/>
    </row>
    <row r="299" spans="1:28" s="47" customFormat="1" x14ac:dyDescent="0.25">
      <c r="A299" s="26">
        <v>42740</v>
      </c>
      <c r="B299" s="47">
        <v>61494</v>
      </c>
      <c r="C299" s="47" t="s">
        <v>313</v>
      </c>
      <c r="D299" s="47">
        <v>2500</v>
      </c>
      <c r="E299" s="23">
        <v>3.19</v>
      </c>
      <c r="F299" s="23">
        <f>D299*E299</f>
        <v>7975</v>
      </c>
      <c r="G299" s="23">
        <f t="shared" ref="G299" si="84">F299*0.0275%</f>
        <v>2.1931250000000002</v>
      </c>
      <c r="H299" s="23">
        <f>F299*0.007%</f>
        <v>0.55825000000000002</v>
      </c>
      <c r="I299" s="23">
        <v>8.99</v>
      </c>
      <c r="J299" s="23">
        <v>0.44</v>
      </c>
      <c r="K299" s="23"/>
      <c r="L299" s="23">
        <f>F299+G299+H299+I299</f>
        <v>7986.7413749999996</v>
      </c>
      <c r="M299" s="70"/>
      <c r="N299" s="137">
        <f t="shared" si="70"/>
        <v>2.7500000000000002E-4</v>
      </c>
      <c r="O299" s="139">
        <f t="shared" si="71"/>
        <v>7.0000000000000007E-5</v>
      </c>
      <c r="R299" s="23"/>
      <c r="S299" s="23"/>
      <c r="T299" s="23"/>
      <c r="U299" s="23"/>
      <c r="V299" s="23"/>
      <c r="W299" s="23"/>
      <c r="X299" s="23"/>
      <c r="Y299" s="23"/>
      <c r="Z299" s="23"/>
      <c r="AA299" s="23"/>
      <c r="AB299" s="23"/>
    </row>
    <row r="300" spans="1:28" x14ac:dyDescent="0.25">
      <c r="A300" s="10"/>
      <c r="M300" s="70"/>
      <c r="N300" s="137"/>
      <c r="O300" s="137"/>
    </row>
    <row r="301" spans="1:28" s="47" customFormat="1" x14ac:dyDescent="0.25">
      <c r="A301" s="26">
        <v>42741</v>
      </c>
      <c r="B301" s="47">
        <v>61863</v>
      </c>
      <c r="C301" s="47" t="s">
        <v>314</v>
      </c>
      <c r="D301" s="47">
        <v>7200</v>
      </c>
      <c r="E301" s="23">
        <v>1.4</v>
      </c>
      <c r="F301" s="23">
        <f>D301*E301</f>
        <v>10080</v>
      </c>
      <c r="G301" s="23">
        <f t="shared" ref="G301" si="85">F301*0.0275%</f>
        <v>2.7720000000000002</v>
      </c>
      <c r="H301" s="23">
        <f>F301*0.005%</f>
        <v>0.504</v>
      </c>
      <c r="I301" s="23">
        <v>8.99</v>
      </c>
      <c r="J301" s="23">
        <v>0.44</v>
      </c>
      <c r="K301" s="23"/>
      <c r="L301" s="23">
        <f>F301+G301+H301+I301</f>
        <v>10092.266000000001</v>
      </c>
      <c r="M301" s="70"/>
      <c r="N301" s="137">
        <f t="shared" si="70"/>
        <v>2.7500000000000002E-4</v>
      </c>
      <c r="O301" s="137">
        <f t="shared" si="71"/>
        <v>5.0000000000000002E-5</v>
      </c>
      <c r="R301" s="23"/>
      <c r="S301" s="23"/>
      <c r="T301" s="23"/>
      <c r="U301" s="23"/>
      <c r="V301" s="23"/>
      <c r="W301" s="23"/>
      <c r="X301" s="23"/>
      <c r="Y301" s="23"/>
      <c r="Z301" s="23"/>
      <c r="AA301" s="23"/>
      <c r="AB301" s="23"/>
    </row>
    <row r="302" spans="1:28" x14ac:dyDescent="0.25">
      <c r="A302" s="10"/>
      <c r="M302" s="70"/>
      <c r="N302" s="137"/>
      <c r="O302" s="137"/>
    </row>
    <row r="303" spans="1:28" s="72" customFormat="1" x14ac:dyDescent="0.25">
      <c r="A303" s="71">
        <v>42747</v>
      </c>
      <c r="B303" s="72">
        <v>63220</v>
      </c>
      <c r="C303" s="72" t="s">
        <v>313</v>
      </c>
      <c r="D303" s="72">
        <v>2500</v>
      </c>
      <c r="E303" s="73">
        <v>3.31</v>
      </c>
      <c r="F303" s="73">
        <f>D303*E303</f>
        <v>8275</v>
      </c>
      <c r="G303" s="73">
        <f t="shared" ref="G303" si="86">F303*0.0275%</f>
        <v>2.2756250000000002</v>
      </c>
      <c r="H303" s="73">
        <f>F303*0.005%</f>
        <v>0.41375000000000001</v>
      </c>
      <c r="I303" s="73">
        <v>8.99</v>
      </c>
      <c r="J303" s="73">
        <v>0.44</v>
      </c>
      <c r="K303" s="73">
        <v>0</v>
      </c>
      <c r="L303" s="73">
        <f>F303-G303-H303-I303-K303</f>
        <v>8263.3206250000003</v>
      </c>
      <c r="M303" s="70"/>
      <c r="N303" s="137">
        <f t="shared" si="70"/>
        <v>2.7500000000000002E-4</v>
      </c>
      <c r="O303" s="137">
        <f t="shared" si="71"/>
        <v>5.0000000000000002E-5</v>
      </c>
      <c r="R303" s="73"/>
      <c r="S303" s="73"/>
      <c r="T303" s="73"/>
      <c r="U303" s="73"/>
      <c r="V303" s="73"/>
      <c r="W303" s="73"/>
      <c r="X303" s="73"/>
      <c r="Y303" s="73"/>
      <c r="Z303" s="73"/>
      <c r="AA303" s="73"/>
      <c r="AB303" s="73"/>
    </row>
    <row r="304" spans="1:28" x14ac:dyDescent="0.25">
      <c r="A304" s="10"/>
      <c r="M304" s="70"/>
      <c r="N304" s="137"/>
      <c r="O304" s="137"/>
    </row>
    <row r="305" spans="1:28" s="72" customFormat="1" x14ac:dyDescent="0.25">
      <c r="A305" s="71">
        <v>42751</v>
      </c>
      <c r="B305" s="72">
        <v>64125</v>
      </c>
      <c r="C305" s="72" t="s">
        <v>314</v>
      </c>
      <c r="D305" s="72">
        <v>7200</v>
      </c>
      <c r="E305" s="73">
        <v>1.45</v>
      </c>
      <c r="F305" s="73">
        <f>D305*E305</f>
        <v>10440</v>
      </c>
      <c r="G305" s="73">
        <f t="shared" ref="G305" si="87">F305*0.0275%</f>
        <v>2.871</v>
      </c>
      <c r="H305" s="73">
        <f>F305*0.005%</f>
        <v>0.52200000000000002</v>
      </c>
      <c r="I305" s="73">
        <v>8.99</v>
      </c>
      <c r="J305" s="73">
        <v>0.44</v>
      </c>
      <c r="K305" s="73">
        <v>0</v>
      </c>
      <c r="L305" s="73">
        <f>F305-G305-H305-I305-K305</f>
        <v>10427.617</v>
      </c>
      <c r="M305" s="70"/>
      <c r="N305" s="137">
        <f t="shared" si="70"/>
        <v>2.7500000000000002E-4</v>
      </c>
      <c r="O305" s="137">
        <f t="shared" si="71"/>
        <v>5.0000000000000002E-5</v>
      </c>
      <c r="R305" s="73"/>
      <c r="S305" s="73"/>
      <c r="T305" s="73"/>
      <c r="U305" s="73"/>
      <c r="V305" s="73"/>
      <c r="W305" s="73"/>
      <c r="X305" s="73"/>
      <c r="Y305" s="73"/>
      <c r="Z305" s="73"/>
      <c r="AA305" s="73"/>
      <c r="AB305" s="73"/>
    </row>
    <row r="306" spans="1:28" x14ac:dyDescent="0.25">
      <c r="A306" s="10"/>
      <c r="M306" s="70"/>
      <c r="N306" s="137"/>
      <c r="O306" s="137"/>
    </row>
    <row r="307" spans="1:28" s="47" customFormat="1" x14ac:dyDescent="0.25">
      <c r="A307" s="26">
        <v>42752</v>
      </c>
      <c r="B307" s="47">
        <v>64581</v>
      </c>
      <c r="C307" s="47" t="s">
        <v>313</v>
      </c>
      <c r="D307" s="47">
        <v>2600</v>
      </c>
      <c r="E307" s="23">
        <v>3.1</v>
      </c>
      <c r="F307" s="23">
        <f>D307*E307</f>
        <v>8060</v>
      </c>
      <c r="G307" s="23">
        <f t="shared" ref="G307" si="88">F307*0.0275%</f>
        <v>2.2164999999999999</v>
      </c>
      <c r="H307" s="23">
        <f>F307*0.005%</f>
        <v>0.40300000000000002</v>
      </c>
      <c r="I307" s="23">
        <v>8.99</v>
      </c>
      <c r="J307" s="23">
        <v>0.45</v>
      </c>
      <c r="K307" s="23"/>
      <c r="L307" s="23">
        <f>F307+G307+H307+I307</f>
        <v>8071.6095000000005</v>
      </c>
      <c r="M307" s="70"/>
      <c r="N307" s="137">
        <f t="shared" si="70"/>
        <v>2.7499999999999996E-4</v>
      </c>
      <c r="O307" s="137">
        <f t="shared" si="71"/>
        <v>5.0000000000000002E-5</v>
      </c>
      <c r="R307" s="23"/>
      <c r="S307" s="23"/>
      <c r="T307" s="23"/>
      <c r="U307" s="23"/>
      <c r="V307" s="23"/>
      <c r="W307" s="23"/>
      <c r="X307" s="23"/>
      <c r="Y307" s="23"/>
      <c r="Z307" s="23"/>
      <c r="AA307" s="23"/>
      <c r="AB307" s="23"/>
    </row>
    <row r="308" spans="1:28" s="72" customFormat="1" x14ac:dyDescent="0.25">
      <c r="A308" s="71">
        <v>42752</v>
      </c>
      <c r="B308" s="72">
        <v>64581</v>
      </c>
      <c r="C308" s="72" t="s">
        <v>306</v>
      </c>
      <c r="D308" s="72">
        <v>1000</v>
      </c>
      <c r="E308" s="73">
        <v>15.2</v>
      </c>
      <c r="F308" s="73">
        <f>D308*E308</f>
        <v>15200</v>
      </c>
      <c r="G308" s="73">
        <f t="shared" ref="G308" si="89">F308*0.0275%</f>
        <v>4.1800000000000006</v>
      </c>
      <c r="H308" s="73">
        <f>F308*0.005%</f>
        <v>0.76</v>
      </c>
      <c r="I308" s="73">
        <v>8.99</v>
      </c>
      <c r="J308" s="73">
        <v>0.45</v>
      </c>
      <c r="K308" s="73">
        <v>0</v>
      </c>
      <c r="L308" s="73">
        <f>F308-G308-H308-I308-K308</f>
        <v>15186.07</v>
      </c>
      <c r="M308" s="70"/>
      <c r="N308" s="137">
        <f t="shared" si="70"/>
        <v>2.7500000000000002E-4</v>
      </c>
      <c r="O308" s="137">
        <f t="shared" si="71"/>
        <v>5.0000000000000002E-5</v>
      </c>
      <c r="R308" s="73"/>
      <c r="S308" s="73"/>
      <c r="T308" s="73"/>
      <c r="U308" s="73"/>
      <c r="V308" s="73"/>
      <c r="W308" s="73"/>
      <c r="X308" s="73"/>
      <c r="Y308" s="73"/>
      <c r="Z308" s="73"/>
      <c r="AA308" s="73"/>
      <c r="AB308" s="73"/>
    </row>
    <row r="309" spans="1:28" s="47" customFormat="1" x14ac:dyDescent="0.25">
      <c r="A309" s="26"/>
      <c r="E309" s="23"/>
      <c r="F309" s="74">
        <f>F308-F307</f>
        <v>7140</v>
      </c>
      <c r="G309" s="19">
        <f>SUM(G307:G308)</f>
        <v>6.3965000000000005</v>
      </c>
      <c r="H309" s="19">
        <f>SUM(H307:H308)</f>
        <v>1.163</v>
      </c>
      <c r="I309" s="19">
        <f>SUM(I307:I308)</f>
        <v>17.98</v>
      </c>
      <c r="J309" s="19">
        <f>SUM(J307:J308)</f>
        <v>0.9</v>
      </c>
      <c r="K309" s="19"/>
      <c r="L309" s="74">
        <f>L308-L307</f>
        <v>7114.4604999999992</v>
      </c>
      <c r="M309" s="70"/>
      <c r="N309" s="137"/>
      <c r="O309" s="137"/>
      <c r="R309" s="23"/>
      <c r="S309" s="23"/>
      <c r="T309" s="23"/>
      <c r="U309" s="23"/>
      <c r="V309" s="23"/>
      <c r="W309" s="23"/>
      <c r="X309" s="23"/>
      <c r="Y309" s="23"/>
      <c r="Z309" s="23"/>
      <c r="AA309" s="23"/>
      <c r="AB309" s="23"/>
    </row>
    <row r="310" spans="1:28" x14ac:dyDescent="0.25">
      <c r="A310" s="10"/>
      <c r="M310" s="70"/>
      <c r="N310" s="137"/>
      <c r="O310" s="137"/>
    </row>
    <row r="311" spans="1:28" s="47" customFormat="1" x14ac:dyDescent="0.25">
      <c r="A311" s="26">
        <v>42753</v>
      </c>
      <c r="B311" s="47">
        <v>65063</v>
      </c>
      <c r="C311" s="47" t="s">
        <v>284</v>
      </c>
      <c r="D311" s="47">
        <v>2800</v>
      </c>
      <c r="E311" s="23">
        <v>2.4</v>
      </c>
      <c r="F311" s="23">
        <f>D311*E311</f>
        <v>6720</v>
      </c>
      <c r="G311" s="23">
        <f t="shared" ref="G311:G312" si="90">F311*0.0275%</f>
        <v>1.8480000000000001</v>
      </c>
      <c r="H311" s="23">
        <f>F311*0.005%</f>
        <v>0.33600000000000002</v>
      </c>
      <c r="I311" s="23">
        <v>8.99</v>
      </c>
      <c r="J311" s="23">
        <v>0.45</v>
      </c>
      <c r="K311" s="23"/>
      <c r="L311" s="23">
        <f>F311+G311+H311+I311</f>
        <v>6731.174</v>
      </c>
      <c r="M311" s="70"/>
      <c r="N311" s="137">
        <f t="shared" si="70"/>
        <v>2.7500000000000002E-4</v>
      </c>
      <c r="O311" s="137">
        <f t="shared" si="71"/>
        <v>5.0000000000000002E-5</v>
      </c>
      <c r="R311" s="23"/>
      <c r="S311" s="23"/>
      <c r="T311" s="23"/>
      <c r="U311" s="23"/>
      <c r="V311" s="23"/>
      <c r="W311" s="23"/>
      <c r="X311" s="23"/>
      <c r="Y311" s="23"/>
      <c r="Z311" s="23"/>
      <c r="AA311" s="23"/>
      <c r="AB311" s="23"/>
    </row>
    <row r="312" spans="1:28" s="47" customFormat="1" x14ac:dyDescent="0.25">
      <c r="A312" s="26">
        <v>42753</v>
      </c>
      <c r="B312" s="47">
        <v>65063</v>
      </c>
      <c r="C312" s="47" t="s">
        <v>300</v>
      </c>
      <c r="D312" s="47">
        <v>3200</v>
      </c>
      <c r="E312" s="23">
        <v>4.4400000000000004</v>
      </c>
      <c r="F312" s="23">
        <f>D312*E312</f>
        <v>14208.000000000002</v>
      </c>
      <c r="G312" s="23">
        <f t="shared" si="90"/>
        <v>3.9072000000000009</v>
      </c>
      <c r="H312" s="23">
        <f>F312*0.005%</f>
        <v>0.71040000000000014</v>
      </c>
      <c r="I312" s="23">
        <v>8.99</v>
      </c>
      <c r="J312" s="23">
        <v>0.45</v>
      </c>
      <c r="K312" s="23"/>
      <c r="L312" s="23">
        <f>F312+G312+H312+I312</f>
        <v>14221.607600000001</v>
      </c>
      <c r="M312" s="70"/>
      <c r="N312" s="137">
        <f t="shared" si="70"/>
        <v>2.7500000000000002E-4</v>
      </c>
      <c r="O312" s="137">
        <f t="shared" si="71"/>
        <v>5.0000000000000002E-5</v>
      </c>
      <c r="R312" s="23"/>
      <c r="S312" s="23"/>
      <c r="T312" s="23"/>
      <c r="U312" s="23"/>
      <c r="V312" s="23"/>
      <c r="W312" s="23"/>
      <c r="X312" s="23"/>
      <c r="Y312" s="23"/>
      <c r="Z312" s="23"/>
      <c r="AA312" s="23"/>
      <c r="AB312" s="23"/>
    </row>
    <row r="313" spans="1:28" s="72" customFormat="1" x14ac:dyDescent="0.25">
      <c r="A313" s="71">
        <v>42753</v>
      </c>
      <c r="B313" s="72">
        <v>65063</v>
      </c>
      <c r="C313" s="72" t="s">
        <v>269</v>
      </c>
      <c r="D313" s="72">
        <v>200</v>
      </c>
      <c r="E313" s="73">
        <v>29.6</v>
      </c>
      <c r="F313" s="73">
        <f>D313*E313</f>
        <v>5920</v>
      </c>
      <c r="G313" s="73">
        <f t="shared" ref="G313" si="91">F313*0.0275%</f>
        <v>1.6280000000000001</v>
      </c>
      <c r="H313" s="73">
        <f>F313*0.005%</f>
        <v>0.29600000000000004</v>
      </c>
      <c r="I313" s="73">
        <v>8.99</v>
      </c>
      <c r="J313" s="73">
        <v>0.45</v>
      </c>
      <c r="K313" s="73">
        <v>0</v>
      </c>
      <c r="L313" s="73">
        <f>F313-G313-H313-I313-K313</f>
        <v>5909.0860000000002</v>
      </c>
      <c r="M313" s="70"/>
      <c r="N313" s="137">
        <f t="shared" si="70"/>
        <v>2.7500000000000002E-4</v>
      </c>
      <c r="O313" s="137">
        <f t="shared" si="71"/>
        <v>5.0000000000000009E-5</v>
      </c>
      <c r="R313" s="73"/>
      <c r="S313" s="73"/>
      <c r="T313" s="73"/>
      <c r="U313" s="73"/>
      <c r="V313" s="73"/>
      <c r="W313" s="73"/>
      <c r="X313" s="73"/>
      <c r="Y313" s="73"/>
      <c r="Z313" s="73"/>
      <c r="AA313" s="73"/>
      <c r="AB313" s="73"/>
    </row>
    <row r="314" spans="1:28" s="47" customFormat="1" x14ac:dyDescent="0.25">
      <c r="A314" s="26"/>
      <c r="E314" s="23"/>
      <c r="F314" s="19">
        <f>SUM(F311:F312)-F313</f>
        <v>15008</v>
      </c>
      <c r="G314" s="19">
        <f>SUM(G311:G313)</f>
        <v>7.3832000000000013</v>
      </c>
      <c r="H314" s="19">
        <f>SUM(H311:H313)</f>
        <v>1.3424000000000003</v>
      </c>
      <c r="I314" s="19">
        <f>SUM(I311:I313)</f>
        <v>26.97</v>
      </c>
      <c r="J314" s="19">
        <f>SUM(J311:J313)</f>
        <v>1.35</v>
      </c>
      <c r="K314" s="19"/>
      <c r="L314" s="19">
        <f>SUM(L311:L312)-L313</f>
        <v>15043.695600000003</v>
      </c>
      <c r="M314" s="70"/>
      <c r="N314" s="137"/>
      <c r="O314" s="137"/>
      <c r="R314" s="23"/>
      <c r="S314" s="23"/>
      <c r="T314" s="23"/>
      <c r="U314" s="23"/>
      <c r="V314" s="23"/>
      <c r="W314" s="23"/>
      <c r="X314" s="23"/>
      <c r="Y314" s="23"/>
      <c r="Z314" s="23"/>
      <c r="AA314" s="23"/>
      <c r="AB314" s="23"/>
    </row>
    <row r="315" spans="1:28" x14ac:dyDescent="0.25">
      <c r="A315" s="10"/>
      <c r="M315" s="70"/>
      <c r="N315" s="137"/>
      <c r="O315" s="137"/>
    </row>
    <row r="316" spans="1:28" s="47" customFormat="1" x14ac:dyDescent="0.25">
      <c r="A316" s="26">
        <v>42754</v>
      </c>
      <c r="B316" s="47">
        <v>65553</v>
      </c>
      <c r="C316" s="47" t="s">
        <v>313</v>
      </c>
      <c r="D316" s="47">
        <v>3500</v>
      </c>
      <c r="E316" s="23">
        <v>2.9</v>
      </c>
      <c r="F316" s="23">
        <f>D316*E316</f>
        <v>10150</v>
      </c>
      <c r="G316" s="23">
        <f t="shared" ref="G316" si="92">F316*0.0275%</f>
        <v>2.7912500000000002</v>
      </c>
      <c r="H316" s="23">
        <f>F316*0.005%</f>
        <v>0.50750000000000006</v>
      </c>
      <c r="I316" s="23">
        <v>8.99</v>
      </c>
      <c r="J316" s="23">
        <v>0.44</v>
      </c>
      <c r="K316" s="23"/>
      <c r="L316" s="23">
        <f>F316+G316+H316+I316</f>
        <v>10162.28875</v>
      </c>
      <c r="M316" s="70"/>
      <c r="N316" s="137">
        <f t="shared" si="70"/>
        <v>2.7500000000000002E-4</v>
      </c>
      <c r="O316" s="137">
        <f t="shared" si="71"/>
        <v>5.0000000000000009E-5</v>
      </c>
      <c r="R316" s="23"/>
      <c r="S316" s="23"/>
      <c r="T316" s="23"/>
      <c r="U316" s="23"/>
      <c r="V316" s="23"/>
      <c r="W316" s="23"/>
      <c r="X316" s="23"/>
      <c r="Y316" s="23"/>
      <c r="Z316" s="23"/>
      <c r="AA316" s="23"/>
      <c r="AB316" s="23"/>
    </row>
    <row r="317" spans="1:28" x14ac:dyDescent="0.25">
      <c r="A317" s="10"/>
      <c r="M317" s="70"/>
      <c r="N317" s="137"/>
      <c r="O317" s="137"/>
    </row>
    <row r="318" spans="1:28" s="72" customFormat="1" x14ac:dyDescent="0.25">
      <c r="A318" s="71">
        <v>42755</v>
      </c>
      <c r="B318" s="72">
        <v>65971</v>
      </c>
      <c r="C318" s="72" t="s">
        <v>313</v>
      </c>
      <c r="D318" s="72">
        <v>3500</v>
      </c>
      <c r="E318" s="73">
        <v>3</v>
      </c>
      <c r="F318" s="73">
        <f>D318*E318</f>
        <v>10500</v>
      </c>
      <c r="G318" s="73">
        <f t="shared" ref="G318" si="93">F318*0.0275%</f>
        <v>2.8875000000000002</v>
      </c>
      <c r="H318" s="73">
        <f>F318*0.005%</f>
        <v>0.52500000000000002</v>
      </c>
      <c r="I318" s="73">
        <v>8.99</v>
      </c>
      <c r="J318" s="73">
        <v>0.44</v>
      </c>
      <c r="K318" s="73">
        <v>0</v>
      </c>
      <c r="L318" s="73">
        <f>F318-G318-H318-I318-K318</f>
        <v>10487.5975</v>
      </c>
      <c r="M318" s="70"/>
      <c r="N318" s="137">
        <f t="shared" si="70"/>
        <v>2.7500000000000002E-4</v>
      </c>
      <c r="O318" s="137">
        <f t="shared" si="71"/>
        <v>5.0000000000000002E-5</v>
      </c>
      <c r="R318" s="73"/>
      <c r="S318" s="73"/>
      <c r="T318" s="73"/>
      <c r="U318" s="73"/>
      <c r="V318" s="73"/>
      <c r="W318" s="73"/>
      <c r="X318" s="73"/>
      <c r="Y318" s="73"/>
      <c r="Z318" s="73"/>
      <c r="AA318" s="73"/>
      <c r="AB318" s="73"/>
    </row>
    <row r="319" spans="1:28" x14ac:dyDescent="0.25">
      <c r="A319" s="10"/>
      <c r="M319" s="70"/>
      <c r="N319" s="137"/>
      <c r="O319" s="137"/>
    </row>
    <row r="320" spans="1:28" s="47" customFormat="1" x14ac:dyDescent="0.25">
      <c r="A320" s="26">
        <v>42758</v>
      </c>
      <c r="B320" s="47">
        <v>66431</v>
      </c>
      <c r="C320" s="47" t="s">
        <v>277</v>
      </c>
      <c r="D320" s="47">
        <v>4000</v>
      </c>
      <c r="E320" s="23">
        <v>2.78</v>
      </c>
      <c r="F320" s="23">
        <f>D320*E320</f>
        <v>11120</v>
      </c>
      <c r="G320" s="23">
        <f t="shared" ref="G320" si="94">F320*0.0275%</f>
        <v>3.0580000000000003</v>
      </c>
      <c r="H320" s="23">
        <f>F320*0.005%</f>
        <v>0.55600000000000005</v>
      </c>
      <c r="I320" s="23">
        <v>8.99</v>
      </c>
      <c r="J320" s="23">
        <v>0.44</v>
      </c>
      <c r="K320" s="23"/>
      <c r="L320" s="23">
        <f>F320+G320+H320+I320</f>
        <v>11132.604000000001</v>
      </c>
      <c r="M320" s="70"/>
      <c r="N320" s="137">
        <f t="shared" si="70"/>
        <v>2.7500000000000002E-4</v>
      </c>
      <c r="O320" s="137">
        <f t="shared" si="71"/>
        <v>5.0000000000000002E-5</v>
      </c>
      <c r="R320" s="23"/>
      <c r="S320" s="23"/>
      <c r="T320" s="23"/>
      <c r="U320" s="23"/>
      <c r="V320" s="23"/>
      <c r="W320" s="23"/>
      <c r="X320" s="23"/>
      <c r="Y320" s="23"/>
      <c r="Z320" s="23"/>
      <c r="AA320" s="23"/>
      <c r="AB320" s="23"/>
    </row>
    <row r="321" spans="1:28" x14ac:dyDescent="0.25">
      <c r="A321" s="10"/>
      <c r="M321" s="70"/>
      <c r="N321" s="137"/>
      <c r="O321" s="137"/>
    </row>
    <row r="322" spans="1:28" s="72" customFormat="1" x14ac:dyDescent="0.25">
      <c r="A322" s="71">
        <v>42767</v>
      </c>
      <c r="B322" s="72">
        <v>69202</v>
      </c>
      <c r="C322" s="72" t="s">
        <v>282</v>
      </c>
      <c r="D322" s="72">
        <v>1000</v>
      </c>
      <c r="E322" s="73">
        <v>12.35</v>
      </c>
      <c r="F322" s="73">
        <f>D322*E322</f>
        <v>12350</v>
      </c>
      <c r="G322" s="73">
        <f t="shared" ref="G322:G323" si="95">F322*0.0275%</f>
        <v>3.3962500000000002</v>
      </c>
      <c r="H322" s="73">
        <f>F322*0.005%</f>
        <v>0.61750000000000005</v>
      </c>
      <c r="I322" s="73">
        <v>8.99</v>
      </c>
      <c r="J322" s="73">
        <v>0.45</v>
      </c>
      <c r="K322" s="73">
        <f>F322*0.005%</f>
        <v>0.61750000000000005</v>
      </c>
      <c r="L322" s="73">
        <f>F322-G322-H322-I322-K322</f>
        <v>12336.37875</v>
      </c>
      <c r="M322" s="70"/>
      <c r="N322" s="137">
        <f t="shared" si="70"/>
        <v>2.7500000000000002E-4</v>
      </c>
      <c r="O322" s="137">
        <f t="shared" si="71"/>
        <v>5.0000000000000002E-5</v>
      </c>
      <c r="R322" s="73"/>
      <c r="S322" s="73"/>
      <c r="T322" s="73"/>
      <c r="U322" s="73"/>
      <c r="V322" s="73"/>
      <c r="W322" s="73"/>
      <c r="X322" s="73"/>
      <c r="Y322" s="73"/>
      <c r="Z322" s="73"/>
      <c r="AA322" s="73"/>
      <c r="AB322" s="73"/>
    </row>
    <row r="323" spans="1:28" s="72" customFormat="1" x14ac:dyDescent="0.25">
      <c r="A323" s="71">
        <v>42767</v>
      </c>
      <c r="B323" s="72">
        <v>69202</v>
      </c>
      <c r="C323" s="72" t="s">
        <v>308</v>
      </c>
      <c r="D323" s="72">
        <v>3600</v>
      </c>
      <c r="E323" s="73">
        <v>2.5499999999999998</v>
      </c>
      <c r="F323" s="73">
        <f>D323*E323</f>
        <v>9180</v>
      </c>
      <c r="G323" s="73">
        <f t="shared" si="95"/>
        <v>2.5245000000000002</v>
      </c>
      <c r="H323" s="73">
        <f>F323*0.005%</f>
        <v>0.45900000000000002</v>
      </c>
      <c r="I323" s="73">
        <v>8.99</v>
      </c>
      <c r="J323" s="73">
        <v>0.45</v>
      </c>
      <c r="K323" s="73">
        <f>F323*0.005%</f>
        <v>0.45900000000000002</v>
      </c>
      <c r="L323" s="73">
        <f>F323-G323-H323-I323-K323</f>
        <v>9167.5674999999992</v>
      </c>
      <c r="M323" s="70"/>
      <c r="N323" s="137">
        <f t="shared" ref="N323:N384" si="96">G323/F323</f>
        <v>2.7500000000000002E-4</v>
      </c>
      <c r="O323" s="137">
        <f t="shared" ref="O323:O384" si="97">H323/F323</f>
        <v>5.0000000000000002E-5</v>
      </c>
      <c r="R323" s="73"/>
      <c r="S323" s="73"/>
      <c r="T323" s="73"/>
      <c r="U323" s="73"/>
      <c r="V323" s="73"/>
      <c r="W323" s="73"/>
      <c r="X323" s="73"/>
      <c r="Y323" s="73"/>
      <c r="Z323" s="73"/>
      <c r="AA323" s="73"/>
      <c r="AB323" s="73"/>
    </row>
    <row r="324" spans="1:28" s="72" customFormat="1" x14ac:dyDescent="0.25">
      <c r="A324" s="71"/>
      <c r="E324" s="73"/>
      <c r="F324" s="74">
        <f t="shared" ref="F324:L324" si="98">SUM(F322:F323)</f>
        <v>21530</v>
      </c>
      <c r="G324" s="74">
        <f t="shared" si="98"/>
        <v>5.92075</v>
      </c>
      <c r="H324" s="74">
        <f t="shared" si="98"/>
        <v>1.0765</v>
      </c>
      <c r="I324" s="74">
        <f t="shared" si="98"/>
        <v>17.98</v>
      </c>
      <c r="J324" s="74">
        <f t="shared" si="98"/>
        <v>0.9</v>
      </c>
      <c r="K324" s="74">
        <f t="shared" si="98"/>
        <v>1.0765</v>
      </c>
      <c r="L324" s="74">
        <f t="shared" si="98"/>
        <v>21503.946250000001</v>
      </c>
      <c r="M324" s="70"/>
      <c r="N324" s="137"/>
      <c r="O324" s="137"/>
      <c r="R324" s="73"/>
      <c r="S324" s="73"/>
      <c r="T324" s="73"/>
      <c r="U324" s="73"/>
      <c r="V324" s="73"/>
      <c r="W324" s="73"/>
      <c r="X324" s="73"/>
      <c r="Y324" s="73"/>
      <c r="Z324" s="73"/>
      <c r="AA324" s="73"/>
      <c r="AB324" s="73"/>
    </row>
    <row r="325" spans="1:28" x14ac:dyDescent="0.25">
      <c r="A325" s="10"/>
      <c r="E325" s="36"/>
      <c r="M325" s="70"/>
      <c r="N325" s="137"/>
      <c r="O325" s="137"/>
    </row>
    <row r="326" spans="1:28" s="72" customFormat="1" x14ac:dyDescent="0.25">
      <c r="A326" s="71">
        <v>42768</v>
      </c>
      <c r="B326" s="72">
        <v>69645</v>
      </c>
      <c r="C326" s="72" t="s">
        <v>313</v>
      </c>
      <c r="D326" s="72">
        <v>2600</v>
      </c>
      <c r="E326" s="73">
        <v>3.25</v>
      </c>
      <c r="F326" s="73">
        <f>D326*E326</f>
        <v>8450</v>
      </c>
      <c r="G326" s="73">
        <f t="shared" ref="G326" si="99">F326*0.0275%</f>
        <v>2.32375</v>
      </c>
      <c r="H326" s="73">
        <f>F326*0.005%</f>
        <v>0.42250000000000004</v>
      </c>
      <c r="I326" s="73">
        <v>8.99</v>
      </c>
      <c r="J326" s="73">
        <v>0.44</v>
      </c>
      <c r="K326" s="73">
        <v>0</v>
      </c>
      <c r="L326" s="73">
        <f>F326-G326-H326-I326-K326</f>
        <v>8438.2637500000001</v>
      </c>
      <c r="M326" s="70"/>
      <c r="N326" s="137">
        <f t="shared" si="96"/>
        <v>2.7500000000000002E-4</v>
      </c>
      <c r="O326" s="137">
        <f t="shared" si="97"/>
        <v>5.0000000000000002E-5</v>
      </c>
      <c r="R326" s="73"/>
      <c r="S326" s="73"/>
      <c r="T326" s="73"/>
      <c r="U326" s="73"/>
      <c r="V326" s="73"/>
      <c r="W326" s="73"/>
      <c r="X326" s="73"/>
      <c r="Y326" s="73"/>
      <c r="Z326" s="73"/>
      <c r="AA326" s="73"/>
      <c r="AB326" s="73"/>
    </row>
    <row r="327" spans="1:28" x14ac:dyDescent="0.25">
      <c r="A327" s="10"/>
      <c r="E327" s="36"/>
      <c r="M327" s="70"/>
      <c r="N327" s="137"/>
      <c r="O327" s="137"/>
    </row>
    <row r="328" spans="1:28" s="72" customFormat="1" x14ac:dyDescent="0.25">
      <c r="A328" s="71">
        <v>42769</v>
      </c>
      <c r="B328" s="72">
        <v>70079</v>
      </c>
      <c r="C328" s="72" t="s">
        <v>272</v>
      </c>
      <c r="D328" s="72">
        <v>900</v>
      </c>
      <c r="E328" s="73">
        <v>9.5</v>
      </c>
      <c r="F328" s="73">
        <f>D328*E328</f>
        <v>8550</v>
      </c>
      <c r="G328" s="73">
        <f t="shared" ref="G328" si="100">F328*0.0275%</f>
        <v>2.3512500000000003</v>
      </c>
      <c r="H328" s="73">
        <f>F328*0.005%</f>
        <v>0.42750000000000005</v>
      </c>
      <c r="I328" s="73">
        <v>8.99</v>
      </c>
      <c r="J328" s="73">
        <v>0.44</v>
      </c>
      <c r="K328" s="73">
        <v>0</v>
      </c>
      <c r="L328" s="73">
        <f>F328-G328-H328-I328-K328</f>
        <v>8538.2312500000007</v>
      </c>
      <c r="M328" s="70"/>
      <c r="N328" s="137">
        <f t="shared" si="96"/>
        <v>2.7500000000000002E-4</v>
      </c>
      <c r="O328" s="137">
        <f t="shared" si="97"/>
        <v>5.0000000000000002E-5</v>
      </c>
      <c r="R328" s="73"/>
      <c r="S328" s="73"/>
      <c r="T328" s="73"/>
      <c r="U328" s="73"/>
      <c r="V328" s="73"/>
      <c r="W328" s="73"/>
      <c r="X328" s="73"/>
      <c r="Y328" s="73"/>
      <c r="Z328" s="73"/>
      <c r="AA328" s="73"/>
      <c r="AB328" s="73"/>
    </row>
    <row r="329" spans="1:28" x14ac:dyDescent="0.25">
      <c r="A329" s="10"/>
      <c r="E329" s="36"/>
      <c r="M329" s="70"/>
      <c r="N329" s="137"/>
      <c r="O329" s="137"/>
    </row>
    <row r="330" spans="1:28" s="47" customFormat="1" x14ac:dyDescent="0.25">
      <c r="A330" s="26">
        <v>42772</v>
      </c>
      <c r="B330" s="47">
        <v>70524</v>
      </c>
      <c r="C330" s="47" t="s">
        <v>314</v>
      </c>
      <c r="D330" s="47">
        <v>6200</v>
      </c>
      <c r="E330" s="23">
        <v>1.5</v>
      </c>
      <c r="F330" s="23">
        <f>D330*E330</f>
        <v>9300</v>
      </c>
      <c r="G330" s="23">
        <f t="shared" ref="G330:G331" si="101">F330*0.0275%</f>
        <v>2.5575000000000001</v>
      </c>
      <c r="H330" s="23">
        <f>F330*0.005%</f>
        <v>0.46500000000000002</v>
      </c>
      <c r="I330" s="23">
        <v>4</v>
      </c>
      <c r="J330" s="23">
        <v>0.2</v>
      </c>
      <c r="K330" s="23"/>
      <c r="L330" s="23">
        <f>F330+G330+H330+I330</f>
        <v>9307.0225000000009</v>
      </c>
      <c r="M330" s="70"/>
      <c r="N330" s="137">
        <f t="shared" si="96"/>
        <v>2.7500000000000002E-4</v>
      </c>
      <c r="O330" s="137">
        <f t="shared" si="97"/>
        <v>5.0000000000000002E-5</v>
      </c>
      <c r="R330" s="23"/>
      <c r="S330" s="23"/>
      <c r="T330" s="23"/>
      <c r="U330" s="23"/>
      <c r="V330" s="23"/>
      <c r="W330" s="23"/>
      <c r="X330" s="23"/>
      <c r="Y330" s="23"/>
      <c r="Z330" s="23"/>
      <c r="AA330" s="23"/>
      <c r="AB330" s="23"/>
    </row>
    <row r="331" spans="1:28" s="47" customFormat="1" x14ac:dyDescent="0.25">
      <c r="A331" s="26">
        <v>42772</v>
      </c>
      <c r="B331" s="47">
        <v>70524</v>
      </c>
      <c r="C331" s="47" t="s">
        <v>315</v>
      </c>
      <c r="D331" s="47">
        <v>1600</v>
      </c>
      <c r="E331" s="23">
        <v>6.25</v>
      </c>
      <c r="F331" s="23">
        <f>D331*E331</f>
        <v>10000</v>
      </c>
      <c r="G331" s="23">
        <f t="shared" si="101"/>
        <v>2.75</v>
      </c>
      <c r="H331" s="23">
        <f>F331*0.005%</f>
        <v>0.5</v>
      </c>
      <c r="I331" s="23">
        <v>4</v>
      </c>
      <c r="J331" s="23">
        <v>0.2</v>
      </c>
      <c r="K331" s="23"/>
      <c r="L331" s="23">
        <f>F331+G331+H331+I331</f>
        <v>10007.25</v>
      </c>
      <c r="M331" s="70"/>
      <c r="N331" s="137">
        <f t="shared" si="96"/>
        <v>2.7500000000000002E-4</v>
      </c>
      <c r="O331" s="137">
        <f t="shared" si="97"/>
        <v>5.0000000000000002E-5</v>
      </c>
      <c r="R331" s="23"/>
      <c r="S331" s="23"/>
      <c r="T331" s="23"/>
      <c r="U331" s="23"/>
      <c r="V331" s="23"/>
      <c r="W331" s="23"/>
      <c r="X331" s="23"/>
      <c r="Y331" s="23"/>
      <c r="Z331" s="23"/>
      <c r="AA331" s="23"/>
      <c r="AB331" s="23"/>
    </row>
    <row r="332" spans="1:28" s="47" customFormat="1" x14ac:dyDescent="0.25">
      <c r="A332" s="26"/>
      <c r="E332" s="23"/>
      <c r="F332" s="19">
        <f>SUM(F330:F331)</f>
        <v>19300</v>
      </c>
      <c r="G332" s="19">
        <f>SUM(G330:G331)</f>
        <v>5.3075000000000001</v>
      </c>
      <c r="H332" s="19">
        <f>SUM(H330:H331)</f>
        <v>0.96500000000000008</v>
      </c>
      <c r="I332" s="19">
        <f>SUM(I330:I331)</f>
        <v>8</v>
      </c>
      <c r="J332" s="19">
        <f>SUM(J330:J331)</f>
        <v>0.4</v>
      </c>
      <c r="K332" s="19"/>
      <c r="L332" s="19">
        <f>SUM(L330:L331)</f>
        <v>19314.272499999999</v>
      </c>
      <c r="M332" s="70"/>
      <c r="N332" s="137"/>
      <c r="O332" s="137"/>
      <c r="R332" s="23"/>
      <c r="S332" s="23"/>
      <c r="T332" s="23"/>
      <c r="U332" s="23"/>
      <c r="V332" s="23"/>
      <c r="W332" s="23"/>
      <c r="X332" s="23"/>
      <c r="Y332" s="23"/>
      <c r="Z332" s="23"/>
      <c r="AA332" s="23"/>
      <c r="AB332" s="23"/>
    </row>
    <row r="333" spans="1:28" x14ac:dyDescent="0.25">
      <c r="A333" s="10"/>
      <c r="M333" s="70"/>
      <c r="N333" s="137"/>
      <c r="O333" s="137"/>
    </row>
    <row r="334" spans="1:28" s="47" customFormat="1" x14ac:dyDescent="0.25">
      <c r="A334" s="26">
        <v>42773</v>
      </c>
      <c r="B334" s="47">
        <v>70949</v>
      </c>
      <c r="C334" s="47" t="s">
        <v>313</v>
      </c>
      <c r="D334" s="47">
        <v>2900</v>
      </c>
      <c r="E334" s="23">
        <v>3.1</v>
      </c>
      <c r="F334" s="23">
        <f>D334*E334</f>
        <v>8990</v>
      </c>
      <c r="G334" s="23">
        <f t="shared" ref="G334" si="102">F334*0.0275%</f>
        <v>2.4722500000000003</v>
      </c>
      <c r="H334" s="23">
        <f>F334*0.005%</f>
        <v>0.44950000000000001</v>
      </c>
      <c r="I334" s="23">
        <v>8.99</v>
      </c>
      <c r="J334" s="23">
        <v>0.44</v>
      </c>
      <c r="K334" s="23"/>
      <c r="L334" s="23">
        <f>F334+G334+H334+I334</f>
        <v>9001.9117500000011</v>
      </c>
      <c r="M334" s="70"/>
      <c r="N334" s="137">
        <f t="shared" si="96"/>
        <v>2.7500000000000002E-4</v>
      </c>
      <c r="O334" s="137">
        <f t="shared" si="97"/>
        <v>5.0000000000000002E-5</v>
      </c>
      <c r="R334" s="23"/>
      <c r="S334" s="23"/>
      <c r="T334" s="23"/>
      <c r="U334" s="23"/>
      <c r="V334" s="23"/>
      <c r="W334" s="23"/>
      <c r="X334" s="23"/>
      <c r="Y334" s="23"/>
      <c r="Z334" s="23"/>
      <c r="AA334" s="23"/>
      <c r="AB334" s="23"/>
    </row>
    <row r="335" spans="1:28" x14ac:dyDescent="0.25">
      <c r="A335" s="10"/>
      <c r="I335" s="23"/>
      <c r="M335" s="70"/>
      <c r="N335" s="137"/>
      <c r="O335" s="137"/>
    </row>
    <row r="336" spans="1:28" s="72" customFormat="1" x14ac:dyDescent="0.25">
      <c r="A336" s="71">
        <v>42774</v>
      </c>
      <c r="B336" s="72">
        <v>71356</v>
      </c>
      <c r="C336" s="72" t="s">
        <v>309</v>
      </c>
      <c r="D336" s="72">
        <v>1000</v>
      </c>
      <c r="E336" s="73">
        <v>13.15</v>
      </c>
      <c r="F336" s="73">
        <f>D336*E336</f>
        <v>13150</v>
      </c>
      <c r="G336" s="73">
        <f t="shared" ref="G336" si="103">F336*0.0275%</f>
        <v>3.6162500000000004</v>
      </c>
      <c r="H336" s="73">
        <f>F336*0.005%</f>
        <v>0.65750000000000008</v>
      </c>
      <c r="I336" s="73">
        <v>4</v>
      </c>
      <c r="J336" s="73">
        <v>0.2</v>
      </c>
      <c r="K336" s="73">
        <v>0</v>
      </c>
      <c r="L336" s="73">
        <f>F336-G336-H336-I336-K336</f>
        <v>13141.726250000002</v>
      </c>
      <c r="M336" s="70"/>
      <c r="N336" s="137">
        <f t="shared" si="96"/>
        <v>2.7500000000000002E-4</v>
      </c>
      <c r="O336" s="137">
        <f t="shared" si="97"/>
        <v>5.0000000000000009E-5</v>
      </c>
      <c r="R336" s="73"/>
      <c r="S336" s="73"/>
      <c r="T336" s="73"/>
      <c r="U336" s="73"/>
      <c r="V336" s="73"/>
      <c r="W336" s="73"/>
      <c r="X336" s="73"/>
      <c r="Y336" s="73"/>
      <c r="Z336" s="73"/>
      <c r="AA336" s="73"/>
      <c r="AB336" s="73"/>
    </row>
    <row r="337" spans="1:28" x14ac:dyDescent="0.25">
      <c r="A337" s="10"/>
      <c r="E337" s="36"/>
      <c r="M337" s="70"/>
      <c r="N337" s="137"/>
      <c r="O337" s="137"/>
    </row>
    <row r="338" spans="1:28" s="72" customFormat="1" x14ac:dyDescent="0.25">
      <c r="A338" s="71">
        <v>42779</v>
      </c>
      <c r="B338" s="72">
        <v>72695</v>
      </c>
      <c r="C338" s="72" t="s">
        <v>314</v>
      </c>
      <c r="D338" s="72">
        <v>6200</v>
      </c>
      <c r="E338" s="73">
        <v>1.6</v>
      </c>
      <c r="F338" s="73">
        <f>D338*E338</f>
        <v>9920</v>
      </c>
      <c r="G338" s="73">
        <f t="shared" ref="G338" si="104">F338*0.0275%</f>
        <v>2.7280000000000002</v>
      </c>
      <c r="H338" s="73">
        <f>F338*0.007%</f>
        <v>0.69440000000000013</v>
      </c>
      <c r="I338" s="73">
        <v>8.99</v>
      </c>
      <c r="J338" s="73">
        <v>0.44</v>
      </c>
      <c r="K338" s="73">
        <v>0</v>
      </c>
      <c r="L338" s="73">
        <f>F338-G338-H338-I338-K338</f>
        <v>9907.5876000000007</v>
      </c>
      <c r="M338" s="70"/>
      <c r="N338" s="137">
        <f t="shared" si="96"/>
        <v>2.7500000000000002E-4</v>
      </c>
      <c r="O338" s="139">
        <f t="shared" si="97"/>
        <v>7.0000000000000007E-5</v>
      </c>
      <c r="R338" s="73"/>
      <c r="S338" s="73"/>
      <c r="T338" s="73"/>
      <c r="U338" s="73"/>
      <c r="V338" s="73"/>
      <c r="W338" s="73"/>
      <c r="X338" s="73"/>
      <c r="Y338" s="73"/>
      <c r="Z338" s="73"/>
      <c r="AA338" s="73"/>
      <c r="AB338" s="73"/>
    </row>
    <row r="339" spans="1:28" x14ac:dyDescent="0.25">
      <c r="A339" s="10"/>
      <c r="M339" s="70"/>
      <c r="N339" s="137"/>
      <c r="O339" s="137"/>
    </row>
    <row r="340" spans="1:28" s="47" customFormat="1" x14ac:dyDescent="0.25">
      <c r="A340" s="26">
        <v>42780</v>
      </c>
      <c r="B340" s="47">
        <v>73169</v>
      </c>
      <c r="C340" s="47" t="s">
        <v>316</v>
      </c>
      <c r="D340" s="47">
        <v>700</v>
      </c>
      <c r="E340" s="23">
        <v>14.4</v>
      </c>
      <c r="F340" s="23">
        <f>D340*E340</f>
        <v>10080</v>
      </c>
      <c r="G340" s="23">
        <f t="shared" ref="G340:G341" si="105">F340*0.0275%</f>
        <v>2.7720000000000002</v>
      </c>
      <c r="H340" s="23">
        <f>F340*0.005%</f>
        <v>0.504</v>
      </c>
      <c r="I340" s="23">
        <v>4</v>
      </c>
      <c r="J340" s="23">
        <v>0.2</v>
      </c>
      <c r="K340" s="23"/>
      <c r="L340" s="23">
        <f>F340+G340+H340+I340</f>
        <v>10087.276000000002</v>
      </c>
      <c r="M340" s="70"/>
      <c r="N340" s="137">
        <f t="shared" si="96"/>
        <v>2.7500000000000002E-4</v>
      </c>
      <c r="O340" s="137">
        <f t="shared" si="97"/>
        <v>5.0000000000000002E-5</v>
      </c>
      <c r="R340" s="23"/>
      <c r="S340" s="23"/>
      <c r="T340" s="23"/>
      <c r="U340" s="23"/>
      <c r="V340" s="23"/>
      <c r="W340" s="23"/>
      <c r="X340" s="23"/>
      <c r="Y340" s="23"/>
      <c r="Z340" s="23"/>
      <c r="AA340" s="23"/>
      <c r="AB340" s="23"/>
    </row>
    <row r="341" spans="1:28" s="47" customFormat="1" x14ac:dyDescent="0.25">
      <c r="A341" s="26">
        <v>42780</v>
      </c>
      <c r="B341" s="47">
        <v>73169</v>
      </c>
      <c r="C341" s="47" t="s">
        <v>317</v>
      </c>
      <c r="D341" s="47">
        <v>700</v>
      </c>
      <c r="E341" s="23">
        <v>18.239999999999998</v>
      </c>
      <c r="F341" s="23">
        <f>D341*E341</f>
        <v>12767.999999999998</v>
      </c>
      <c r="G341" s="23">
        <f t="shared" si="105"/>
        <v>3.5111999999999997</v>
      </c>
      <c r="H341" s="23">
        <f>F341*0.005%</f>
        <v>0.63839999999999997</v>
      </c>
      <c r="I341" s="23">
        <v>4</v>
      </c>
      <c r="J341" s="23">
        <v>0.2</v>
      </c>
      <c r="K341" s="23"/>
      <c r="L341" s="23">
        <f>F341+G341+H341+I341</f>
        <v>12776.149599999999</v>
      </c>
      <c r="M341" s="70"/>
      <c r="N341" s="137">
        <f t="shared" si="96"/>
        <v>2.7500000000000002E-4</v>
      </c>
      <c r="O341" s="137">
        <f t="shared" si="97"/>
        <v>5.0000000000000002E-5</v>
      </c>
      <c r="R341" s="23"/>
      <c r="S341" s="23"/>
      <c r="T341" s="23"/>
      <c r="U341" s="23"/>
      <c r="V341" s="23"/>
      <c r="W341" s="23"/>
      <c r="X341" s="23"/>
      <c r="Y341" s="23"/>
      <c r="Z341" s="23"/>
      <c r="AA341" s="23"/>
      <c r="AB341" s="23"/>
    </row>
    <row r="342" spans="1:28" s="47" customFormat="1" x14ac:dyDescent="0.25">
      <c r="A342" s="26"/>
      <c r="E342" s="23"/>
      <c r="F342" s="19">
        <f>SUM(F340:F341)</f>
        <v>22848</v>
      </c>
      <c r="G342" s="19">
        <f>SUM(G340:G341)</f>
        <v>6.2831999999999999</v>
      </c>
      <c r="H342" s="19">
        <f>SUM(H340:H341)</f>
        <v>1.1423999999999999</v>
      </c>
      <c r="I342" s="19">
        <f>SUM(I340:I341)</f>
        <v>8</v>
      </c>
      <c r="J342" s="19">
        <f>SUM(J340:J341)</f>
        <v>0.4</v>
      </c>
      <c r="K342" s="19"/>
      <c r="L342" s="19">
        <f>SUM(L340:L341)</f>
        <v>22863.425600000002</v>
      </c>
      <c r="M342" s="70"/>
      <c r="N342" s="137"/>
      <c r="O342" s="137"/>
      <c r="R342" s="23"/>
      <c r="S342" s="23"/>
      <c r="T342" s="23"/>
      <c r="U342" s="23"/>
      <c r="V342" s="23"/>
      <c r="W342" s="23"/>
      <c r="X342" s="23"/>
      <c r="Y342" s="23"/>
      <c r="Z342" s="23"/>
      <c r="AA342" s="23"/>
      <c r="AB342" s="23"/>
    </row>
    <row r="343" spans="1:28" x14ac:dyDescent="0.25">
      <c r="A343" s="10"/>
      <c r="M343" s="70"/>
      <c r="N343" s="137"/>
      <c r="O343" s="137"/>
    </row>
    <row r="344" spans="1:28" s="47" customFormat="1" x14ac:dyDescent="0.25">
      <c r="A344" s="26">
        <v>42781</v>
      </c>
      <c r="B344" s="47">
        <v>73668</v>
      </c>
      <c r="C344" s="47" t="s">
        <v>274</v>
      </c>
      <c r="D344" s="47">
        <v>700</v>
      </c>
      <c r="E344" s="23">
        <v>16.399999999999999</v>
      </c>
      <c r="F344" s="23">
        <f>D344*E344</f>
        <v>11479.999999999998</v>
      </c>
      <c r="G344" s="23">
        <f t="shared" ref="G344" si="106">F344*0.0275%</f>
        <v>3.1569999999999996</v>
      </c>
      <c r="H344" s="23">
        <f>F344*0.005%</f>
        <v>0.57399999999999995</v>
      </c>
      <c r="I344" s="23">
        <v>4</v>
      </c>
      <c r="J344" s="23">
        <v>0.2</v>
      </c>
      <c r="K344" s="23"/>
      <c r="L344" s="23">
        <f>F344+G344+H344+I344</f>
        <v>11487.730999999998</v>
      </c>
      <c r="M344" s="70"/>
      <c r="N344" s="137">
        <f t="shared" si="96"/>
        <v>2.7500000000000002E-4</v>
      </c>
      <c r="O344" s="137">
        <f t="shared" si="97"/>
        <v>5.0000000000000002E-5</v>
      </c>
      <c r="R344" s="23"/>
      <c r="S344" s="23"/>
      <c r="T344" s="23"/>
      <c r="U344" s="23"/>
      <c r="V344" s="23"/>
      <c r="W344" s="23"/>
      <c r="X344" s="23"/>
      <c r="Y344" s="23"/>
      <c r="Z344" s="23"/>
      <c r="AA344" s="23"/>
      <c r="AB344" s="23"/>
    </row>
    <row r="345" spans="1:28" s="72" customFormat="1" x14ac:dyDescent="0.25">
      <c r="A345" s="71">
        <v>42781</v>
      </c>
      <c r="B345" s="72">
        <v>73668</v>
      </c>
      <c r="C345" s="72" t="s">
        <v>305</v>
      </c>
      <c r="D345" s="72">
        <v>1000</v>
      </c>
      <c r="E345" s="73">
        <v>9.4</v>
      </c>
      <c r="F345" s="73">
        <f>D345*E345</f>
        <v>9400</v>
      </c>
      <c r="G345" s="73">
        <f t="shared" ref="G345:G348" si="107">F345*0.0275%</f>
        <v>2.585</v>
      </c>
      <c r="H345" s="73">
        <f>F345*0.005%</f>
        <v>0.47000000000000003</v>
      </c>
      <c r="I345" s="73">
        <v>4</v>
      </c>
      <c r="J345" s="73">
        <v>0.2</v>
      </c>
      <c r="K345" s="73">
        <f>F345*0.005%</f>
        <v>0.47000000000000003</v>
      </c>
      <c r="L345" s="73">
        <f>F345-G345-H345-I345-K345</f>
        <v>9392.4750000000022</v>
      </c>
      <c r="M345" s="70"/>
      <c r="N345" s="137">
        <f t="shared" si="96"/>
        <v>2.7500000000000002E-4</v>
      </c>
      <c r="O345" s="137">
        <f t="shared" si="97"/>
        <v>5.0000000000000002E-5</v>
      </c>
      <c r="R345" s="73"/>
      <c r="S345" s="73"/>
      <c r="T345" s="73"/>
      <c r="U345" s="73"/>
      <c r="V345" s="73"/>
      <c r="W345" s="73"/>
      <c r="X345" s="73"/>
      <c r="Y345" s="73"/>
      <c r="Z345" s="73"/>
      <c r="AA345" s="73"/>
      <c r="AB345" s="73"/>
    </row>
    <row r="346" spans="1:28" s="72" customFormat="1" x14ac:dyDescent="0.25">
      <c r="A346" s="71">
        <v>42781</v>
      </c>
      <c r="B346" s="72">
        <v>73668</v>
      </c>
      <c r="C346" s="72" t="s">
        <v>311</v>
      </c>
      <c r="D346" s="72">
        <v>1000</v>
      </c>
      <c r="E346" s="73">
        <v>9.5</v>
      </c>
      <c r="F346" s="73">
        <f>D346*E346</f>
        <v>9500</v>
      </c>
      <c r="G346" s="73">
        <f t="shared" si="107"/>
        <v>2.6125000000000003</v>
      </c>
      <c r="H346" s="73">
        <f>F346*0.005%</f>
        <v>0.47500000000000003</v>
      </c>
      <c r="I346" s="73">
        <v>4</v>
      </c>
      <c r="J346" s="73">
        <v>0.2</v>
      </c>
      <c r="K346" s="73">
        <f>F346*0.005%</f>
        <v>0.47500000000000003</v>
      </c>
      <c r="L346" s="73">
        <f>F346-G346-H346-I346-K346</f>
        <v>9492.4375</v>
      </c>
      <c r="M346" s="70"/>
      <c r="N346" s="137">
        <f t="shared" si="96"/>
        <v>2.7500000000000002E-4</v>
      </c>
      <c r="O346" s="137">
        <f t="shared" si="97"/>
        <v>5.0000000000000002E-5</v>
      </c>
      <c r="R346" s="73"/>
      <c r="S346" s="73"/>
      <c r="T346" s="73"/>
      <c r="U346" s="73"/>
      <c r="V346" s="73"/>
      <c r="W346" s="73"/>
      <c r="X346" s="73"/>
      <c r="Y346" s="73"/>
      <c r="Z346" s="73"/>
      <c r="AA346" s="73"/>
      <c r="AB346" s="73"/>
    </row>
    <row r="347" spans="1:28" s="72" customFormat="1" x14ac:dyDescent="0.25">
      <c r="A347" s="71">
        <v>42781</v>
      </c>
      <c r="B347" s="72">
        <v>73668</v>
      </c>
      <c r="C347" s="72" t="s">
        <v>315</v>
      </c>
      <c r="D347" s="72">
        <v>1600</v>
      </c>
      <c r="E347" s="73">
        <v>7.8</v>
      </c>
      <c r="F347" s="73">
        <f>D347*E347</f>
        <v>12480</v>
      </c>
      <c r="G347" s="73">
        <f t="shared" si="107"/>
        <v>3.4320000000000004</v>
      </c>
      <c r="H347" s="73">
        <f>F347*0.005%</f>
        <v>0.624</v>
      </c>
      <c r="I347" s="73">
        <v>4</v>
      </c>
      <c r="J347" s="73">
        <v>0.2</v>
      </c>
      <c r="K347" s="73">
        <f>F347*0.005%</f>
        <v>0.624</v>
      </c>
      <c r="L347" s="73">
        <f>F347-G347-H347-I347-K347</f>
        <v>12471.32</v>
      </c>
      <c r="M347" s="70"/>
      <c r="N347" s="137">
        <f t="shared" si="96"/>
        <v>2.7500000000000002E-4</v>
      </c>
      <c r="O347" s="137">
        <f t="shared" si="97"/>
        <v>5.0000000000000002E-5</v>
      </c>
      <c r="R347" s="73"/>
      <c r="S347" s="73"/>
      <c r="T347" s="73"/>
      <c r="U347" s="73"/>
      <c r="V347" s="73"/>
      <c r="W347" s="73"/>
      <c r="X347" s="73"/>
      <c r="Y347" s="73"/>
      <c r="Z347" s="73"/>
      <c r="AA347" s="73"/>
      <c r="AB347" s="73"/>
    </row>
    <row r="348" spans="1:28" s="72" customFormat="1" x14ac:dyDescent="0.25">
      <c r="A348" s="71">
        <v>42781</v>
      </c>
      <c r="B348" s="72">
        <v>73668</v>
      </c>
      <c r="C348" s="72" t="s">
        <v>313</v>
      </c>
      <c r="D348" s="72">
        <v>2900</v>
      </c>
      <c r="E348" s="73">
        <v>3.3</v>
      </c>
      <c r="F348" s="73">
        <f>D348*E348</f>
        <v>9570</v>
      </c>
      <c r="G348" s="73">
        <f t="shared" si="107"/>
        <v>2.6317500000000003</v>
      </c>
      <c r="H348" s="73">
        <f>F348*0.005%</f>
        <v>0.47850000000000004</v>
      </c>
      <c r="I348" s="73">
        <v>4</v>
      </c>
      <c r="J348" s="73">
        <v>0.2</v>
      </c>
      <c r="K348" s="73">
        <f>F348*0.005%</f>
        <v>0.47850000000000004</v>
      </c>
      <c r="L348" s="73">
        <f>F348-G348-H348-I348-K348</f>
        <v>9562.411250000001</v>
      </c>
      <c r="M348" s="70"/>
      <c r="N348" s="137">
        <f t="shared" si="96"/>
        <v>2.7500000000000002E-4</v>
      </c>
      <c r="O348" s="137">
        <f t="shared" si="97"/>
        <v>5.0000000000000002E-5</v>
      </c>
      <c r="R348" s="73"/>
      <c r="S348" s="73"/>
      <c r="T348" s="73"/>
      <c r="U348" s="73"/>
      <c r="V348" s="73"/>
      <c r="W348" s="73"/>
      <c r="X348" s="73"/>
      <c r="Y348" s="73"/>
      <c r="Z348" s="73"/>
      <c r="AA348" s="73"/>
      <c r="AB348" s="73"/>
    </row>
    <row r="349" spans="1:28" s="72" customFormat="1" x14ac:dyDescent="0.25">
      <c r="A349" s="71"/>
      <c r="E349" s="73"/>
      <c r="F349" s="74">
        <f>SUM(F345:F348)-F344</f>
        <v>29470</v>
      </c>
      <c r="G349" s="19">
        <f>SUM(G344:G348)</f>
        <v>14.41825</v>
      </c>
      <c r="H349" s="19">
        <f>SUM(H344:H348)</f>
        <v>2.6215000000000002</v>
      </c>
      <c r="I349" s="19">
        <f>SUM(I344:I348)</f>
        <v>20</v>
      </c>
      <c r="J349" s="19">
        <f>SUM(J344:J348)</f>
        <v>1</v>
      </c>
      <c r="K349" s="19">
        <f>SUM(K345:K348)</f>
        <v>2.0474999999999999</v>
      </c>
      <c r="L349" s="74">
        <f>SUM(L345:L348)-L344</f>
        <v>29430.912750000003</v>
      </c>
      <c r="M349" s="70"/>
      <c r="N349" s="137"/>
      <c r="O349" s="137"/>
      <c r="R349" s="73"/>
      <c r="S349" s="73"/>
      <c r="T349" s="73"/>
      <c r="U349" s="73"/>
      <c r="V349" s="73"/>
      <c r="W349" s="73"/>
      <c r="X349" s="73"/>
      <c r="Y349" s="73"/>
      <c r="Z349" s="73"/>
      <c r="AA349" s="73"/>
      <c r="AB349" s="73"/>
    </row>
    <row r="350" spans="1:28" x14ac:dyDescent="0.25">
      <c r="A350" s="10"/>
      <c r="E350" s="36"/>
      <c r="M350" s="70"/>
      <c r="N350" s="137"/>
      <c r="O350" s="137"/>
    </row>
    <row r="351" spans="1:28" s="47" customFormat="1" x14ac:dyDescent="0.25">
      <c r="A351" s="26">
        <v>42783</v>
      </c>
      <c r="B351" s="47">
        <v>74732</v>
      </c>
      <c r="C351" s="47" t="s">
        <v>314</v>
      </c>
      <c r="D351" s="47">
        <v>4600</v>
      </c>
      <c r="E351" s="23">
        <v>1.46</v>
      </c>
      <c r="F351" s="23">
        <f>D351*E351</f>
        <v>6716</v>
      </c>
      <c r="G351" s="23">
        <f t="shared" ref="G351" si="108">F351*0.0275%</f>
        <v>1.8469000000000002</v>
      </c>
      <c r="H351" s="23">
        <f>F351*0.005%</f>
        <v>0.33580000000000004</v>
      </c>
      <c r="I351" s="23">
        <v>8.99</v>
      </c>
      <c r="J351" s="23">
        <v>0.45</v>
      </c>
      <c r="K351" s="23"/>
      <c r="L351" s="23">
        <f>F351+G351+H351+I351</f>
        <v>6727.1726999999992</v>
      </c>
      <c r="M351" s="70"/>
      <c r="N351" s="137">
        <f t="shared" si="96"/>
        <v>2.7500000000000002E-4</v>
      </c>
      <c r="O351" s="137">
        <f t="shared" si="97"/>
        <v>5.0000000000000009E-5</v>
      </c>
      <c r="R351" s="23"/>
      <c r="S351" s="23"/>
      <c r="T351" s="23"/>
      <c r="U351" s="23"/>
      <c r="V351" s="23"/>
      <c r="W351" s="23"/>
      <c r="X351" s="23"/>
      <c r="Y351" s="23"/>
      <c r="Z351" s="23"/>
      <c r="AA351" s="23"/>
      <c r="AB351" s="23"/>
    </row>
    <row r="352" spans="1:28" s="72" customFormat="1" x14ac:dyDescent="0.25">
      <c r="A352" s="71">
        <v>42783</v>
      </c>
      <c r="B352" s="72">
        <v>74732</v>
      </c>
      <c r="C352" s="72" t="s">
        <v>284</v>
      </c>
      <c r="D352" s="72">
        <v>2800</v>
      </c>
      <c r="E352" s="73">
        <v>2.6</v>
      </c>
      <c r="F352" s="73">
        <f>D352*E352</f>
        <v>7280</v>
      </c>
      <c r="G352" s="73">
        <f t="shared" ref="G352" si="109">F352*0.0275%</f>
        <v>2.0020000000000002</v>
      </c>
      <c r="H352" s="73">
        <f>F352*0.005%</f>
        <v>0.36399999999999999</v>
      </c>
      <c r="I352" s="73">
        <v>8.99</v>
      </c>
      <c r="J352" s="73">
        <v>0.45</v>
      </c>
      <c r="K352" s="73">
        <v>0</v>
      </c>
      <c r="L352" s="73">
        <f>F352-G352-H352-I352-K352</f>
        <v>7268.6440000000002</v>
      </c>
      <c r="M352" s="70"/>
      <c r="N352" s="137">
        <f t="shared" si="96"/>
        <v>2.7500000000000002E-4</v>
      </c>
      <c r="O352" s="137">
        <f t="shared" si="97"/>
        <v>4.9999999999999996E-5</v>
      </c>
      <c r="R352" s="73"/>
      <c r="S352" s="73"/>
      <c r="T352" s="73"/>
      <c r="U352" s="73"/>
      <c r="V352" s="73"/>
      <c r="W352" s="73"/>
      <c r="X352" s="73"/>
      <c r="Y352" s="73"/>
      <c r="Z352" s="73"/>
      <c r="AA352" s="73"/>
      <c r="AB352" s="73"/>
    </row>
    <row r="353" spans="1:28" s="47" customFormat="1" x14ac:dyDescent="0.25">
      <c r="A353" s="26"/>
      <c r="E353" s="23"/>
      <c r="F353" s="74">
        <f>F352-F351</f>
        <v>564</v>
      </c>
      <c r="G353" s="19">
        <f>SUM(G351:G352)</f>
        <v>3.8489000000000004</v>
      </c>
      <c r="H353" s="19">
        <f>SUM(H351:H352)</f>
        <v>0.69979999999999998</v>
      </c>
      <c r="I353" s="19">
        <f>SUM(I351:I352)</f>
        <v>17.98</v>
      </c>
      <c r="J353" s="19">
        <f>SUM(J351:J352)</f>
        <v>0.9</v>
      </c>
      <c r="K353" s="19"/>
      <c r="L353" s="74">
        <f>L352-L351</f>
        <v>541.47130000000107</v>
      </c>
      <c r="M353" s="70"/>
      <c r="N353" s="137"/>
      <c r="O353" s="137"/>
      <c r="R353" s="23"/>
      <c r="S353" s="23"/>
      <c r="T353" s="23"/>
      <c r="U353" s="23"/>
      <c r="V353" s="23"/>
      <c r="W353" s="23"/>
      <c r="X353" s="23"/>
      <c r="Y353" s="23"/>
      <c r="Z353" s="23"/>
      <c r="AA353" s="23"/>
      <c r="AB353" s="23"/>
    </row>
    <row r="354" spans="1:28" x14ac:dyDescent="0.25">
      <c r="A354" s="10"/>
      <c r="E354" s="36"/>
      <c r="M354" s="70"/>
      <c r="N354" s="137"/>
      <c r="O354" s="137"/>
    </row>
    <row r="355" spans="1:28" s="47" customFormat="1" x14ac:dyDescent="0.25">
      <c r="A355" s="26">
        <v>42787</v>
      </c>
      <c r="B355" s="47">
        <v>75828</v>
      </c>
      <c r="C355" s="47" t="s">
        <v>318</v>
      </c>
      <c r="D355" s="47">
        <v>900</v>
      </c>
      <c r="E355" s="23">
        <v>11.6</v>
      </c>
      <c r="F355" s="23">
        <f t="shared" ref="F355:F362" si="110">D355*E355</f>
        <v>10440</v>
      </c>
      <c r="G355" s="23">
        <f t="shared" ref="G355:G362" si="111">F355*0.0275%</f>
        <v>2.871</v>
      </c>
      <c r="H355" s="23">
        <f t="shared" ref="H355:H362" si="112">F355*0.005%</f>
        <v>0.52200000000000002</v>
      </c>
      <c r="I355" s="23">
        <v>4</v>
      </c>
      <c r="J355" s="23">
        <v>0.2</v>
      </c>
      <c r="K355" s="23"/>
      <c r="L355" s="23">
        <f t="shared" ref="L355:L362" si="113">F355+G355+H355+I355</f>
        <v>10447.393</v>
      </c>
      <c r="M355" s="70"/>
      <c r="N355" s="137">
        <f t="shared" si="96"/>
        <v>2.7500000000000002E-4</v>
      </c>
      <c r="O355" s="137">
        <f t="shared" si="97"/>
        <v>5.0000000000000002E-5</v>
      </c>
      <c r="R355" s="23"/>
      <c r="S355" s="23"/>
      <c r="T355" s="23"/>
      <c r="U355" s="23"/>
      <c r="V355" s="23"/>
      <c r="W355" s="23"/>
      <c r="X355" s="23"/>
      <c r="Y355" s="23"/>
      <c r="Z355" s="23"/>
      <c r="AA355" s="23"/>
      <c r="AB355" s="23"/>
    </row>
    <row r="356" spans="1:28" s="47" customFormat="1" x14ac:dyDescent="0.25">
      <c r="A356" s="26">
        <v>42787</v>
      </c>
      <c r="B356" s="47">
        <v>75828</v>
      </c>
      <c r="C356" s="47" t="s">
        <v>319</v>
      </c>
      <c r="D356" s="47">
        <v>2900</v>
      </c>
      <c r="E356" s="23">
        <v>3.5</v>
      </c>
      <c r="F356" s="23">
        <f t="shared" si="110"/>
        <v>10150</v>
      </c>
      <c r="G356" s="23">
        <f t="shared" si="111"/>
        <v>2.7912500000000002</v>
      </c>
      <c r="H356" s="23">
        <f t="shared" si="112"/>
        <v>0.50750000000000006</v>
      </c>
      <c r="I356" s="23">
        <v>4</v>
      </c>
      <c r="J356" s="23">
        <v>0.2</v>
      </c>
      <c r="K356" s="23"/>
      <c r="L356" s="23">
        <f t="shared" si="113"/>
        <v>10157.29875</v>
      </c>
      <c r="M356" s="70"/>
      <c r="N356" s="137">
        <f t="shared" si="96"/>
        <v>2.7500000000000002E-4</v>
      </c>
      <c r="O356" s="137">
        <f t="shared" si="97"/>
        <v>5.0000000000000009E-5</v>
      </c>
      <c r="R356" s="23"/>
      <c r="S356" s="23"/>
      <c r="T356" s="23"/>
      <c r="U356" s="23"/>
      <c r="V356" s="23"/>
      <c r="W356" s="23"/>
      <c r="X356" s="23"/>
      <c r="Y356" s="23"/>
      <c r="Z356" s="23"/>
      <c r="AA356" s="23"/>
      <c r="AB356" s="23"/>
    </row>
    <row r="357" spans="1:28" s="47" customFormat="1" x14ac:dyDescent="0.25">
      <c r="A357" s="26">
        <v>42787</v>
      </c>
      <c r="B357" s="47">
        <v>75828</v>
      </c>
      <c r="C357" s="47" t="s">
        <v>320</v>
      </c>
      <c r="D357" s="47">
        <v>300</v>
      </c>
      <c r="E357" s="23">
        <v>33.700000000000003</v>
      </c>
      <c r="F357" s="23">
        <f t="shared" si="110"/>
        <v>10110</v>
      </c>
      <c r="G357" s="23">
        <f>F357*0.0275%</f>
        <v>2.7802500000000001</v>
      </c>
      <c r="H357" s="23">
        <f t="shared" si="112"/>
        <v>0.50550000000000006</v>
      </c>
      <c r="I357" s="23">
        <v>4</v>
      </c>
      <c r="J357" s="23">
        <v>0.2</v>
      </c>
      <c r="K357" s="23"/>
      <c r="L357" s="23">
        <f t="shared" si="113"/>
        <v>10117.285749999999</v>
      </c>
      <c r="M357" s="70"/>
      <c r="N357" s="137">
        <f t="shared" si="96"/>
        <v>2.7500000000000002E-4</v>
      </c>
      <c r="O357" s="137">
        <f t="shared" si="97"/>
        <v>5.0000000000000009E-5</v>
      </c>
      <c r="R357" s="23"/>
      <c r="S357" s="23"/>
      <c r="T357" s="23"/>
      <c r="U357" s="23"/>
      <c r="V357" s="23"/>
      <c r="W357" s="23"/>
      <c r="X357" s="23"/>
      <c r="Y357" s="23"/>
      <c r="Z357" s="23"/>
      <c r="AA357" s="23"/>
      <c r="AB357" s="23"/>
    </row>
    <row r="358" spans="1:28" s="47" customFormat="1" x14ac:dyDescent="0.25">
      <c r="A358" s="26">
        <v>42787</v>
      </c>
      <c r="B358" s="47">
        <v>75828</v>
      </c>
      <c r="C358" s="47" t="s">
        <v>296</v>
      </c>
      <c r="D358" s="47">
        <v>500</v>
      </c>
      <c r="E358" s="23">
        <v>21.2</v>
      </c>
      <c r="F358" s="23">
        <f t="shared" si="110"/>
        <v>10600</v>
      </c>
      <c r="G358" s="23">
        <f t="shared" si="111"/>
        <v>2.915</v>
      </c>
      <c r="H358" s="23">
        <f t="shared" si="112"/>
        <v>0.53</v>
      </c>
      <c r="I358" s="23">
        <v>4</v>
      </c>
      <c r="J358" s="23">
        <v>0.2</v>
      </c>
      <c r="K358" s="23"/>
      <c r="L358" s="23">
        <f t="shared" si="113"/>
        <v>10607.445000000002</v>
      </c>
      <c r="M358" s="70"/>
      <c r="N358" s="137">
        <f t="shared" si="96"/>
        <v>2.7500000000000002E-4</v>
      </c>
      <c r="O358" s="137">
        <f t="shared" si="97"/>
        <v>5.0000000000000002E-5</v>
      </c>
      <c r="R358" s="23"/>
      <c r="S358" s="23"/>
      <c r="T358" s="23"/>
      <c r="U358" s="23"/>
      <c r="V358" s="23"/>
      <c r="W358" s="23"/>
      <c r="X358" s="23"/>
      <c r="Y358" s="23"/>
      <c r="Z358" s="23"/>
      <c r="AA358" s="23"/>
      <c r="AB358" s="23"/>
    </row>
    <row r="359" spans="1:28" s="47" customFormat="1" x14ac:dyDescent="0.25">
      <c r="A359" s="26">
        <v>42787</v>
      </c>
      <c r="B359" s="47">
        <v>75828</v>
      </c>
      <c r="C359" s="47" t="s">
        <v>321</v>
      </c>
      <c r="D359" s="47">
        <v>400</v>
      </c>
      <c r="E359" s="23">
        <v>27.2</v>
      </c>
      <c r="F359" s="23">
        <f t="shared" si="110"/>
        <v>10880</v>
      </c>
      <c r="G359" s="23">
        <f>F359*0.0275%</f>
        <v>2.992</v>
      </c>
      <c r="H359" s="23">
        <f t="shared" si="112"/>
        <v>0.54400000000000004</v>
      </c>
      <c r="I359" s="23">
        <v>4</v>
      </c>
      <c r="J359" s="23">
        <v>0.2</v>
      </c>
      <c r="K359" s="23"/>
      <c r="L359" s="23">
        <f t="shared" si="113"/>
        <v>10887.536</v>
      </c>
      <c r="M359" s="70"/>
      <c r="N359" s="137">
        <f t="shared" si="96"/>
        <v>2.7500000000000002E-4</v>
      </c>
      <c r="O359" s="137">
        <f t="shared" si="97"/>
        <v>5.0000000000000002E-5</v>
      </c>
      <c r="R359" s="23"/>
      <c r="S359" s="23"/>
      <c r="T359" s="23"/>
      <c r="U359" s="23"/>
      <c r="V359" s="23"/>
      <c r="W359" s="23"/>
      <c r="X359" s="23"/>
      <c r="Y359" s="23"/>
      <c r="Z359" s="23"/>
      <c r="AA359" s="23"/>
      <c r="AB359" s="23"/>
    </row>
    <row r="360" spans="1:28" s="47" customFormat="1" x14ac:dyDescent="0.25">
      <c r="A360" s="26">
        <v>42787</v>
      </c>
      <c r="B360" s="47">
        <v>75828</v>
      </c>
      <c r="C360" s="47" t="s">
        <v>322</v>
      </c>
      <c r="D360" s="47">
        <v>1500</v>
      </c>
      <c r="E360" s="23">
        <v>6.91</v>
      </c>
      <c r="F360" s="23">
        <f t="shared" si="110"/>
        <v>10365</v>
      </c>
      <c r="G360" s="23">
        <f>F360*0.0275%</f>
        <v>2.8503750000000001</v>
      </c>
      <c r="H360" s="23">
        <f t="shared" si="112"/>
        <v>0.51824999999999999</v>
      </c>
      <c r="I360" s="23">
        <v>4</v>
      </c>
      <c r="J360" s="23">
        <v>0.2</v>
      </c>
      <c r="K360" s="23"/>
      <c r="L360" s="23">
        <f t="shared" si="113"/>
        <v>10372.368624999999</v>
      </c>
      <c r="M360" s="70"/>
      <c r="N360" s="137">
        <f t="shared" si="96"/>
        <v>2.7500000000000002E-4</v>
      </c>
      <c r="O360" s="137">
        <f t="shared" si="97"/>
        <v>4.9999999999999996E-5</v>
      </c>
      <c r="R360" s="23"/>
      <c r="S360" s="23"/>
      <c r="T360" s="23"/>
      <c r="U360" s="23"/>
      <c r="V360" s="23"/>
      <c r="W360" s="23"/>
      <c r="X360" s="23"/>
      <c r="Y360" s="23"/>
      <c r="Z360" s="23"/>
      <c r="AA360" s="23"/>
      <c r="AB360" s="23"/>
    </row>
    <row r="361" spans="1:28" s="47" customFormat="1" x14ac:dyDescent="0.25">
      <c r="A361" s="26">
        <v>42787</v>
      </c>
      <c r="B361" s="47">
        <v>75828</v>
      </c>
      <c r="C361" s="47" t="s">
        <v>323</v>
      </c>
      <c r="D361" s="47">
        <v>1700</v>
      </c>
      <c r="E361" s="23">
        <v>6</v>
      </c>
      <c r="F361" s="23">
        <f t="shared" si="110"/>
        <v>10200</v>
      </c>
      <c r="G361" s="23">
        <f t="shared" si="111"/>
        <v>2.8050000000000002</v>
      </c>
      <c r="H361" s="23">
        <f t="shared" si="112"/>
        <v>0.51</v>
      </c>
      <c r="I361" s="23">
        <v>4</v>
      </c>
      <c r="J361" s="23">
        <v>0.2</v>
      </c>
      <c r="K361" s="23"/>
      <c r="L361" s="23">
        <f t="shared" si="113"/>
        <v>10207.315000000001</v>
      </c>
      <c r="M361" s="70"/>
      <c r="N361" s="137">
        <f t="shared" si="96"/>
        <v>2.7500000000000002E-4</v>
      </c>
      <c r="O361" s="137">
        <f t="shared" si="97"/>
        <v>5.0000000000000002E-5</v>
      </c>
      <c r="R361" s="23"/>
      <c r="S361" s="23"/>
      <c r="T361" s="23"/>
      <c r="U361" s="23"/>
      <c r="V361" s="23"/>
      <c r="W361" s="23"/>
      <c r="X361" s="23"/>
      <c r="Y361" s="23"/>
      <c r="Z361" s="23"/>
      <c r="AA361" s="23"/>
      <c r="AB361" s="23"/>
    </row>
    <row r="362" spans="1:28" s="47" customFormat="1" x14ac:dyDescent="0.25">
      <c r="A362" s="26">
        <v>42787</v>
      </c>
      <c r="B362" s="47">
        <v>75828</v>
      </c>
      <c r="C362" s="47" t="s">
        <v>324</v>
      </c>
      <c r="D362" s="47">
        <v>1000</v>
      </c>
      <c r="E362" s="23">
        <v>9</v>
      </c>
      <c r="F362" s="23">
        <f t="shared" si="110"/>
        <v>9000</v>
      </c>
      <c r="G362" s="23">
        <f t="shared" si="111"/>
        <v>2.4750000000000001</v>
      </c>
      <c r="H362" s="23">
        <f t="shared" si="112"/>
        <v>0.45</v>
      </c>
      <c r="I362" s="23">
        <v>4</v>
      </c>
      <c r="J362" s="23">
        <v>0.2</v>
      </c>
      <c r="K362" s="23"/>
      <c r="L362" s="23">
        <f t="shared" si="113"/>
        <v>9006.9250000000011</v>
      </c>
      <c r="M362" s="70"/>
      <c r="N362" s="137">
        <f t="shared" si="96"/>
        <v>2.7500000000000002E-4</v>
      </c>
      <c r="O362" s="137">
        <f t="shared" si="97"/>
        <v>5.0000000000000002E-5</v>
      </c>
      <c r="R362" s="23"/>
      <c r="S362" s="23"/>
      <c r="T362" s="23"/>
      <c r="U362" s="23"/>
      <c r="V362" s="23"/>
      <c r="W362" s="23"/>
      <c r="X362" s="23"/>
      <c r="Y362" s="23"/>
      <c r="Z362" s="23"/>
      <c r="AA362" s="23"/>
      <c r="AB362" s="23"/>
    </row>
    <row r="363" spans="1:28" s="47" customFormat="1" x14ac:dyDescent="0.25">
      <c r="A363" s="26"/>
      <c r="E363" s="23"/>
      <c r="F363" s="19">
        <f>SUM(F355:F362)</f>
        <v>81745</v>
      </c>
      <c r="G363" s="19">
        <f>SUM(G355:G362)</f>
        <v>22.479875000000003</v>
      </c>
      <c r="H363" s="19">
        <f>SUM(H355:H362)</f>
        <v>4.0872500000000009</v>
      </c>
      <c r="I363" s="19">
        <f>SUM(I355:I362)</f>
        <v>32</v>
      </c>
      <c r="J363" s="19">
        <f>SUM(J355:J362)</f>
        <v>1.5999999999999999</v>
      </c>
      <c r="K363" s="19"/>
      <c r="L363" s="19">
        <f>SUM(L355:L362)</f>
        <v>81803.567125000001</v>
      </c>
      <c r="M363" s="70"/>
      <c r="N363" s="137"/>
      <c r="O363" s="137"/>
      <c r="R363" s="23"/>
      <c r="S363" s="23"/>
      <c r="T363" s="23"/>
      <c r="U363" s="23"/>
      <c r="V363" s="23"/>
      <c r="W363" s="23"/>
      <c r="X363" s="23"/>
      <c r="Y363" s="23"/>
      <c r="Z363" s="23"/>
      <c r="AA363" s="23"/>
      <c r="AB363" s="23"/>
    </row>
    <row r="364" spans="1:28" s="47" customFormat="1" x14ac:dyDescent="0.25">
      <c r="A364" s="26"/>
      <c r="E364" s="23"/>
      <c r="F364" s="19"/>
      <c r="G364" s="19"/>
      <c r="H364" s="19"/>
      <c r="I364" s="19"/>
      <c r="J364" s="19"/>
      <c r="K364" s="19"/>
      <c r="L364" s="19"/>
      <c r="M364" s="70"/>
      <c r="N364" s="137"/>
      <c r="O364" s="137"/>
      <c r="R364" s="23"/>
      <c r="S364" s="23"/>
      <c r="T364" s="23"/>
      <c r="U364" s="23"/>
      <c r="V364" s="23"/>
      <c r="W364" s="23"/>
      <c r="X364" s="23"/>
      <c r="Y364" s="23"/>
      <c r="Z364" s="23"/>
      <c r="AA364" s="23"/>
      <c r="AB364" s="23"/>
    </row>
    <row r="365" spans="1:28" s="47" customFormat="1" x14ac:dyDescent="0.25">
      <c r="A365" s="26">
        <v>42788</v>
      </c>
      <c r="B365" s="47">
        <v>76432</v>
      </c>
      <c r="C365" s="47" t="s">
        <v>315</v>
      </c>
      <c r="D365" s="47">
        <v>1200</v>
      </c>
      <c r="E365" s="23">
        <v>8.39</v>
      </c>
      <c r="F365" s="23">
        <f>D365*E365</f>
        <v>10068</v>
      </c>
      <c r="G365" s="23">
        <f t="shared" ref="G365" si="114">F365*0.0275%</f>
        <v>2.7687000000000004</v>
      </c>
      <c r="H365" s="23">
        <f>F365*0.005%</f>
        <v>0.50340000000000007</v>
      </c>
      <c r="I365" s="23">
        <v>4</v>
      </c>
      <c r="J365" s="23">
        <v>0.2</v>
      </c>
      <c r="K365" s="23"/>
      <c r="L365" s="23">
        <f>F365+G365+H365+I365</f>
        <v>10075.2721</v>
      </c>
      <c r="M365" s="70"/>
      <c r="N365" s="137">
        <f t="shared" si="96"/>
        <v>2.7500000000000002E-4</v>
      </c>
      <c r="O365" s="137">
        <f t="shared" si="97"/>
        <v>5.0000000000000009E-5</v>
      </c>
      <c r="R365" s="23"/>
      <c r="S365" s="23"/>
      <c r="T365" s="23"/>
      <c r="U365" s="23"/>
      <c r="V365" s="23"/>
      <c r="W365" s="23"/>
      <c r="X365" s="23"/>
      <c r="Y365" s="23"/>
      <c r="Z365" s="23"/>
      <c r="AA365" s="23"/>
      <c r="AB365" s="23"/>
    </row>
    <row r="366" spans="1:28" s="72" customFormat="1" x14ac:dyDescent="0.25">
      <c r="A366" s="71">
        <v>42788</v>
      </c>
      <c r="B366" s="72">
        <v>76432</v>
      </c>
      <c r="C366" s="72" t="s">
        <v>319</v>
      </c>
      <c r="D366" s="72">
        <v>2900</v>
      </c>
      <c r="E366" s="73">
        <v>4.1100000000000003</v>
      </c>
      <c r="F366" s="73">
        <f>D366*E366</f>
        <v>11919.000000000002</v>
      </c>
      <c r="G366" s="73">
        <f t="shared" ref="G366" si="115">F366*0.0275%</f>
        <v>3.2777250000000007</v>
      </c>
      <c r="H366" s="73">
        <f>F366*0.005%</f>
        <v>0.59595000000000009</v>
      </c>
      <c r="I366" s="73">
        <v>4</v>
      </c>
      <c r="J366" s="73">
        <v>0.2</v>
      </c>
      <c r="K366" s="73">
        <v>0</v>
      </c>
      <c r="L366" s="73">
        <f>F366-G366-H366-I366-K366</f>
        <v>11911.126325000001</v>
      </c>
      <c r="M366" s="70"/>
      <c r="N366" s="137">
        <f t="shared" si="96"/>
        <v>2.7500000000000002E-4</v>
      </c>
      <c r="O366" s="137">
        <f t="shared" si="97"/>
        <v>5.0000000000000002E-5</v>
      </c>
      <c r="R366" s="73"/>
      <c r="S366" s="73"/>
      <c r="T366" s="73"/>
      <c r="U366" s="73"/>
      <c r="V366" s="73"/>
      <c r="W366" s="73"/>
      <c r="X366" s="73"/>
      <c r="Y366" s="73"/>
      <c r="Z366" s="73"/>
      <c r="AA366" s="73"/>
      <c r="AB366" s="73"/>
    </row>
    <row r="367" spans="1:28" s="47" customFormat="1" x14ac:dyDescent="0.25">
      <c r="A367" s="26"/>
      <c r="E367" s="23"/>
      <c r="F367" s="74">
        <f>F366-F365</f>
        <v>1851.0000000000018</v>
      </c>
      <c r="G367" s="19">
        <f>SUM(G365:G366)</f>
        <v>6.046425000000001</v>
      </c>
      <c r="H367" s="19">
        <f>SUM(H365:H366)</f>
        <v>1.0993500000000003</v>
      </c>
      <c r="I367" s="19">
        <f>SUM(I365:I366)</f>
        <v>8</v>
      </c>
      <c r="J367" s="19">
        <f>SUM(J365:J366)</f>
        <v>0.4</v>
      </c>
      <c r="K367" s="19"/>
      <c r="L367" s="74">
        <f>L366-L365</f>
        <v>1835.854225000001</v>
      </c>
      <c r="M367" s="70"/>
      <c r="N367" s="137"/>
      <c r="O367" s="137"/>
      <c r="R367" s="23"/>
      <c r="S367" s="23"/>
      <c r="T367" s="23"/>
      <c r="U367" s="23"/>
      <c r="V367" s="23"/>
      <c r="W367" s="23"/>
      <c r="X367" s="23"/>
      <c r="Y367" s="23"/>
      <c r="Z367" s="23"/>
      <c r="AA367" s="23"/>
      <c r="AB367" s="23"/>
    </row>
    <row r="368" spans="1:28" x14ac:dyDescent="0.25">
      <c r="A368" s="10"/>
      <c r="E368" s="36"/>
      <c r="M368" s="70"/>
      <c r="N368" s="137"/>
      <c r="O368" s="137"/>
    </row>
    <row r="369" spans="1:28" s="47" customFormat="1" x14ac:dyDescent="0.25">
      <c r="A369" s="26">
        <v>42797</v>
      </c>
      <c r="B369" s="47">
        <v>78820</v>
      </c>
      <c r="C369" s="47" t="s">
        <v>314</v>
      </c>
      <c r="D369" s="47">
        <v>2400</v>
      </c>
      <c r="E369" s="23">
        <v>1.46</v>
      </c>
      <c r="F369" s="23">
        <f>D369*E369</f>
        <v>3504</v>
      </c>
      <c r="G369" s="23">
        <f t="shared" ref="G369:G370" si="116">F369*0.0275%</f>
        <v>0.96360000000000001</v>
      </c>
      <c r="H369" s="23">
        <f>F369*0.005%</f>
        <v>0.17519999999999999</v>
      </c>
      <c r="I369" s="23">
        <v>4</v>
      </c>
      <c r="J369" s="23">
        <v>0.2</v>
      </c>
      <c r="K369" s="23"/>
      <c r="L369" s="23">
        <f>F369+G369+H369+I369</f>
        <v>3509.1388000000002</v>
      </c>
      <c r="M369" s="70"/>
      <c r="N369" s="137">
        <f t="shared" si="96"/>
        <v>2.7500000000000002E-4</v>
      </c>
      <c r="O369" s="137">
        <f t="shared" si="97"/>
        <v>4.9999999999999996E-5</v>
      </c>
      <c r="R369" s="23"/>
      <c r="S369" s="23"/>
      <c r="T369" s="23"/>
      <c r="U369" s="23"/>
      <c r="V369" s="23"/>
      <c r="W369" s="23"/>
      <c r="X369" s="23"/>
      <c r="Y369" s="23"/>
      <c r="Z369" s="23"/>
      <c r="AA369" s="23"/>
      <c r="AB369" s="23"/>
    </row>
    <row r="370" spans="1:28" s="47" customFormat="1" x14ac:dyDescent="0.25">
      <c r="A370" s="26">
        <v>42797</v>
      </c>
      <c r="B370" s="47">
        <v>78820</v>
      </c>
      <c r="C370" s="47" t="s">
        <v>325</v>
      </c>
      <c r="D370" s="47">
        <v>1100</v>
      </c>
      <c r="E370" s="23">
        <v>3.78</v>
      </c>
      <c r="F370" s="23">
        <f>D370*E370</f>
        <v>4158</v>
      </c>
      <c r="G370" s="23">
        <f t="shared" si="116"/>
        <v>1.1434500000000001</v>
      </c>
      <c r="H370" s="23">
        <f>F370*0.005%</f>
        <v>0.2079</v>
      </c>
      <c r="I370" s="23">
        <v>4</v>
      </c>
      <c r="J370" s="23">
        <v>0.2</v>
      </c>
      <c r="K370" s="23"/>
      <c r="L370" s="23">
        <f>F370+G370+H370+I370</f>
        <v>4163.3513499999999</v>
      </c>
      <c r="M370" s="70"/>
      <c r="N370" s="137">
        <f t="shared" si="96"/>
        <v>2.7500000000000002E-4</v>
      </c>
      <c r="O370" s="137">
        <f t="shared" si="97"/>
        <v>5.0000000000000002E-5</v>
      </c>
      <c r="R370" s="23"/>
      <c r="S370" s="23"/>
      <c r="T370" s="23"/>
      <c r="U370" s="23"/>
      <c r="V370" s="23"/>
      <c r="W370" s="23"/>
      <c r="X370" s="23"/>
      <c r="Y370" s="23"/>
      <c r="Z370" s="23"/>
      <c r="AA370" s="23"/>
      <c r="AB370" s="23"/>
    </row>
    <row r="371" spans="1:28" s="47" customFormat="1" x14ac:dyDescent="0.25">
      <c r="A371" s="26"/>
      <c r="E371" s="23"/>
      <c r="F371" s="19">
        <f>SUM(F369:F370)</f>
        <v>7662</v>
      </c>
      <c r="G371" s="19">
        <f>SUM(G369:G370)</f>
        <v>2.1070500000000001</v>
      </c>
      <c r="H371" s="19">
        <f>SUM(H369:H370)</f>
        <v>0.3831</v>
      </c>
      <c r="I371" s="19">
        <f>SUM(I369:I370)</f>
        <v>8</v>
      </c>
      <c r="J371" s="19">
        <f>SUM(J369:J370)</f>
        <v>0.4</v>
      </c>
      <c r="K371" s="19"/>
      <c r="L371" s="19">
        <f>SUM(L369:L370)</f>
        <v>7672.4901499999996</v>
      </c>
      <c r="M371" s="70"/>
      <c r="N371" s="137"/>
      <c r="O371" s="137"/>
      <c r="R371" s="23"/>
      <c r="S371" s="23"/>
      <c r="T371" s="23"/>
      <c r="U371" s="23"/>
      <c r="V371" s="23"/>
      <c r="W371" s="23"/>
      <c r="X371" s="23"/>
      <c r="Y371" s="23"/>
      <c r="Z371" s="23"/>
      <c r="AA371" s="23"/>
      <c r="AB371" s="23"/>
    </row>
    <row r="372" spans="1:28" x14ac:dyDescent="0.25">
      <c r="A372" s="10"/>
      <c r="I372" s="36"/>
      <c r="M372" s="70"/>
      <c r="N372" s="137"/>
      <c r="O372" s="137"/>
    </row>
    <row r="373" spans="1:28" s="72" customFormat="1" x14ac:dyDescent="0.25">
      <c r="A373" s="71">
        <v>42800</v>
      </c>
      <c r="B373" s="72">
        <v>79312</v>
      </c>
      <c r="C373" s="72" t="s">
        <v>323</v>
      </c>
      <c r="D373" s="72">
        <v>1700</v>
      </c>
      <c r="E373" s="73">
        <v>6.51</v>
      </c>
      <c r="F373" s="73">
        <f>D373*E373</f>
        <v>11067</v>
      </c>
      <c r="G373" s="73">
        <f t="shared" ref="G373" si="117">F373*0.0275%</f>
        <v>3.043425</v>
      </c>
      <c r="H373" s="73">
        <f>F373*0.007%</f>
        <v>0.7746900000000001</v>
      </c>
      <c r="I373" s="73">
        <v>8.99</v>
      </c>
      <c r="J373" s="73">
        <v>0.44</v>
      </c>
      <c r="K373" s="73">
        <v>0</v>
      </c>
      <c r="L373" s="73">
        <f>F373-G373-H373-I373-K373</f>
        <v>11054.191885</v>
      </c>
      <c r="M373" s="70"/>
      <c r="N373" s="137">
        <f t="shared" si="96"/>
        <v>2.7500000000000002E-4</v>
      </c>
      <c r="O373" s="139">
        <f t="shared" si="97"/>
        <v>7.0000000000000007E-5</v>
      </c>
      <c r="R373" s="73"/>
      <c r="S373" s="73"/>
      <c r="T373" s="73"/>
      <c r="U373" s="73"/>
      <c r="V373" s="73"/>
      <c r="W373" s="73"/>
      <c r="X373" s="73"/>
      <c r="Y373" s="73"/>
      <c r="Z373" s="73"/>
      <c r="AA373" s="73"/>
      <c r="AB373" s="73"/>
    </row>
    <row r="374" spans="1:28" x14ac:dyDescent="0.25">
      <c r="A374" s="30"/>
      <c r="B374" s="66"/>
      <c r="C374" s="66"/>
      <c r="D374" s="66"/>
      <c r="E374" s="36"/>
      <c r="G374" s="36"/>
      <c r="H374" s="36"/>
      <c r="I374" s="36"/>
      <c r="J374" s="36"/>
      <c r="K374" s="36"/>
      <c r="M374" s="70"/>
      <c r="N374" s="137"/>
      <c r="O374" s="137"/>
    </row>
    <row r="375" spans="1:28" s="47" customFormat="1" x14ac:dyDescent="0.25">
      <c r="A375" s="26">
        <v>42801</v>
      </c>
      <c r="B375" s="47">
        <v>79780</v>
      </c>
      <c r="C375" s="47" t="s">
        <v>306</v>
      </c>
      <c r="D375" s="47">
        <v>600</v>
      </c>
      <c r="E375" s="23">
        <v>18</v>
      </c>
      <c r="F375" s="23">
        <f>D375*E375</f>
        <v>10800</v>
      </c>
      <c r="G375" s="23">
        <f t="shared" ref="G375" si="118">F375*0.0275%</f>
        <v>2.97</v>
      </c>
      <c r="H375" s="23">
        <f>F375*0.005%</f>
        <v>0.54</v>
      </c>
      <c r="I375" s="23">
        <v>4</v>
      </c>
      <c r="J375" s="23">
        <v>0.2</v>
      </c>
      <c r="K375" s="23"/>
      <c r="L375" s="23">
        <f>F375+G375+H375+I375</f>
        <v>10807.51</v>
      </c>
      <c r="M375" s="70"/>
      <c r="N375" s="137">
        <f t="shared" si="96"/>
        <v>2.7500000000000002E-4</v>
      </c>
      <c r="O375" s="137">
        <f t="shared" si="97"/>
        <v>5.0000000000000002E-5</v>
      </c>
      <c r="R375" s="23"/>
      <c r="S375" s="23"/>
      <c r="T375" s="23"/>
      <c r="U375" s="23"/>
      <c r="V375" s="23"/>
      <c r="W375" s="23"/>
      <c r="X375" s="23"/>
      <c r="Y375" s="23"/>
      <c r="Z375" s="23"/>
      <c r="AA375" s="23"/>
      <c r="AB375" s="23"/>
    </row>
    <row r="376" spans="1:28" x14ac:dyDescent="0.25">
      <c r="A376" s="10"/>
      <c r="M376" s="70"/>
      <c r="N376" s="137"/>
      <c r="O376" s="137"/>
    </row>
    <row r="377" spans="1:28" s="47" customFormat="1" x14ac:dyDescent="0.25">
      <c r="A377" s="26">
        <v>42811</v>
      </c>
      <c r="B377" s="47">
        <v>83721</v>
      </c>
      <c r="C377" s="47" t="s">
        <v>326</v>
      </c>
      <c r="D377" s="47">
        <v>3800</v>
      </c>
      <c r="E377" s="23">
        <v>3.07</v>
      </c>
      <c r="F377" s="23">
        <f>D377*E377</f>
        <v>11666</v>
      </c>
      <c r="G377" s="23">
        <f t="shared" ref="G377" si="119">F377*0.0275%</f>
        <v>3.2081500000000003</v>
      </c>
      <c r="H377" s="23">
        <f>F377*0.005%</f>
        <v>0.58330000000000004</v>
      </c>
      <c r="I377" s="23">
        <v>4</v>
      </c>
      <c r="J377" s="23">
        <v>0.2</v>
      </c>
      <c r="K377" s="23"/>
      <c r="L377" s="23">
        <f>F377+G377+H377+I377</f>
        <v>11673.791450000001</v>
      </c>
      <c r="M377" s="70"/>
      <c r="N377" s="137">
        <f t="shared" si="96"/>
        <v>2.7500000000000002E-4</v>
      </c>
      <c r="O377" s="137">
        <f t="shared" si="97"/>
        <v>5.0000000000000002E-5</v>
      </c>
      <c r="R377" s="23"/>
      <c r="S377" s="23"/>
      <c r="T377" s="23"/>
      <c r="U377" s="23"/>
      <c r="V377" s="23"/>
      <c r="W377" s="23"/>
      <c r="X377" s="23"/>
      <c r="Y377" s="23"/>
      <c r="Z377" s="23"/>
      <c r="AA377" s="23"/>
      <c r="AB377" s="23"/>
    </row>
    <row r="378" spans="1:28" s="72" customFormat="1" x14ac:dyDescent="0.25">
      <c r="A378" s="71">
        <v>42811</v>
      </c>
      <c r="B378" s="72">
        <v>83721</v>
      </c>
      <c r="C378" s="72" t="s">
        <v>321</v>
      </c>
      <c r="D378" s="72">
        <v>400</v>
      </c>
      <c r="E378" s="73">
        <v>29.25</v>
      </c>
      <c r="F378" s="73">
        <f>D378*E378</f>
        <v>11700</v>
      </c>
      <c r="G378" s="73">
        <f t="shared" ref="G378" si="120">F378*0.0275%</f>
        <v>3.2175000000000002</v>
      </c>
      <c r="H378" s="73">
        <f>F378*0.005%</f>
        <v>0.58500000000000008</v>
      </c>
      <c r="I378" s="73">
        <v>4</v>
      </c>
      <c r="J378" s="73">
        <v>0.2</v>
      </c>
      <c r="K378" s="73">
        <v>0</v>
      </c>
      <c r="L378" s="73">
        <f>F378-G378-H378-I378-K378</f>
        <v>11692.1975</v>
      </c>
      <c r="M378" s="70"/>
      <c r="N378" s="137">
        <f t="shared" si="96"/>
        <v>2.7500000000000002E-4</v>
      </c>
      <c r="O378" s="137">
        <f t="shared" si="97"/>
        <v>5.0000000000000009E-5</v>
      </c>
      <c r="R378" s="73"/>
      <c r="S378" s="73"/>
      <c r="T378" s="73"/>
      <c r="U378" s="73"/>
      <c r="V378" s="73"/>
      <c r="W378" s="73"/>
      <c r="X378" s="73"/>
      <c r="Y378" s="73"/>
      <c r="Z378" s="73"/>
      <c r="AA378" s="73"/>
      <c r="AB378" s="73"/>
    </row>
    <row r="379" spans="1:28" s="47" customFormat="1" x14ac:dyDescent="0.25">
      <c r="A379" s="26"/>
      <c r="E379" s="23"/>
      <c r="F379" s="74">
        <f>F378-F377</f>
        <v>34</v>
      </c>
      <c r="G379" s="19">
        <f>SUM(G377:G378)</f>
        <v>6.425650000000001</v>
      </c>
      <c r="H379" s="19">
        <f>SUM(H377:H378)</f>
        <v>1.1683000000000001</v>
      </c>
      <c r="I379" s="19">
        <f>SUM(I377:I378)</f>
        <v>8</v>
      </c>
      <c r="J379" s="19">
        <f>SUM(J377:J378)</f>
        <v>0.4</v>
      </c>
      <c r="K379" s="19"/>
      <c r="L379" s="74">
        <f>L378-L377</f>
        <v>18.406049999999595</v>
      </c>
      <c r="M379" s="70"/>
      <c r="N379" s="137"/>
      <c r="O379" s="137"/>
      <c r="R379" s="23"/>
      <c r="S379" s="23"/>
      <c r="T379" s="23"/>
      <c r="U379" s="23"/>
      <c r="V379" s="23"/>
      <c r="W379" s="23"/>
      <c r="X379" s="23"/>
      <c r="Y379" s="23"/>
      <c r="Z379" s="23"/>
      <c r="AA379" s="23"/>
      <c r="AB379" s="23"/>
    </row>
    <row r="380" spans="1:28" x14ac:dyDescent="0.25">
      <c r="A380" s="30"/>
      <c r="B380" s="66"/>
      <c r="C380" s="66"/>
      <c r="D380" s="66"/>
      <c r="E380" s="36"/>
      <c r="G380" s="36"/>
      <c r="H380" s="36"/>
      <c r="I380" s="36"/>
      <c r="J380" s="36"/>
      <c r="K380" s="36"/>
      <c r="M380" s="70"/>
      <c r="N380" s="137"/>
      <c r="O380" s="137"/>
    </row>
    <row r="381" spans="1:28" s="72" customFormat="1" x14ac:dyDescent="0.25">
      <c r="A381" s="71">
        <v>42823</v>
      </c>
      <c r="B381" s="72">
        <v>87257</v>
      </c>
      <c r="C381" s="72" t="s">
        <v>274</v>
      </c>
      <c r="D381" s="72">
        <v>700</v>
      </c>
      <c r="E381" s="73">
        <v>16.368600000000001</v>
      </c>
      <c r="F381" s="73">
        <f>D381*E381</f>
        <v>11458.02</v>
      </c>
      <c r="G381" s="73">
        <f t="shared" ref="G381" si="121">F381*0.0275%</f>
        <v>3.1509555000000002</v>
      </c>
      <c r="H381" s="73">
        <f>F381*0.005%</f>
        <v>0.5729010000000001</v>
      </c>
      <c r="I381" s="73">
        <v>4</v>
      </c>
      <c r="J381" s="73">
        <v>0.2</v>
      </c>
      <c r="K381" s="73">
        <v>0</v>
      </c>
      <c r="L381" s="73">
        <f>F381-G381-H381-I381-K381</f>
        <v>11450.296143500002</v>
      </c>
      <c r="M381" s="70"/>
      <c r="N381" s="137">
        <f t="shared" si="96"/>
        <v>2.7500000000000002E-4</v>
      </c>
      <c r="O381" s="137">
        <f t="shared" si="97"/>
        <v>5.0000000000000009E-5</v>
      </c>
      <c r="R381" s="73"/>
      <c r="S381" s="73"/>
      <c r="T381" s="73"/>
      <c r="U381" s="73"/>
      <c r="V381" s="73"/>
      <c r="W381" s="73"/>
      <c r="X381" s="73"/>
      <c r="Y381" s="73"/>
      <c r="Z381" s="73"/>
      <c r="AA381" s="73"/>
      <c r="AB381" s="73"/>
    </row>
    <row r="382" spans="1:28" x14ac:dyDescent="0.25">
      <c r="A382" s="30"/>
      <c r="B382" s="66"/>
      <c r="C382" s="66"/>
      <c r="D382" s="66"/>
      <c r="E382" s="36"/>
      <c r="G382" s="36"/>
      <c r="H382" s="36"/>
      <c r="I382" s="36"/>
      <c r="J382" s="36"/>
      <c r="K382" s="36"/>
      <c r="M382" s="70"/>
      <c r="N382" s="137"/>
      <c r="O382" s="137"/>
    </row>
    <row r="383" spans="1:28" s="47" customFormat="1" x14ac:dyDescent="0.25">
      <c r="A383" s="26">
        <v>42836</v>
      </c>
      <c r="B383" s="47">
        <v>91074</v>
      </c>
      <c r="C383" s="47" t="s">
        <v>312</v>
      </c>
      <c r="D383" s="47">
        <v>3100</v>
      </c>
      <c r="E383" s="23">
        <v>3.95</v>
      </c>
      <c r="F383" s="23">
        <f>D383*E383</f>
        <v>12245</v>
      </c>
      <c r="G383" s="23">
        <f t="shared" ref="G383" si="122">F383*0.0275%</f>
        <v>3.367375</v>
      </c>
      <c r="H383" s="23">
        <f>F383*0.005%</f>
        <v>0.61225000000000007</v>
      </c>
      <c r="I383" s="23">
        <v>4</v>
      </c>
      <c r="J383" s="23">
        <v>0.2</v>
      </c>
      <c r="K383" s="23"/>
      <c r="L383" s="23">
        <f>F383+G383+H383+I383</f>
        <v>12252.979625</v>
      </c>
      <c r="M383" s="70"/>
      <c r="N383" s="137">
        <f t="shared" si="96"/>
        <v>2.7500000000000002E-4</v>
      </c>
      <c r="O383" s="137">
        <f t="shared" si="97"/>
        <v>5.0000000000000009E-5</v>
      </c>
      <c r="R383" s="23"/>
      <c r="S383" s="23"/>
      <c r="T383" s="23"/>
      <c r="U383" s="23"/>
      <c r="V383" s="23"/>
      <c r="W383" s="23"/>
      <c r="X383" s="23"/>
      <c r="Y383" s="23"/>
      <c r="Z383" s="23"/>
      <c r="AA383" s="23"/>
      <c r="AB383" s="23"/>
    </row>
    <row r="384" spans="1:28" s="72" customFormat="1" x14ac:dyDescent="0.25">
      <c r="A384" s="71">
        <v>42836</v>
      </c>
      <c r="B384" s="72">
        <v>91074</v>
      </c>
      <c r="C384" s="72" t="s">
        <v>315</v>
      </c>
      <c r="D384" s="72">
        <v>1200</v>
      </c>
      <c r="E384" s="73">
        <v>10.24</v>
      </c>
      <c r="F384" s="73">
        <f>D384*E384</f>
        <v>12288</v>
      </c>
      <c r="G384" s="73">
        <f t="shared" ref="G384" si="123">F384*0.0275%</f>
        <v>3.3792</v>
      </c>
      <c r="H384" s="73">
        <f>F384*0.005%</f>
        <v>0.61440000000000006</v>
      </c>
      <c r="I384" s="73">
        <v>4</v>
      </c>
      <c r="J384" s="73">
        <v>0.2</v>
      </c>
      <c r="K384" s="73">
        <v>0</v>
      </c>
      <c r="L384" s="73">
        <f>F384-G384-H384-I384-K384</f>
        <v>12280.0064</v>
      </c>
      <c r="M384" s="70"/>
      <c r="N384" s="137">
        <f t="shared" si="96"/>
        <v>2.7500000000000002E-4</v>
      </c>
      <c r="O384" s="137">
        <f t="shared" si="97"/>
        <v>5.0000000000000002E-5</v>
      </c>
      <c r="R384" s="73"/>
      <c r="S384" s="73"/>
      <c r="T384" s="73"/>
      <c r="U384" s="73"/>
      <c r="V384" s="73"/>
      <c r="W384" s="73"/>
      <c r="X384" s="73"/>
      <c r="Y384" s="73"/>
      <c r="Z384" s="73"/>
      <c r="AA384" s="73"/>
      <c r="AB384" s="73"/>
    </row>
    <row r="385" spans="1:28" s="47" customFormat="1" x14ac:dyDescent="0.25">
      <c r="A385" s="26"/>
      <c r="E385" s="23"/>
      <c r="F385" s="74">
        <f>F384-F383</f>
        <v>43</v>
      </c>
      <c r="G385" s="19">
        <f>SUM(G383:G384)</f>
        <v>6.746575</v>
      </c>
      <c r="H385" s="19">
        <f>SUM(H383:H384)</f>
        <v>1.2266500000000002</v>
      </c>
      <c r="I385" s="19">
        <f>SUM(I383:I384)</f>
        <v>8</v>
      </c>
      <c r="J385" s="19">
        <f>SUM(J383:J384)</f>
        <v>0.4</v>
      </c>
      <c r="K385" s="19"/>
      <c r="L385" s="74">
        <f>L384-L383</f>
        <v>27.026775000000271</v>
      </c>
      <c r="M385" s="70"/>
      <c r="N385" s="137"/>
      <c r="O385" s="137"/>
      <c r="R385" s="23"/>
      <c r="S385" s="23"/>
      <c r="T385" s="23"/>
      <c r="U385" s="23"/>
      <c r="V385" s="23"/>
      <c r="W385" s="23"/>
      <c r="X385" s="23"/>
      <c r="Y385" s="23"/>
      <c r="Z385" s="23"/>
      <c r="AA385" s="23"/>
      <c r="AB385" s="23"/>
    </row>
    <row r="386" spans="1:28" x14ac:dyDescent="0.25">
      <c r="A386" s="30"/>
      <c r="B386" s="66"/>
      <c r="C386" s="66"/>
      <c r="D386" s="66"/>
      <c r="E386" s="36"/>
      <c r="G386" s="36"/>
      <c r="H386" s="36"/>
      <c r="I386" s="36"/>
      <c r="J386" s="36"/>
      <c r="K386" s="36"/>
      <c r="M386" s="70"/>
      <c r="N386" s="137"/>
      <c r="O386" s="137"/>
    </row>
    <row r="387" spans="1:28" s="72" customFormat="1" x14ac:dyDescent="0.25">
      <c r="A387" s="71">
        <v>42849</v>
      </c>
      <c r="B387" s="72">
        <v>94280</v>
      </c>
      <c r="C387" s="72" t="s">
        <v>277</v>
      </c>
      <c r="D387" s="72">
        <v>4000</v>
      </c>
      <c r="E387" s="73">
        <v>2.89</v>
      </c>
      <c r="F387" s="73">
        <f>D387*E387</f>
        <v>11560</v>
      </c>
      <c r="G387" s="73">
        <f t="shared" ref="G387" si="124">F387*0.0275%</f>
        <v>3.1790000000000003</v>
      </c>
      <c r="H387" s="73">
        <f>F387*0.007%</f>
        <v>0.80920000000000003</v>
      </c>
      <c r="I387" s="73">
        <v>8.99</v>
      </c>
      <c r="J387" s="73">
        <v>0.44</v>
      </c>
      <c r="K387" s="73">
        <v>0</v>
      </c>
      <c r="L387" s="73">
        <f>F387-G387-H387-I387-K387</f>
        <v>11547.0218</v>
      </c>
      <c r="M387" s="70"/>
      <c r="N387" s="137">
        <f t="shared" ref="N387:N449" si="125">G387/F387</f>
        <v>2.7500000000000002E-4</v>
      </c>
      <c r="O387" s="139">
        <f t="shared" ref="O387:O449" si="126">H387/F387</f>
        <v>7.0000000000000007E-5</v>
      </c>
      <c r="R387" s="73"/>
      <c r="S387" s="73"/>
      <c r="T387" s="73"/>
      <c r="U387" s="73"/>
      <c r="V387" s="73"/>
      <c r="W387" s="73"/>
      <c r="X387" s="73"/>
      <c r="Y387" s="73"/>
      <c r="Z387" s="73"/>
      <c r="AA387" s="73"/>
      <c r="AB387" s="73"/>
    </row>
    <row r="388" spans="1:28" s="66" customFormat="1" x14ac:dyDescent="0.25">
      <c r="A388" s="30"/>
      <c r="E388" s="36"/>
      <c r="F388" s="36"/>
      <c r="G388" s="36"/>
      <c r="H388" s="36"/>
      <c r="I388" s="36"/>
      <c r="J388" s="36"/>
      <c r="K388" s="36"/>
      <c r="L388" s="36"/>
      <c r="M388" s="70"/>
      <c r="N388" s="137"/>
      <c r="O388" s="137"/>
      <c r="R388" s="36"/>
      <c r="S388" s="36"/>
      <c r="T388" s="36"/>
      <c r="U388" s="36"/>
      <c r="V388" s="36"/>
      <c r="W388" s="36"/>
      <c r="X388" s="36"/>
      <c r="Y388" s="36"/>
      <c r="Z388" s="36"/>
      <c r="AA388" s="36"/>
      <c r="AB388" s="36"/>
    </row>
    <row r="389" spans="1:28" s="66" customFormat="1" x14ac:dyDescent="0.25">
      <c r="A389" s="71">
        <v>42857</v>
      </c>
      <c r="B389" s="72">
        <v>96573</v>
      </c>
      <c r="C389" s="72" t="s">
        <v>322</v>
      </c>
      <c r="D389" s="72">
        <v>1500</v>
      </c>
      <c r="E389" s="73">
        <v>7.48</v>
      </c>
      <c r="F389" s="73">
        <f>D389*E389</f>
        <v>11220</v>
      </c>
      <c r="G389" s="73">
        <f t="shared" ref="G389" si="127">F389*0.0275%</f>
        <v>3.0855000000000001</v>
      </c>
      <c r="H389" s="73">
        <f>F389*0.005%</f>
        <v>0.56100000000000005</v>
      </c>
      <c r="I389" s="73">
        <v>8.99</v>
      </c>
      <c r="J389" s="73">
        <v>0.44</v>
      </c>
      <c r="K389" s="73">
        <v>0</v>
      </c>
      <c r="L389" s="73">
        <f>F389-G389-H389-I389-K389</f>
        <v>11207.363500000001</v>
      </c>
      <c r="M389" s="70"/>
      <c r="N389" s="137">
        <f t="shared" si="125"/>
        <v>2.7500000000000002E-4</v>
      </c>
      <c r="O389" s="137">
        <f t="shared" si="126"/>
        <v>5.0000000000000002E-5</v>
      </c>
      <c r="R389" s="36"/>
      <c r="S389" s="36"/>
      <c r="T389" s="36"/>
      <c r="U389" s="36"/>
      <c r="V389" s="36"/>
      <c r="W389" s="36"/>
      <c r="X389" s="36"/>
      <c r="Y389" s="36"/>
      <c r="Z389" s="36"/>
      <c r="AA389" s="36"/>
      <c r="AB389" s="36"/>
    </row>
    <row r="390" spans="1:28" s="66" customFormat="1" x14ac:dyDescent="0.25">
      <c r="A390" s="71"/>
      <c r="B390" s="72"/>
      <c r="C390" s="72"/>
      <c r="D390" s="72"/>
      <c r="E390" s="73"/>
      <c r="F390" s="73"/>
      <c r="G390" s="73"/>
      <c r="H390" s="73"/>
      <c r="I390" s="73"/>
      <c r="J390" s="73"/>
      <c r="K390" s="73"/>
      <c r="L390" s="73"/>
      <c r="M390" s="70"/>
      <c r="N390" s="137"/>
      <c r="O390" s="137"/>
      <c r="R390" s="36"/>
      <c r="S390" s="36"/>
      <c r="T390" s="36"/>
      <c r="U390" s="36"/>
      <c r="V390" s="36"/>
      <c r="W390" s="36"/>
      <c r="X390" s="36"/>
      <c r="Y390" s="36"/>
      <c r="Z390" s="36"/>
      <c r="AA390" s="36"/>
      <c r="AB390" s="36"/>
    </row>
    <row r="391" spans="1:28" s="66" customFormat="1" x14ac:dyDescent="0.25">
      <c r="A391" s="26">
        <v>42858</v>
      </c>
      <c r="B391" s="47">
        <v>97178</v>
      </c>
      <c r="C391" s="47" t="s">
        <v>267</v>
      </c>
      <c r="D391" s="47">
        <v>700</v>
      </c>
      <c r="E391" s="23">
        <v>9.57</v>
      </c>
      <c r="F391" s="23">
        <f t="shared" ref="F391:F397" si="128">D391*E391</f>
        <v>6699</v>
      </c>
      <c r="G391" s="23">
        <f t="shared" ref="G391:G397" si="129">F391*0.0275%</f>
        <v>1.842225</v>
      </c>
      <c r="H391" s="23">
        <f t="shared" ref="H391:H397" si="130">F391*0.005%</f>
        <v>0.33495000000000003</v>
      </c>
      <c r="I391" s="23">
        <v>4</v>
      </c>
      <c r="J391" s="23">
        <v>0.2</v>
      </c>
      <c r="L391" s="23">
        <f>F391+G391+H391+I391</f>
        <v>6705.1771750000007</v>
      </c>
      <c r="M391" s="70"/>
      <c r="N391" s="137">
        <f t="shared" si="125"/>
        <v>2.7500000000000002E-4</v>
      </c>
      <c r="O391" s="137">
        <f t="shared" si="126"/>
        <v>5.0000000000000002E-5</v>
      </c>
      <c r="R391" s="36"/>
      <c r="S391" s="36"/>
      <c r="T391" s="36"/>
      <c r="U391" s="36"/>
      <c r="V391" s="36"/>
      <c r="W391" s="36"/>
      <c r="X391" s="36"/>
      <c r="Y391" s="36"/>
      <c r="Z391" s="36"/>
      <c r="AA391" s="36"/>
      <c r="AB391" s="36"/>
    </row>
    <row r="392" spans="1:28" s="66" customFormat="1" x14ac:dyDescent="0.25">
      <c r="A392" s="26">
        <v>42858</v>
      </c>
      <c r="B392" s="47">
        <v>97178</v>
      </c>
      <c r="C392" s="47" t="s">
        <v>269</v>
      </c>
      <c r="D392" s="47">
        <v>300</v>
      </c>
      <c r="E392" s="23">
        <v>25.75</v>
      </c>
      <c r="F392" s="23">
        <f>D392*E392</f>
        <v>7725</v>
      </c>
      <c r="G392" s="23">
        <f>F392*0.0275%</f>
        <v>2.1243750000000001</v>
      </c>
      <c r="H392" s="23">
        <f>F392*0.005%</f>
        <v>0.38625000000000004</v>
      </c>
      <c r="I392" s="23">
        <v>4</v>
      </c>
      <c r="J392" s="23">
        <v>0.2</v>
      </c>
      <c r="L392" s="23">
        <f>F392+G392+H392+I392</f>
        <v>7731.5106249999999</v>
      </c>
      <c r="M392" s="70"/>
      <c r="N392" s="137">
        <f t="shared" si="125"/>
        <v>2.7500000000000002E-4</v>
      </c>
      <c r="O392" s="137">
        <f t="shared" si="126"/>
        <v>5.0000000000000002E-5</v>
      </c>
      <c r="R392" s="36"/>
      <c r="S392" s="36"/>
      <c r="T392" s="36"/>
      <c r="U392" s="36"/>
      <c r="V392" s="36"/>
      <c r="W392" s="36"/>
      <c r="X392" s="36"/>
      <c r="Y392" s="36"/>
      <c r="Z392" s="36"/>
      <c r="AA392" s="36"/>
      <c r="AB392" s="36"/>
    </row>
    <row r="393" spans="1:28" s="47" customFormat="1" x14ac:dyDescent="0.25">
      <c r="A393" s="26"/>
      <c r="E393" s="23"/>
      <c r="F393" s="19">
        <f>SUM(F391:F392)</f>
        <v>14424</v>
      </c>
      <c r="G393" s="19">
        <f>SUM(G391:G392)</f>
        <v>3.9666000000000001</v>
      </c>
      <c r="H393" s="19">
        <f>SUM(H391:H392)</f>
        <v>0.72120000000000006</v>
      </c>
      <c r="I393" s="19">
        <f>SUM(I391:I392)</f>
        <v>8</v>
      </c>
      <c r="J393" s="19">
        <f>SUM(J391:J392)</f>
        <v>0.4</v>
      </c>
      <c r="K393" s="19"/>
      <c r="L393" s="19">
        <f>SUM(L391:L392)</f>
        <v>14436.6878</v>
      </c>
      <c r="M393" s="70"/>
      <c r="N393" s="137"/>
      <c r="O393" s="137"/>
      <c r="R393" s="23"/>
      <c r="S393" s="23"/>
      <c r="T393" s="23"/>
      <c r="U393" s="23"/>
      <c r="V393" s="23"/>
      <c r="W393" s="23"/>
      <c r="X393" s="23"/>
      <c r="Y393" s="23"/>
      <c r="Z393" s="23"/>
      <c r="AA393" s="23"/>
      <c r="AB393" s="23"/>
    </row>
    <row r="394" spans="1:28" s="66" customFormat="1" x14ac:dyDescent="0.25">
      <c r="A394" s="26"/>
      <c r="B394" s="47"/>
      <c r="C394" s="47"/>
      <c r="D394" s="47"/>
      <c r="E394" s="23"/>
      <c r="F394" s="23"/>
      <c r="G394" s="23"/>
      <c r="H394" s="23"/>
      <c r="I394" s="23"/>
      <c r="J394" s="23"/>
      <c r="K394" s="23"/>
      <c r="L394" s="23"/>
      <c r="M394" s="70"/>
      <c r="N394" s="137"/>
      <c r="O394" s="137"/>
      <c r="R394" s="36"/>
      <c r="S394" s="36"/>
      <c r="T394" s="36"/>
      <c r="U394" s="36"/>
      <c r="V394" s="36"/>
      <c r="W394" s="36"/>
      <c r="X394" s="36"/>
      <c r="Y394" s="36"/>
      <c r="Z394" s="36"/>
      <c r="AA394" s="36"/>
      <c r="AB394" s="36"/>
    </row>
    <row r="395" spans="1:28" s="66" customFormat="1" x14ac:dyDescent="0.25">
      <c r="A395" s="71">
        <v>42859</v>
      </c>
      <c r="B395" s="72">
        <v>97767</v>
      </c>
      <c r="C395" s="72" t="s">
        <v>327</v>
      </c>
      <c r="D395" s="72">
        <v>900</v>
      </c>
      <c r="E395" s="73">
        <v>9.5</v>
      </c>
      <c r="F395" s="73">
        <f>D395*E395</f>
        <v>8550</v>
      </c>
      <c r="G395" s="73">
        <f t="shared" ref="G395" si="131">F395*0.0275%</f>
        <v>2.3512500000000003</v>
      </c>
      <c r="H395" s="73">
        <f>F395*0.005%</f>
        <v>0.42750000000000005</v>
      </c>
      <c r="I395" s="73">
        <v>8.99</v>
      </c>
      <c r="J395" s="73">
        <v>0.44</v>
      </c>
      <c r="K395" s="73">
        <v>0</v>
      </c>
      <c r="L395" s="73">
        <f>F395-G395-H395-I395-K395</f>
        <v>8538.2312500000007</v>
      </c>
      <c r="M395" s="70"/>
      <c r="N395" s="137">
        <f t="shared" si="125"/>
        <v>2.7500000000000002E-4</v>
      </c>
      <c r="O395" s="137">
        <f t="shared" si="126"/>
        <v>5.0000000000000002E-5</v>
      </c>
      <c r="R395" s="36"/>
      <c r="S395" s="36"/>
      <c r="T395" s="36"/>
      <c r="U395" s="36"/>
      <c r="V395" s="36"/>
      <c r="W395" s="36"/>
      <c r="X395" s="36"/>
      <c r="Y395" s="36"/>
      <c r="Z395" s="36"/>
      <c r="AA395" s="36"/>
      <c r="AB395" s="36"/>
    </row>
    <row r="396" spans="1:28" s="66" customFormat="1" x14ac:dyDescent="0.25">
      <c r="A396" s="71"/>
      <c r="B396" s="72"/>
      <c r="C396" s="72"/>
      <c r="D396" s="72"/>
      <c r="E396" s="73"/>
      <c r="F396" s="73"/>
      <c r="G396" s="73"/>
      <c r="H396" s="73"/>
      <c r="I396" s="73"/>
      <c r="J396" s="73"/>
      <c r="K396" s="73"/>
      <c r="L396" s="73"/>
      <c r="M396" s="70"/>
      <c r="N396" s="137"/>
      <c r="O396" s="137"/>
      <c r="R396" s="36"/>
      <c r="S396" s="36"/>
      <c r="T396" s="36"/>
      <c r="U396" s="36"/>
      <c r="V396" s="36"/>
      <c r="W396" s="36"/>
      <c r="X396" s="36"/>
      <c r="Y396" s="36"/>
      <c r="Z396" s="36"/>
      <c r="AA396" s="36"/>
      <c r="AB396" s="36"/>
    </row>
    <row r="397" spans="1:28" s="66" customFormat="1" x14ac:dyDescent="0.25">
      <c r="A397" s="26">
        <v>42863</v>
      </c>
      <c r="B397" s="47">
        <v>98780</v>
      </c>
      <c r="C397" s="47" t="s">
        <v>313</v>
      </c>
      <c r="D397" s="47">
        <v>2400</v>
      </c>
      <c r="E397" s="23">
        <v>3.7</v>
      </c>
      <c r="F397" s="23">
        <f t="shared" si="128"/>
        <v>8880</v>
      </c>
      <c r="G397" s="23">
        <f t="shared" si="129"/>
        <v>2.4420000000000002</v>
      </c>
      <c r="H397" s="23">
        <f t="shared" si="130"/>
        <v>0.44400000000000001</v>
      </c>
      <c r="I397" s="23">
        <v>4</v>
      </c>
      <c r="J397" s="23">
        <v>0.2</v>
      </c>
      <c r="L397" s="23">
        <f>F397+G397+H397+I397</f>
        <v>8886.8859999999986</v>
      </c>
      <c r="M397" s="70"/>
      <c r="N397" s="137">
        <f t="shared" si="125"/>
        <v>2.7500000000000002E-4</v>
      </c>
      <c r="O397" s="137">
        <f t="shared" si="126"/>
        <v>5.0000000000000002E-5</v>
      </c>
      <c r="R397" s="36"/>
      <c r="S397" s="36"/>
      <c r="T397" s="36"/>
      <c r="U397" s="36"/>
      <c r="V397" s="36"/>
      <c r="W397" s="36"/>
      <c r="X397" s="36"/>
      <c r="Y397" s="36"/>
      <c r="Z397" s="36"/>
      <c r="AA397" s="36"/>
      <c r="AB397" s="36"/>
    </row>
    <row r="398" spans="1:28" s="66" customFormat="1" x14ac:dyDescent="0.25">
      <c r="E398" s="36"/>
      <c r="F398" s="36"/>
      <c r="G398" s="36"/>
      <c r="H398" s="36"/>
      <c r="I398" s="36"/>
      <c r="J398" s="36"/>
      <c r="K398" s="36"/>
      <c r="L398" s="36"/>
      <c r="M398" s="70"/>
      <c r="N398" s="137"/>
      <c r="O398" s="137"/>
      <c r="R398" s="36"/>
      <c r="S398" s="36"/>
      <c r="T398" s="36"/>
      <c r="U398" s="36"/>
      <c r="V398" s="36"/>
      <c r="W398" s="36"/>
      <c r="X398" s="36"/>
      <c r="Y398" s="36"/>
      <c r="Z398" s="36"/>
      <c r="AA398" s="36"/>
      <c r="AB398" s="36"/>
    </row>
    <row r="399" spans="1:28" s="66" customFormat="1" x14ac:dyDescent="0.25">
      <c r="A399" s="71">
        <v>42864</v>
      </c>
      <c r="B399" s="72">
        <v>99322</v>
      </c>
      <c r="C399" s="72" t="s">
        <v>327</v>
      </c>
      <c r="D399" s="72">
        <v>100</v>
      </c>
      <c r="E399" s="73">
        <v>9.5</v>
      </c>
      <c r="F399" s="73">
        <f>D399*E399</f>
        <v>950</v>
      </c>
      <c r="G399" s="73">
        <f t="shared" ref="G399" si="132">F399*0.0275%</f>
        <v>0.26125000000000004</v>
      </c>
      <c r="H399" s="73">
        <f>F399*0.005%</f>
        <v>4.7500000000000001E-2</v>
      </c>
      <c r="I399" s="73">
        <v>0</v>
      </c>
      <c r="J399" s="73">
        <v>0</v>
      </c>
      <c r="K399" s="73">
        <v>0</v>
      </c>
      <c r="L399" s="73">
        <f>F399-G399-H399-I399-K399</f>
        <v>949.69124999999997</v>
      </c>
      <c r="M399" s="70"/>
      <c r="N399" s="137">
        <f t="shared" si="125"/>
        <v>2.7500000000000002E-4</v>
      </c>
      <c r="O399" s="137">
        <f t="shared" si="126"/>
        <v>5.0000000000000002E-5</v>
      </c>
      <c r="R399" s="36"/>
      <c r="S399" s="36"/>
      <c r="T399" s="36"/>
      <c r="U399" s="36"/>
      <c r="V399" s="36"/>
      <c r="W399" s="36"/>
      <c r="X399" s="36"/>
      <c r="Y399" s="36"/>
      <c r="Z399" s="36"/>
      <c r="AA399" s="36"/>
      <c r="AB399" s="36"/>
    </row>
    <row r="400" spans="1:28" s="66" customFormat="1" x14ac:dyDescent="0.25">
      <c r="A400" s="71"/>
      <c r="B400" s="72"/>
      <c r="C400" s="72"/>
      <c r="D400" s="72"/>
      <c r="E400" s="73"/>
      <c r="F400" s="73"/>
      <c r="G400" s="73"/>
      <c r="H400" s="73"/>
      <c r="I400" s="73"/>
      <c r="J400" s="73"/>
      <c r="K400" s="73"/>
      <c r="L400" s="73"/>
      <c r="M400" s="70"/>
      <c r="N400" s="137"/>
      <c r="O400" s="137"/>
      <c r="R400" s="36"/>
      <c r="S400" s="36"/>
      <c r="T400" s="36"/>
      <c r="U400" s="36"/>
      <c r="V400" s="36"/>
      <c r="W400" s="36"/>
      <c r="X400" s="36"/>
      <c r="Y400" s="36"/>
      <c r="Z400" s="36"/>
      <c r="AA400" s="36"/>
      <c r="AB400" s="36"/>
    </row>
    <row r="401" spans="1:28" s="66" customFormat="1" x14ac:dyDescent="0.25">
      <c r="A401" s="71">
        <v>42865</v>
      </c>
      <c r="B401" s="72">
        <v>99834</v>
      </c>
      <c r="C401" s="72" t="s">
        <v>320</v>
      </c>
      <c r="D401" s="72">
        <v>300</v>
      </c>
      <c r="E401" s="73">
        <v>35</v>
      </c>
      <c r="F401" s="73">
        <f>D401*E401</f>
        <v>10500</v>
      </c>
      <c r="G401" s="73">
        <f t="shared" ref="G401:G402" si="133">F401*0.0275%</f>
        <v>2.8875000000000002</v>
      </c>
      <c r="H401" s="73">
        <f>F401*0.005%</f>
        <v>0.52500000000000002</v>
      </c>
      <c r="I401" s="73">
        <v>8.99</v>
      </c>
      <c r="J401" s="73">
        <v>0.44</v>
      </c>
      <c r="K401" s="73">
        <f>F401*0.005%</f>
        <v>0.52500000000000002</v>
      </c>
      <c r="L401" s="73">
        <f>F401-G401-H401-I401-K401</f>
        <v>10487.0725</v>
      </c>
      <c r="M401" s="70"/>
      <c r="N401" s="137">
        <f t="shared" si="125"/>
        <v>2.7500000000000002E-4</v>
      </c>
      <c r="O401" s="137">
        <f t="shared" si="126"/>
        <v>5.0000000000000002E-5</v>
      </c>
      <c r="R401" s="36"/>
      <c r="S401" s="36"/>
      <c r="T401" s="36"/>
      <c r="U401" s="36"/>
      <c r="V401" s="36"/>
      <c r="W401" s="36"/>
      <c r="X401" s="36"/>
      <c r="Y401" s="36"/>
      <c r="Z401" s="36"/>
      <c r="AA401" s="36"/>
      <c r="AB401" s="36"/>
    </row>
    <row r="402" spans="1:28" s="66" customFormat="1" x14ac:dyDescent="0.25">
      <c r="A402" s="71">
        <v>42865</v>
      </c>
      <c r="B402" s="72">
        <v>99834</v>
      </c>
      <c r="C402" s="72" t="s">
        <v>317</v>
      </c>
      <c r="D402" s="72">
        <v>700</v>
      </c>
      <c r="E402" s="73">
        <v>19</v>
      </c>
      <c r="F402" s="73">
        <f>D402*E402</f>
        <v>13300</v>
      </c>
      <c r="G402" s="73">
        <f t="shared" si="133"/>
        <v>3.6575000000000002</v>
      </c>
      <c r="H402" s="73">
        <f>F402*0.005%</f>
        <v>0.66500000000000004</v>
      </c>
      <c r="I402" s="73">
        <v>8.99</v>
      </c>
      <c r="J402" s="73">
        <v>0.44</v>
      </c>
      <c r="K402" s="73">
        <f>F402*0.005%</f>
        <v>0.66500000000000004</v>
      </c>
      <c r="L402" s="73">
        <f>F402-G402-H402-I402-K402</f>
        <v>13286.022499999999</v>
      </c>
      <c r="M402" s="70"/>
      <c r="N402" s="137">
        <f t="shared" si="125"/>
        <v>2.7500000000000002E-4</v>
      </c>
      <c r="O402" s="137">
        <f t="shared" si="126"/>
        <v>5.0000000000000002E-5</v>
      </c>
      <c r="R402" s="36"/>
      <c r="S402" s="36"/>
      <c r="T402" s="36"/>
      <c r="U402" s="36"/>
      <c r="V402" s="36"/>
      <c r="W402" s="36"/>
      <c r="X402" s="36"/>
      <c r="Y402" s="36"/>
      <c r="Z402" s="36"/>
      <c r="AA402" s="36"/>
      <c r="AB402" s="36"/>
    </row>
    <row r="403" spans="1:28" s="72" customFormat="1" x14ac:dyDescent="0.25">
      <c r="A403" s="71"/>
      <c r="E403" s="73"/>
      <c r="F403" s="74">
        <f t="shared" ref="F403:L403" si="134">SUM(F401:F402)</f>
        <v>23800</v>
      </c>
      <c r="G403" s="74">
        <f t="shared" si="134"/>
        <v>6.5449999999999999</v>
      </c>
      <c r="H403" s="74">
        <f t="shared" si="134"/>
        <v>1.19</v>
      </c>
      <c r="I403" s="74">
        <f t="shared" si="134"/>
        <v>17.98</v>
      </c>
      <c r="J403" s="74">
        <f t="shared" si="134"/>
        <v>0.88</v>
      </c>
      <c r="K403" s="74">
        <f t="shared" si="134"/>
        <v>1.19</v>
      </c>
      <c r="L403" s="74">
        <f t="shared" si="134"/>
        <v>23773.095000000001</v>
      </c>
      <c r="M403" s="70"/>
      <c r="N403" s="137"/>
      <c r="O403" s="137"/>
      <c r="R403" s="73"/>
      <c r="S403" s="73"/>
      <c r="T403" s="73"/>
      <c r="U403" s="73"/>
      <c r="V403" s="73"/>
      <c r="W403" s="73"/>
      <c r="X403" s="73"/>
      <c r="Y403" s="73"/>
      <c r="Z403" s="73"/>
      <c r="AA403" s="73"/>
      <c r="AB403" s="73"/>
    </row>
    <row r="404" spans="1:28" s="66" customFormat="1" x14ac:dyDescent="0.25">
      <c r="A404" s="71"/>
      <c r="B404" s="72"/>
      <c r="C404" s="72"/>
      <c r="D404" s="72"/>
      <c r="E404" s="73"/>
      <c r="F404" s="73"/>
      <c r="G404" s="73"/>
      <c r="H404" s="73"/>
      <c r="I404" s="73"/>
      <c r="J404" s="73"/>
      <c r="K404" s="73"/>
      <c r="L404" s="73"/>
      <c r="M404" s="70"/>
      <c r="N404" s="137"/>
      <c r="O404" s="137"/>
      <c r="R404" s="36"/>
      <c r="S404" s="36"/>
      <c r="T404" s="36"/>
      <c r="U404" s="36"/>
      <c r="V404" s="36"/>
      <c r="W404" s="36"/>
      <c r="X404" s="36"/>
      <c r="Y404" s="36"/>
      <c r="Z404" s="36"/>
      <c r="AA404" s="36"/>
      <c r="AB404" s="36"/>
    </row>
    <row r="405" spans="1:28" s="47" customFormat="1" x14ac:dyDescent="0.25">
      <c r="A405" s="26">
        <v>42867</v>
      </c>
      <c r="B405" s="47">
        <v>101225</v>
      </c>
      <c r="C405" s="47" t="s">
        <v>309</v>
      </c>
      <c r="D405" s="47">
        <v>600</v>
      </c>
      <c r="E405" s="23">
        <v>13.4</v>
      </c>
      <c r="F405" s="23">
        <f>D405*E405</f>
        <v>8040</v>
      </c>
      <c r="G405" s="23">
        <f t="shared" ref="G405:G407" si="135">F405*0.0275%</f>
        <v>2.2110000000000003</v>
      </c>
      <c r="H405" s="23">
        <f>F405*0.005%</f>
        <v>0.40200000000000002</v>
      </c>
      <c r="I405" s="23">
        <v>4</v>
      </c>
      <c r="J405" s="23">
        <v>0.2</v>
      </c>
      <c r="K405" s="23"/>
      <c r="L405" s="23">
        <f>F405+G405+H405+I405</f>
        <v>8046.6130000000003</v>
      </c>
      <c r="M405" s="70"/>
      <c r="N405" s="137">
        <f t="shared" si="125"/>
        <v>2.7500000000000002E-4</v>
      </c>
      <c r="O405" s="137">
        <f t="shared" si="126"/>
        <v>5.0000000000000002E-5</v>
      </c>
      <c r="R405" s="23"/>
      <c r="S405" s="23"/>
      <c r="T405" s="23"/>
      <c r="U405" s="23"/>
      <c r="V405" s="23"/>
      <c r="W405" s="23"/>
      <c r="X405" s="23"/>
      <c r="Y405" s="23"/>
      <c r="Z405" s="23"/>
      <c r="AA405" s="23"/>
      <c r="AB405" s="23"/>
    </row>
    <row r="406" spans="1:28" s="47" customFormat="1" x14ac:dyDescent="0.25">
      <c r="A406" s="26">
        <v>42867</v>
      </c>
      <c r="B406" s="47">
        <v>101225</v>
      </c>
      <c r="C406" s="47" t="s">
        <v>315</v>
      </c>
      <c r="D406" s="47">
        <v>800</v>
      </c>
      <c r="E406" s="23">
        <v>10.199999999999999</v>
      </c>
      <c r="F406" s="23">
        <f>D406*E406</f>
        <v>8159.9999999999991</v>
      </c>
      <c r="G406" s="23">
        <f t="shared" ref="G406" si="136">F406*0.0275%</f>
        <v>2.2439999999999998</v>
      </c>
      <c r="H406" s="23">
        <f>F406*0.005%</f>
        <v>0.40799999999999997</v>
      </c>
      <c r="I406" s="23">
        <v>4</v>
      </c>
      <c r="J406" s="23">
        <v>0.2</v>
      </c>
      <c r="K406" s="23"/>
      <c r="L406" s="23">
        <f>F406+G406+H406+I406</f>
        <v>8166.6519999999991</v>
      </c>
      <c r="M406" s="70"/>
      <c r="N406" s="137">
        <f t="shared" si="125"/>
        <v>2.7500000000000002E-4</v>
      </c>
      <c r="O406" s="137">
        <f t="shared" si="126"/>
        <v>5.0000000000000002E-5</v>
      </c>
      <c r="R406" s="23"/>
      <c r="S406" s="23"/>
      <c r="T406" s="23"/>
      <c r="U406" s="23"/>
      <c r="V406" s="23"/>
      <c r="W406" s="23"/>
      <c r="X406" s="23"/>
      <c r="Y406" s="23"/>
      <c r="Z406" s="23"/>
      <c r="AA406" s="23"/>
      <c r="AB406" s="23"/>
    </row>
    <row r="407" spans="1:28" s="47" customFormat="1" x14ac:dyDescent="0.25">
      <c r="A407" s="26">
        <v>42867</v>
      </c>
      <c r="B407" s="47">
        <v>101225</v>
      </c>
      <c r="C407" s="47" t="s">
        <v>313</v>
      </c>
      <c r="D407" s="47">
        <v>2500</v>
      </c>
      <c r="E407" s="23">
        <v>3.47</v>
      </c>
      <c r="F407" s="23">
        <f>D407*E407</f>
        <v>8675</v>
      </c>
      <c r="G407" s="23">
        <f t="shared" si="135"/>
        <v>2.3856250000000001</v>
      </c>
      <c r="H407" s="23">
        <f>F407*0.005%</f>
        <v>0.43375000000000002</v>
      </c>
      <c r="I407" s="23">
        <v>4</v>
      </c>
      <c r="J407" s="23">
        <v>0.2</v>
      </c>
      <c r="K407" s="23"/>
      <c r="L407" s="23">
        <f>F407+G407+H407+I407</f>
        <v>8681.8193750000009</v>
      </c>
      <c r="M407" s="70"/>
      <c r="N407" s="137">
        <f t="shared" si="125"/>
        <v>2.7500000000000002E-4</v>
      </c>
      <c r="O407" s="137">
        <f t="shared" si="126"/>
        <v>5.0000000000000002E-5</v>
      </c>
      <c r="R407" s="23"/>
      <c r="S407" s="23"/>
      <c r="T407" s="23"/>
      <c r="U407" s="23"/>
      <c r="V407" s="23"/>
      <c r="W407" s="23"/>
      <c r="X407" s="23"/>
      <c r="Y407" s="23"/>
      <c r="Z407" s="23"/>
      <c r="AA407" s="23"/>
      <c r="AB407" s="23"/>
    </row>
    <row r="408" spans="1:28" s="47" customFormat="1" x14ac:dyDescent="0.25">
      <c r="A408" s="26"/>
      <c r="E408" s="23"/>
      <c r="F408" s="19">
        <f>SUM(F405:F407)</f>
        <v>24875</v>
      </c>
      <c r="G408" s="19">
        <f>SUM(G405:G407)</f>
        <v>6.8406250000000002</v>
      </c>
      <c r="H408" s="19">
        <f>SUM(H405:H407)</f>
        <v>1.2437500000000001</v>
      </c>
      <c r="I408" s="19">
        <f>SUM(I405:I407)</f>
        <v>12</v>
      </c>
      <c r="J408" s="19">
        <f>SUM(J405:J407)</f>
        <v>0.60000000000000009</v>
      </c>
      <c r="K408" s="19"/>
      <c r="L408" s="19">
        <f>SUM(L405:L407)</f>
        <v>24895.084374999999</v>
      </c>
      <c r="M408" s="70"/>
      <c r="N408" s="137"/>
      <c r="O408" s="137"/>
      <c r="R408" s="23"/>
      <c r="S408" s="23"/>
      <c r="T408" s="23"/>
      <c r="U408" s="23"/>
      <c r="V408" s="23"/>
      <c r="W408" s="23"/>
      <c r="X408" s="23"/>
      <c r="Y408" s="23"/>
      <c r="Z408" s="23"/>
      <c r="AA408" s="23"/>
      <c r="AB408" s="23"/>
    </row>
    <row r="409" spans="1:28" s="66" customFormat="1" x14ac:dyDescent="0.25">
      <c r="E409" s="36"/>
      <c r="F409" s="36"/>
      <c r="G409" s="36"/>
      <c r="H409" s="36"/>
      <c r="I409" s="36"/>
      <c r="J409" s="36"/>
      <c r="K409" s="36"/>
      <c r="L409" s="36"/>
      <c r="M409" s="70"/>
      <c r="N409" s="137"/>
      <c r="O409" s="137"/>
      <c r="R409" s="36"/>
      <c r="S409" s="36"/>
      <c r="T409" s="36"/>
      <c r="U409" s="36"/>
      <c r="V409" s="36"/>
      <c r="W409" s="36"/>
      <c r="X409" s="36"/>
      <c r="Y409" s="36"/>
      <c r="Z409" s="36"/>
      <c r="AA409" s="36"/>
      <c r="AB409" s="36"/>
    </row>
    <row r="410" spans="1:28" s="47" customFormat="1" x14ac:dyDescent="0.25">
      <c r="A410" s="26">
        <v>42870</v>
      </c>
      <c r="B410" s="47">
        <v>101925</v>
      </c>
      <c r="C410" s="47" t="s">
        <v>328</v>
      </c>
      <c r="D410" s="47">
        <v>2900</v>
      </c>
      <c r="E410" s="23">
        <v>3.59</v>
      </c>
      <c r="F410" s="23">
        <f>D410*E410</f>
        <v>10411</v>
      </c>
      <c r="G410" s="23">
        <f t="shared" ref="G410:G412" si="137">F410*0.0275%</f>
        <v>2.8630250000000004</v>
      </c>
      <c r="H410" s="23">
        <f>F410*0.005%</f>
        <v>0.52055000000000007</v>
      </c>
      <c r="I410" s="23">
        <v>4</v>
      </c>
      <c r="J410" s="23">
        <v>0.2</v>
      </c>
      <c r="K410" s="23"/>
      <c r="L410" s="23">
        <f>F410+G410+H410+I410</f>
        <v>10418.383575</v>
      </c>
      <c r="M410" s="70"/>
      <c r="N410" s="137">
        <f t="shared" si="125"/>
        <v>2.7500000000000002E-4</v>
      </c>
      <c r="O410" s="137">
        <f t="shared" si="126"/>
        <v>5.0000000000000009E-5</v>
      </c>
      <c r="R410" s="23"/>
      <c r="S410" s="23"/>
      <c r="T410" s="23"/>
      <c r="U410" s="23"/>
      <c r="V410" s="23"/>
      <c r="W410" s="23"/>
      <c r="X410" s="23"/>
      <c r="Y410" s="23"/>
      <c r="Z410" s="23"/>
      <c r="AA410" s="23"/>
      <c r="AB410" s="23"/>
    </row>
    <row r="411" spans="1:28" s="72" customFormat="1" x14ac:dyDescent="0.25">
      <c r="A411" s="71">
        <v>42870</v>
      </c>
      <c r="B411" s="72">
        <v>101925</v>
      </c>
      <c r="C411" s="72" t="s">
        <v>268</v>
      </c>
      <c r="D411" s="72">
        <v>300</v>
      </c>
      <c r="E411" s="73">
        <v>15.77</v>
      </c>
      <c r="F411" s="73">
        <f>D411*E411</f>
        <v>4731</v>
      </c>
      <c r="G411" s="73">
        <f t="shared" ref="G411" si="138">F411*0.0275%</f>
        <v>1.3010250000000001</v>
      </c>
      <c r="H411" s="73">
        <f>F411*0.007%</f>
        <v>0.33117000000000002</v>
      </c>
      <c r="I411" s="73">
        <v>4</v>
      </c>
      <c r="J411" s="73">
        <v>0.2</v>
      </c>
      <c r="K411" s="73">
        <v>0</v>
      </c>
      <c r="L411" s="73">
        <f>F411-G411-H411-I411-K411</f>
        <v>4725.3678049999999</v>
      </c>
      <c r="M411" s="70"/>
      <c r="N411" s="137">
        <f t="shared" si="125"/>
        <v>2.7500000000000002E-4</v>
      </c>
      <c r="O411" s="139">
        <f t="shared" si="126"/>
        <v>7.0000000000000007E-5</v>
      </c>
      <c r="R411" s="73"/>
      <c r="S411" s="73"/>
      <c r="T411" s="73"/>
      <c r="U411" s="73"/>
      <c r="V411" s="73"/>
      <c r="W411" s="73"/>
      <c r="X411" s="73"/>
      <c r="Y411" s="73"/>
      <c r="Z411" s="73"/>
      <c r="AA411" s="73"/>
      <c r="AB411" s="73"/>
    </row>
    <row r="412" spans="1:28" s="72" customFormat="1" x14ac:dyDescent="0.25">
      <c r="A412" s="71">
        <v>42870</v>
      </c>
      <c r="B412" s="72">
        <v>101925</v>
      </c>
      <c r="C412" s="72" t="s">
        <v>312</v>
      </c>
      <c r="D412" s="72">
        <v>3100</v>
      </c>
      <c r="E412" s="73">
        <v>4.3499999999999996</v>
      </c>
      <c r="F412" s="73">
        <f>D412*E412</f>
        <v>13484.999999999998</v>
      </c>
      <c r="G412" s="73">
        <f t="shared" si="137"/>
        <v>3.7083749999999998</v>
      </c>
      <c r="H412" s="73">
        <f>F412*0.005%</f>
        <v>0.6742499999999999</v>
      </c>
      <c r="I412" s="73">
        <v>4</v>
      </c>
      <c r="J412" s="73">
        <v>0.2</v>
      </c>
      <c r="K412" s="73">
        <v>0</v>
      </c>
      <c r="L412" s="73">
        <f>F412-G412-H412-I412-K412</f>
        <v>13476.617374999998</v>
      </c>
      <c r="M412" s="70"/>
      <c r="N412" s="137">
        <f t="shared" si="125"/>
        <v>2.7500000000000002E-4</v>
      </c>
      <c r="O412" s="137">
        <f t="shared" si="126"/>
        <v>5.0000000000000002E-5</v>
      </c>
      <c r="R412" s="73"/>
      <c r="S412" s="73"/>
      <c r="T412" s="73"/>
      <c r="U412" s="73"/>
      <c r="V412" s="73"/>
      <c r="W412" s="73"/>
      <c r="X412" s="73"/>
      <c r="Y412" s="73"/>
      <c r="Z412" s="73"/>
      <c r="AA412" s="73"/>
      <c r="AB412" s="73"/>
    </row>
    <row r="413" spans="1:28" s="47" customFormat="1" x14ac:dyDescent="0.25">
      <c r="A413" s="26"/>
      <c r="E413" s="23"/>
      <c r="F413" s="74">
        <f>SUM(F411:F412)-F410</f>
        <v>7805</v>
      </c>
      <c r="G413" s="19">
        <f>SUM(G410:G412)</f>
        <v>7.8724249999999998</v>
      </c>
      <c r="H413" s="19">
        <f>SUM(H410:H412)</f>
        <v>1.52597</v>
      </c>
      <c r="I413" s="19">
        <f>SUM(I410:I412)</f>
        <v>12</v>
      </c>
      <c r="J413" s="19">
        <f>SUM(J410:J412)</f>
        <v>0.60000000000000009</v>
      </c>
      <c r="K413" s="19"/>
      <c r="L413" s="74">
        <f>SUM(L411:L412)-L410</f>
        <v>7783.6016049999962</v>
      </c>
      <c r="M413" s="70"/>
      <c r="N413" s="137"/>
      <c r="O413" s="137"/>
      <c r="R413" s="23"/>
      <c r="S413" s="23"/>
      <c r="T413" s="23"/>
      <c r="U413" s="23"/>
      <c r="V413" s="23"/>
      <c r="W413" s="23"/>
      <c r="X413" s="23"/>
      <c r="Y413" s="23"/>
      <c r="Z413" s="23"/>
      <c r="AA413" s="23"/>
      <c r="AB413" s="23"/>
    </row>
    <row r="414" spans="1:28" s="66" customFormat="1" x14ac:dyDescent="0.25">
      <c r="E414" s="36"/>
      <c r="F414" s="36"/>
      <c r="G414" s="36"/>
      <c r="H414" s="36"/>
      <c r="I414" s="36"/>
      <c r="J414" s="36"/>
      <c r="K414" s="36"/>
      <c r="L414" s="36"/>
      <c r="M414" s="70"/>
      <c r="N414" s="137"/>
      <c r="O414" s="137"/>
      <c r="R414" s="36"/>
      <c r="S414" s="36"/>
      <c r="T414" s="36"/>
      <c r="U414" s="36"/>
      <c r="V414" s="36"/>
      <c r="W414" s="36"/>
      <c r="X414" s="36"/>
      <c r="Y414" s="36"/>
      <c r="Z414" s="36"/>
      <c r="AA414" s="36"/>
      <c r="AB414" s="36"/>
    </row>
    <row r="415" spans="1:28" s="47" customFormat="1" x14ac:dyDescent="0.25">
      <c r="A415" s="26">
        <v>42871</v>
      </c>
      <c r="B415" s="47">
        <v>102534</v>
      </c>
      <c r="C415" s="47" t="s">
        <v>329</v>
      </c>
      <c r="D415" s="47">
        <v>1000</v>
      </c>
      <c r="E415" s="23">
        <v>7.65</v>
      </c>
      <c r="F415" s="23">
        <f>D415*E415</f>
        <v>7650</v>
      </c>
      <c r="G415" s="23">
        <f t="shared" ref="G415:G416" si="139">F415*0.0275%</f>
        <v>2.1037500000000002</v>
      </c>
      <c r="H415" s="23">
        <f>F415*0.005%</f>
        <v>0.38250000000000001</v>
      </c>
      <c r="I415" s="23">
        <v>4</v>
      </c>
      <c r="J415" s="23">
        <v>0.2</v>
      </c>
      <c r="K415" s="23"/>
      <c r="L415" s="23">
        <f>F415+G415+H415+I415</f>
        <v>7656.4862499999999</v>
      </c>
      <c r="M415" s="70"/>
      <c r="N415" s="137">
        <f t="shared" si="125"/>
        <v>2.7500000000000002E-4</v>
      </c>
      <c r="O415" s="137">
        <f t="shared" si="126"/>
        <v>5.0000000000000002E-5</v>
      </c>
      <c r="R415" s="23"/>
      <c r="S415" s="23"/>
      <c r="T415" s="23"/>
      <c r="U415" s="23"/>
      <c r="V415" s="23"/>
      <c r="W415" s="23"/>
      <c r="X415" s="23"/>
      <c r="Y415" s="23"/>
      <c r="Z415" s="23"/>
      <c r="AA415" s="23"/>
      <c r="AB415" s="23"/>
    </row>
    <row r="416" spans="1:28" s="72" customFormat="1" x14ac:dyDescent="0.25">
      <c r="A416" s="71">
        <v>42871</v>
      </c>
      <c r="B416" s="72">
        <v>102534</v>
      </c>
      <c r="C416" s="72" t="s">
        <v>267</v>
      </c>
      <c r="D416" s="72">
        <v>700</v>
      </c>
      <c r="E416" s="73">
        <v>10.17</v>
      </c>
      <c r="F416" s="73">
        <f>D416*E416</f>
        <v>7119</v>
      </c>
      <c r="G416" s="73">
        <f t="shared" si="139"/>
        <v>1.9577250000000002</v>
      </c>
      <c r="H416" s="73">
        <f>F416*0.005%</f>
        <v>0.35595000000000004</v>
      </c>
      <c r="I416" s="73">
        <v>4</v>
      </c>
      <c r="J416" s="73">
        <v>0.2</v>
      </c>
      <c r="K416" s="73">
        <v>0</v>
      </c>
      <c r="L416" s="73">
        <f>F416-G416-H416-I416-K416</f>
        <v>7112.6863249999997</v>
      </c>
      <c r="M416" s="70"/>
      <c r="N416" s="137">
        <f t="shared" si="125"/>
        <v>2.7500000000000002E-4</v>
      </c>
      <c r="O416" s="137">
        <f t="shared" si="126"/>
        <v>5.0000000000000009E-5</v>
      </c>
      <c r="R416" s="73"/>
      <c r="S416" s="73"/>
      <c r="T416" s="73"/>
      <c r="U416" s="73"/>
      <c r="V416" s="73"/>
      <c r="W416" s="73"/>
      <c r="X416" s="73"/>
      <c r="Y416" s="73"/>
      <c r="Z416" s="73"/>
      <c r="AA416" s="73"/>
      <c r="AB416" s="73"/>
    </row>
    <row r="417" spans="1:28" s="47" customFormat="1" x14ac:dyDescent="0.25">
      <c r="A417" s="26"/>
      <c r="E417" s="23"/>
      <c r="F417" s="74">
        <f>F416-F415</f>
        <v>-531</v>
      </c>
      <c r="G417" s="19">
        <f>SUM(G415:G416)</f>
        <v>4.0614750000000006</v>
      </c>
      <c r="H417" s="19">
        <f>SUM(H415:H416)</f>
        <v>0.73845000000000005</v>
      </c>
      <c r="I417" s="19">
        <f>SUM(I415:I416)</f>
        <v>8</v>
      </c>
      <c r="J417" s="19">
        <f>SUM(J415:J416)</f>
        <v>0.4</v>
      </c>
      <c r="K417" s="19"/>
      <c r="L417" s="74">
        <f>L416-L415</f>
        <v>-543.79992500000026</v>
      </c>
      <c r="M417" s="70"/>
      <c r="N417" s="137"/>
      <c r="O417" s="137"/>
      <c r="R417" s="23"/>
      <c r="S417" s="23"/>
      <c r="T417" s="23"/>
      <c r="U417" s="23"/>
      <c r="V417" s="23"/>
      <c r="W417" s="23"/>
      <c r="X417" s="23"/>
      <c r="Y417" s="23"/>
      <c r="Z417" s="23"/>
      <c r="AA417" s="23"/>
      <c r="AB417" s="23"/>
    </row>
    <row r="418" spans="1:28" s="66" customFormat="1" x14ac:dyDescent="0.25">
      <c r="E418" s="69"/>
      <c r="F418" s="36"/>
      <c r="G418" s="36"/>
      <c r="H418" s="36"/>
      <c r="I418" s="36"/>
      <c r="J418" s="36"/>
      <c r="K418" s="36"/>
      <c r="L418" s="36"/>
      <c r="M418" s="70"/>
      <c r="N418" s="137"/>
      <c r="O418" s="137"/>
      <c r="R418" s="36"/>
      <c r="S418" s="36"/>
      <c r="T418" s="36"/>
      <c r="U418" s="36"/>
      <c r="V418" s="36"/>
      <c r="W418" s="36"/>
      <c r="X418" s="36"/>
      <c r="Y418" s="36"/>
      <c r="Z418" s="36"/>
      <c r="AA418" s="36"/>
      <c r="AB418" s="36"/>
    </row>
    <row r="419" spans="1:28" s="66" customFormat="1" x14ac:dyDescent="0.25">
      <c r="A419" s="26">
        <v>42872</v>
      </c>
      <c r="B419" s="47">
        <v>103248</v>
      </c>
      <c r="C419" s="47" t="s">
        <v>282</v>
      </c>
      <c r="D419" s="47">
        <v>700</v>
      </c>
      <c r="E419" s="23">
        <v>9.6</v>
      </c>
      <c r="F419" s="23">
        <f t="shared" ref="F419" si="140">D419*E419</f>
        <v>6720</v>
      </c>
      <c r="G419" s="23">
        <f t="shared" ref="G419" si="141">F419*0.0275%</f>
        <v>1.8480000000000001</v>
      </c>
      <c r="H419" s="23">
        <f t="shared" ref="H419" si="142">F419*0.005%</f>
        <v>0.33600000000000002</v>
      </c>
      <c r="I419" s="23">
        <v>4</v>
      </c>
      <c r="J419" s="23">
        <v>0.2</v>
      </c>
      <c r="L419" s="23">
        <f>F419+G419+H419+I419</f>
        <v>6726.1840000000002</v>
      </c>
      <c r="M419" s="70"/>
      <c r="N419" s="137">
        <f t="shared" si="125"/>
        <v>2.7500000000000002E-4</v>
      </c>
      <c r="O419" s="137">
        <f t="shared" si="126"/>
        <v>5.0000000000000002E-5</v>
      </c>
      <c r="R419" s="36"/>
      <c r="S419" s="36"/>
      <c r="T419" s="36"/>
      <c r="U419" s="36"/>
      <c r="V419" s="36"/>
      <c r="W419" s="36"/>
      <c r="X419" s="36"/>
      <c r="Y419" s="36"/>
      <c r="Z419" s="36"/>
      <c r="AA419" s="36"/>
      <c r="AB419" s="36"/>
    </row>
    <row r="420" spans="1:28" s="66" customFormat="1" x14ac:dyDescent="0.25">
      <c r="E420" s="36"/>
      <c r="F420" s="36"/>
      <c r="G420" s="36"/>
      <c r="H420" s="36"/>
      <c r="I420" s="36"/>
      <c r="J420" s="36"/>
      <c r="K420" s="36"/>
      <c r="L420" s="36"/>
      <c r="M420" s="70"/>
      <c r="N420" s="137"/>
      <c r="O420" s="137"/>
      <c r="R420" s="36"/>
      <c r="S420" s="36"/>
      <c r="T420" s="36"/>
      <c r="U420" s="36"/>
      <c r="V420" s="36"/>
      <c r="W420" s="36"/>
      <c r="X420" s="36"/>
      <c r="Y420" s="36"/>
      <c r="Z420" s="36"/>
      <c r="AA420" s="36"/>
      <c r="AB420" s="36"/>
    </row>
    <row r="421" spans="1:28" s="47" customFormat="1" x14ac:dyDescent="0.25">
      <c r="A421" s="26">
        <v>42873</v>
      </c>
      <c r="B421" s="47">
        <v>104082</v>
      </c>
      <c r="C421" s="47" t="s">
        <v>315</v>
      </c>
      <c r="D421" s="47">
        <v>1400</v>
      </c>
      <c r="E421" s="23">
        <v>7.59</v>
      </c>
      <c r="F421" s="23">
        <f>D421*E421</f>
        <v>10626</v>
      </c>
      <c r="G421" s="23">
        <f t="shared" ref="G421:G422" si="143">F421*0.0275%</f>
        <v>2.9221500000000002</v>
      </c>
      <c r="H421" s="23">
        <f>F421*0.005%</f>
        <v>0.53129999999999999</v>
      </c>
      <c r="I421" s="23">
        <v>4</v>
      </c>
      <c r="J421" s="23">
        <v>0.2</v>
      </c>
      <c r="K421" s="23"/>
      <c r="L421" s="23">
        <f>F421+G421+H421+I421</f>
        <v>10633.453450000001</v>
      </c>
      <c r="M421" s="70"/>
      <c r="N421" s="137">
        <f t="shared" si="125"/>
        <v>2.7500000000000002E-4</v>
      </c>
      <c r="O421" s="137">
        <f t="shared" si="126"/>
        <v>5.0000000000000002E-5</v>
      </c>
      <c r="R421" s="23"/>
      <c r="S421" s="23"/>
      <c r="T421" s="23"/>
      <c r="U421" s="23"/>
      <c r="V421" s="23"/>
      <c r="W421" s="23"/>
      <c r="X421" s="23"/>
      <c r="Y421" s="23"/>
      <c r="Z421" s="23"/>
      <c r="AA421" s="23"/>
      <c r="AB421" s="23"/>
    </row>
    <row r="422" spans="1:28" s="72" customFormat="1" x14ac:dyDescent="0.25">
      <c r="A422" s="71">
        <v>42873</v>
      </c>
      <c r="B422" s="72">
        <v>104082</v>
      </c>
      <c r="C422" s="72" t="s">
        <v>279</v>
      </c>
      <c r="D422" s="72">
        <v>300</v>
      </c>
      <c r="E422" s="73">
        <v>32.549999999999997</v>
      </c>
      <c r="F422" s="73">
        <f>D422*E422</f>
        <v>9765</v>
      </c>
      <c r="G422" s="73">
        <f t="shared" si="143"/>
        <v>2.6853750000000001</v>
      </c>
      <c r="H422" s="73">
        <f>F422*0.007%</f>
        <v>0.6835500000000001</v>
      </c>
      <c r="I422" s="73">
        <v>4</v>
      </c>
      <c r="J422" s="73">
        <v>0.2</v>
      </c>
      <c r="K422" s="73">
        <v>0</v>
      </c>
      <c r="L422" s="73">
        <f>F422-G422-H422-I422-K422</f>
        <v>9757.6310750000011</v>
      </c>
      <c r="M422" s="70"/>
      <c r="N422" s="137">
        <f t="shared" si="125"/>
        <v>2.7500000000000002E-4</v>
      </c>
      <c r="O422" s="139">
        <f t="shared" si="126"/>
        <v>7.0000000000000007E-5</v>
      </c>
      <c r="R422" s="73"/>
      <c r="S422" s="73"/>
      <c r="T422" s="73"/>
      <c r="U422" s="73"/>
      <c r="V422" s="73"/>
      <c r="W422" s="73"/>
      <c r="X422" s="73"/>
      <c r="Y422" s="73"/>
      <c r="Z422" s="73"/>
      <c r="AA422" s="73"/>
      <c r="AB422" s="73"/>
    </row>
    <row r="423" spans="1:28" s="47" customFormat="1" x14ac:dyDescent="0.25">
      <c r="A423" s="26"/>
      <c r="E423" s="23"/>
      <c r="F423" s="74">
        <f>F422-F421</f>
        <v>-861</v>
      </c>
      <c r="G423" s="19">
        <f>SUM(G421:G422)</f>
        <v>5.6075250000000008</v>
      </c>
      <c r="H423" s="19">
        <f>SUM(H421:H422)</f>
        <v>1.2148500000000002</v>
      </c>
      <c r="I423" s="19">
        <f>SUM(I421:I422)</f>
        <v>8</v>
      </c>
      <c r="J423" s="19">
        <f>SUM(J421:J422)</f>
        <v>0.4</v>
      </c>
      <c r="K423" s="19"/>
      <c r="L423" s="74">
        <f>L422-L421</f>
        <v>-875.82237499999974</v>
      </c>
      <c r="M423" s="70"/>
      <c r="N423" s="137"/>
      <c r="O423" s="137"/>
      <c r="R423" s="23"/>
      <c r="S423" s="23"/>
      <c r="T423" s="23"/>
      <c r="U423" s="23"/>
      <c r="V423" s="23"/>
      <c r="W423" s="23"/>
      <c r="X423" s="23"/>
      <c r="Y423" s="23"/>
      <c r="Z423" s="23"/>
      <c r="AA423" s="23"/>
      <c r="AB423" s="23"/>
    </row>
    <row r="424" spans="1:28" s="66" customFormat="1" x14ac:dyDescent="0.25">
      <c r="E424" s="36"/>
      <c r="F424" s="36"/>
      <c r="G424" s="36"/>
      <c r="H424" s="36"/>
      <c r="I424" s="36"/>
      <c r="J424" s="36"/>
      <c r="K424" s="36"/>
      <c r="L424" s="36"/>
      <c r="M424" s="70"/>
      <c r="N424" s="137"/>
      <c r="O424" s="137"/>
      <c r="R424" s="36"/>
      <c r="S424" s="36"/>
      <c r="T424" s="36"/>
      <c r="U424" s="36"/>
      <c r="V424" s="36"/>
      <c r="W424" s="36"/>
      <c r="X424" s="36"/>
      <c r="Y424" s="36"/>
      <c r="Z424" s="36"/>
      <c r="AA424" s="36"/>
      <c r="AB424" s="36"/>
    </row>
    <row r="425" spans="1:28" s="66" customFormat="1" x14ac:dyDescent="0.25">
      <c r="A425" s="71">
        <v>42885</v>
      </c>
      <c r="B425" s="72">
        <v>109729</v>
      </c>
      <c r="C425" s="72" t="s">
        <v>269</v>
      </c>
      <c r="D425" s="72">
        <v>300</v>
      </c>
      <c r="E425" s="73">
        <v>27.15</v>
      </c>
      <c r="F425" s="73">
        <f>D425*E425</f>
        <v>8145</v>
      </c>
      <c r="G425" s="73">
        <f t="shared" ref="G425" si="144">F425*0.0275%</f>
        <v>2.2398750000000001</v>
      </c>
      <c r="H425" s="73">
        <f>F425*0.005%</f>
        <v>0.40725</v>
      </c>
      <c r="I425" s="73">
        <v>4</v>
      </c>
      <c r="J425" s="73">
        <f>I425*5%</f>
        <v>0.2</v>
      </c>
      <c r="K425" s="73">
        <v>0</v>
      </c>
      <c r="L425" s="73">
        <f>F425-G425-H425-I425-K425</f>
        <v>8138.3528749999996</v>
      </c>
      <c r="M425" s="70"/>
      <c r="N425" s="137">
        <f t="shared" si="125"/>
        <v>2.7500000000000002E-4</v>
      </c>
      <c r="O425" s="137">
        <f t="shared" si="126"/>
        <v>5.0000000000000002E-5</v>
      </c>
      <c r="R425" s="36"/>
      <c r="S425" s="36"/>
      <c r="T425" s="36"/>
      <c r="U425" s="36"/>
      <c r="V425" s="36"/>
      <c r="W425" s="36"/>
      <c r="X425" s="36"/>
      <c r="Y425" s="36"/>
      <c r="Z425" s="36"/>
      <c r="AA425" s="36"/>
      <c r="AB425" s="36"/>
    </row>
    <row r="426" spans="1:28" s="66" customFormat="1" x14ac:dyDescent="0.25">
      <c r="A426" s="71"/>
      <c r="B426" s="72"/>
      <c r="C426" s="72"/>
      <c r="D426" s="72"/>
      <c r="E426" s="73"/>
      <c r="F426" s="73"/>
      <c r="G426" s="73"/>
      <c r="H426" s="73"/>
      <c r="I426" s="73"/>
      <c r="J426" s="73"/>
      <c r="K426" s="73"/>
      <c r="L426" s="73"/>
      <c r="M426" s="70"/>
      <c r="N426" s="137"/>
      <c r="O426" s="137"/>
      <c r="R426" s="36"/>
      <c r="S426" s="36"/>
      <c r="T426" s="36"/>
      <c r="U426" s="36"/>
      <c r="V426" s="36"/>
      <c r="W426" s="36"/>
      <c r="X426" s="36"/>
      <c r="Y426" s="36"/>
      <c r="Z426" s="36"/>
      <c r="AA426" s="36"/>
      <c r="AB426" s="36"/>
    </row>
    <row r="427" spans="1:28" s="66" customFormat="1" x14ac:dyDescent="0.25">
      <c r="A427" s="71">
        <v>42893</v>
      </c>
      <c r="B427" s="72">
        <v>112777</v>
      </c>
      <c r="C427" s="72" t="s">
        <v>315</v>
      </c>
      <c r="D427" s="72">
        <v>800</v>
      </c>
      <c r="E427" s="73">
        <v>8.35</v>
      </c>
      <c r="F427" s="73">
        <f>D427*E427</f>
        <v>6680</v>
      </c>
      <c r="G427" s="73">
        <f t="shared" ref="G427" si="145">F427*0.0275%</f>
        <v>1.8370000000000002</v>
      </c>
      <c r="H427" s="73">
        <f>F427*0.005%</f>
        <v>0.33400000000000002</v>
      </c>
      <c r="I427" s="73">
        <v>4</v>
      </c>
      <c r="J427" s="73">
        <f>I427*5%</f>
        <v>0.2</v>
      </c>
      <c r="K427" s="73">
        <v>0</v>
      </c>
      <c r="L427" s="73">
        <f>F427-G427-H427-I427-K427</f>
        <v>6673.8289999999997</v>
      </c>
      <c r="M427" s="70"/>
      <c r="N427" s="137">
        <f t="shared" si="125"/>
        <v>2.7500000000000002E-4</v>
      </c>
      <c r="O427" s="137">
        <f t="shared" si="126"/>
        <v>5.0000000000000002E-5</v>
      </c>
      <c r="R427" s="36"/>
      <c r="S427" s="36"/>
      <c r="T427" s="36"/>
      <c r="U427" s="36"/>
      <c r="V427" s="36"/>
      <c r="W427" s="36"/>
      <c r="X427" s="36"/>
      <c r="Y427" s="36"/>
      <c r="Z427" s="36"/>
      <c r="AA427" s="36"/>
      <c r="AB427" s="36"/>
    </row>
    <row r="428" spans="1:28" s="66" customFormat="1" x14ac:dyDescent="0.25">
      <c r="E428" s="36"/>
      <c r="F428" s="36"/>
      <c r="G428" s="36"/>
      <c r="H428" s="36"/>
      <c r="I428" s="36"/>
      <c r="J428" s="36"/>
      <c r="K428" s="36"/>
      <c r="L428" s="36"/>
      <c r="M428" s="70"/>
      <c r="N428" s="137"/>
      <c r="O428" s="137"/>
      <c r="R428" s="36"/>
      <c r="S428" s="36"/>
      <c r="T428" s="36"/>
      <c r="U428" s="36"/>
      <c r="V428" s="36"/>
      <c r="W428" s="36"/>
      <c r="X428" s="36"/>
      <c r="Y428" s="36"/>
      <c r="Z428" s="36"/>
      <c r="AA428" s="36"/>
      <c r="AB428" s="36"/>
    </row>
    <row r="429" spans="1:28" s="66" customFormat="1" x14ac:dyDescent="0.25">
      <c r="A429" s="71">
        <v>42902</v>
      </c>
      <c r="B429" s="72">
        <v>115692</v>
      </c>
      <c r="C429" s="72" t="s">
        <v>289</v>
      </c>
      <c r="D429" s="72">
        <v>32600000</v>
      </c>
      <c r="E429" s="73">
        <v>8.0000000000000007E-5</v>
      </c>
      <c r="F429" s="73">
        <f>D429*E429</f>
        <v>2608</v>
      </c>
      <c r="G429" s="73">
        <f t="shared" ref="G429" si="146">F429*0.0275%</f>
        <v>0.71720000000000006</v>
      </c>
      <c r="H429" s="73">
        <f>F429*0.005%</f>
        <v>0.13040000000000002</v>
      </c>
      <c r="I429" s="73">
        <v>4</v>
      </c>
      <c r="J429" s="73">
        <f>I429*5%</f>
        <v>0.2</v>
      </c>
      <c r="K429" s="73">
        <v>0</v>
      </c>
      <c r="L429" s="73">
        <f>F429-G429-H429-I429-K429</f>
        <v>2603.1523999999999</v>
      </c>
      <c r="M429" s="70"/>
      <c r="N429" s="137">
        <f t="shared" si="125"/>
        <v>2.7500000000000002E-4</v>
      </c>
      <c r="O429" s="137">
        <f t="shared" si="126"/>
        <v>5.0000000000000009E-5</v>
      </c>
      <c r="R429" s="36"/>
      <c r="S429" s="36"/>
      <c r="T429" s="36"/>
      <c r="U429" s="36"/>
      <c r="V429" s="36"/>
      <c r="W429" s="36"/>
      <c r="X429" s="36"/>
      <c r="Y429" s="36"/>
      <c r="Z429" s="36"/>
      <c r="AA429" s="36"/>
      <c r="AB429" s="36"/>
    </row>
    <row r="430" spans="1:28" s="66" customFormat="1" x14ac:dyDescent="0.25">
      <c r="E430" s="36"/>
      <c r="F430" s="36"/>
      <c r="G430" s="36"/>
      <c r="H430" s="36"/>
      <c r="I430" s="36"/>
      <c r="J430" s="36"/>
      <c r="K430" s="36"/>
      <c r="L430" s="36"/>
      <c r="M430" s="70"/>
      <c r="N430" s="137"/>
      <c r="O430" s="137"/>
      <c r="R430" s="36"/>
      <c r="S430" s="36"/>
      <c r="T430" s="36"/>
      <c r="U430" s="36"/>
      <c r="V430" s="36"/>
      <c r="W430" s="36"/>
      <c r="X430" s="36"/>
      <c r="Y430" s="36"/>
      <c r="Z430" s="36"/>
      <c r="AA430" s="36"/>
      <c r="AB430" s="36"/>
    </row>
    <row r="431" spans="1:28" s="66" customFormat="1" x14ac:dyDescent="0.25">
      <c r="A431" s="71">
        <v>42916</v>
      </c>
      <c r="B431" s="72">
        <v>121050</v>
      </c>
      <c r="C431" s="72" t="s">
        <v>318</v>
      </c>
      <c r="D431" s="72">
        <v>900</v>
      </c>
      <c r="E431" s="73">
        <v>12.25</v>
      </c>
      <c r="F431" s="73">
        <f>D431*E431</f>
        <v>11025</v>
      </c>
      <c r="G431" s="73">
        <f t="shared" ref="G431" si="147">F431*0.0275%</f>
        <v>3.0318750000000003</v>
      </c>
      <c r="H431" s="73">
        <f>F431*0.005%</f>
        <v>0.55125000000000002</v>
      </c>
      <c r="I431" s="73">
        <v>4</v>
      </c>
      <c r="J431" s="73">
        <f>I431*5%</f>
        <v>0.2</v>
      </c>
      <c r="K431" s="73">
        <v>0</v>
      </c>
      <c r="L431" s="73">
        <f>F431-G431-H431-I431-K431</f>
        <v>11017.416874999999</v>
      </c>
      <c r="M431" s="70"/>
      <c r="N431" s="137">
        <f t="shared" si="125"/>
        <v>2.7500000000000002E-4</v>
      </c>
      <c r="O431" s="137">
        <f t="shared" si="126"/>
        <v>5.0000000000000002E-5</v>
      </c>
      <c r="R431" s="36"/>
      <c r="S431" s="36"/>
      <c r="T431" s="36"/>
      <c r="U431" s="36"/>
      <c r="V431" s="36"/>
      <c r="W431" s="36"/>
      <c r="X431" s="36"/>
      <c r="Y431" s="36"/>
      <c r="Z431" s="36"/>
      <c r="AA431" s="36"/>
      <c r="AB431" s="36"/>
    </row>
    <row r="432" spans="1:28" s="66" customFormat="1" x14ac:dyDescent="0.25">
      <c r="E432" s="36"/>
      <c r="F432" s="36"/>
      <c r="G432" s="36"/>
      <c r="H432" s="36"/>
      <c r="I432" s="36"/>
      <c r="J432" s="36"/>
      <c r="K432" s="36"/>
      <c r="L432" s="36"/>
      <c r="M432" s="70"/>
      <c r="N432" s="137"/>
      <c r="O432" s="137"/>
      <c r="R432" s="36"/>
      <c r="S432" s="36"/>
      <c r="T432" s="36"/>
      <c r="U432" s="36"/>
      <c r="V432" s="36"/>
      <c r="W432" s="36"/>
      <c r="X432" s="36"/>
      <c r="Y432" s="36"/>
      <c r="Z432" s="36"/>
      <c r="AA432" s="36"/>
      <c r="AB432" s="36"/>
    </row>
    <row r="433" spans="1:28" s="66" customFormat="1" x14ac:dyDescent="0.25">
      <c r="A433" s="26">
        <v>42921</v>
      </c>
      <c r="B433" s="47">
        <v>122611</v>
      </c>
      <c r="C433" s="47" t="s">
        <v>272</v>
      </c>
      <c r="D433" s="47">
        <v>600</v>
      </c>
      <c r="E433" s="23">
        <v>9.0500000000000007</v>
      </c>
      <c r="F433" s="23">
        <f t="shared" ref="F433" si="148">D433*E433</f>
        <v>5430</v>
      </c>
      <c r="G433" s="23">
        <f t="shared" ref="G433" si="149">F433*0.0275%</f>
        <v>1.4932500000000002</v>
      </c>
      <c r="H433" s="23">
        <f t="shared" ref="H433" si="150">F433*0.005%</f>
        <v>0.27150000000000002</v>
      </c>
      <c r="I433" s="23">
        <v>4</v>
      </c>
      <c r="J433" s="23">
        <f>I433*5%</f>
        <v>0.2</v>
      </c>
      <c r="L433" s="23">
        <f>F433+G433+H433+I433</f>
        <v>5435.7647500000003</v>
      </c>
      <c r="M433" s="70"/>
      <c r="N433" s="137">
        <f t="shared" si="125"/>
        <v>2.7500000000000002E-4</v>
      </c>
      <c r="O433" s="137">
        <f t="shared" si="126"/>
        <v>5.0000000000000002E-5</v>
      </c>
      <c r="R433" s="36"/>
      <c r="S433" s="36"/>
      <c r="T433" s="36"/>
      <c r="U433" s="36"/>
      <c r="V433" s="36"/>
      <c r="W433" s="36"/>
      <c r="X433" s="36"/>
      <c r="Y433" s="36"/>
      <c r="Z433" s="36"/>
      <c r="AA433" s="36"/>
      <c r="AB433" s="36"/>
    </row>
    <row r="434" spans="1:28" s="66" customFormat="1" x14ac:dyDescent="0.25">
      <c r="E434" s="36"/>
      <c r="F434" s="36"/>
      <c r="G434" s="36"/>
      <c r="H434" s="36"/>
      <c r="I434" s="36"/>
      <c r="J434" s="36"/>
      <c r="K434" s="36"/>
      <c r="L434" s="36"/>
      <c r="M434" s="70"/>
      <c r="N434" s="137"/>
      <c r="O434" s="137"/>
      <c r="R434" s="36"/>
      <c r="S434" s="36"/>
      <c r="T434" s="36"/>
      <c r="U434" s="36"/>
      <c r="V434" s="36"/>
      <c r="W434" s="36"/>
      <c r="X434" s="36"/>
      <c r="Y434" s="36"/>
      <c r="Z434" s="36"/>
      <c r="AA434" s="36"/>
      <c r="AB434" s="36"/>
    </row>
    <row r="435" spans="1:28" s="66" customFormat="1" x14ac:dyDescent="0.25">
      <c r="A435" s="26">
        <v>42922</v>
      </c>
      <c r="B435" s="47">
        <v>123214</v>
      </c>
      <c r="C435" s="47" t="s">
        <v>274</v>
      </c>
      <c r="D435" s="47">
        <v>400</v>
      </c>
      <c r="E435" s="23">
        <v>13.96</v>
      </c>
      <c r="F435" s="23">
        <f t="shared" ref="F435" si="151">D435*E435</f>
        <v>5584</v>
      </c>
      <c r="G435" s="23">
        <f t="shared" ref="G435" si="152">F435*0.0275%</f>
        <v>1.5356000000000001</v>
      </c>
      <c r="H435" s="23">
        <f t="shared" ref="H435" si="153">F435*0.005%</f>
        <v>0.2792</v>
      </c>
      <c r="I435" s="23">
        <v>4</v>
      </c>
      <c r="J435" s="23">
        <f>I435*5%</f>
        <v>0.2</v>
      </c>
      <c r="L435" s="23">
        <f>F435+G435+H435+I435</f>
        <v>5589.8148000000001</v>
      </c>
      <c r="M435" s="70"/>
      <c r="N435" s="137">
        <f t="shared" si="125"/>
        <v>2.7500000000000002E-4</v>
      </c>
      <c r="O435" s="137">
        <f t="shared" si="126"/>
        <v>5.0000000000000002E-5</v>
      </c>
      <c r="R435" s="36"/>
      <c r="S435" s="36"/>
      <c r="T435" s="36"/>
      <c r="U435" s="36"/>
      <c r="V435" s="36"/>
      <c r="W435" s="36"/>
      <c r="X435" s="36"/>
      <c r="Y435" s="36"/>
      <c r="Z435" s="36"/>
      <c r="AA435" s="36"/>
      <c r="AB435" s="36"/>
    </row>
    <row r="436" spans="1:28" s="66" customFormat="1" x14ac:dyDescent="0.25">
      <c r="E436" s="36"/>
      <c r="F436" s="36"/>
      <c r="G436" s="36"/>
      <c r="H436" s="36"/>
      <c r="I436" s="36"/>
      <c r="J436" s="36"/>
      <c r="K436" s="36"/>
      <c r="L436" s="36"/>
      <c r="M436" s="70"/>
      <c r="N436" s="137"/>
      <c r="O436" s="137"/>
      <c r="R436" s="36"/>
      <c r="S436" s="36"/>
      <c r="T436" s="36"/>
      <c r="U436" s="36"/>
      <c r="V436" s="36"/>
      <c r="W436" s="36"/>
      <c r="X436" s="36"/>
      <c r="Y436" s="36"/>
      <c r="Z436" s="36"/>
      <c r="AA436" s="36"/>
      <c r="AB436" s="36"/>
    </row>
    <row r="437" spans="1:28" s="66" customFormat="1" x14ac:dyDescent="0.25">
      <c r="A437" s="71">
        <v>42934</v>
      </c>
      <c r="B437" s="72">
        <v>128115</v>
      </c>
      <c r="C437" s="72" t="s">
        <v>313</v>
      </c>
      <c r="D437" s="72">
        <v>4900</v>
      </c>
      <c r="E437" s="73">
        <v>3.9</v>
      </c>
      <c r="F437" s="73">
        <f>D437*E437</f>
        <v>19110</v>
      </c>
      <c r="G437" s="73">
        <f t="shared" ref="G437" si="154">F437*0.0275%</f>
        <v>5.2552500000000002</v>
      </c>
      <c r="H437" s="73">
        <f>F437*0.005%</f>
        <v>0.95550000000000002</v>
      </c>
      <c r="I437" s="73">
        <v>4</v>
      </c>
      <c r="J437" s="73">
        <f>I437*5%</f>
        <v>0.2</v>
      </c>
      <c r="K437" s="73">
        <v>0</v>
      </c>
      <c r="L437" s="73">
        <f>F437-G437-H437-I437-K437</f>
        <v>19099.789250000002</v>
      </c>
      <c r="M437" s="70"/>
      <c r="N437" s="137">
        <f t="shared" si="125"/>
        <v>2.7500000000000002E-4</v>
      </c>
      <c r="O437" s="137">
        <f t="shared" si="126"/>
        <v>5.0000000000000002E-5</v>
      </c>
      <c r="R437" s="36"/>
      <c r="S437" s="36"/>
      <c r="T437" s="36"/>
      <c r="U437" s="36"/>
      <c r="V437" s="36"/>
      <c r="W437" s="36"/>
      <c r="X437" s="36"/>
      <c r="Y437" s="36"/>
      <c r="Z437" s="36"/>
      <c r="AA437" s="36"/>
      <c r="AB437" s="36"/>
    </row>
    <row r="438" spans="1:28" s="66" customFormat="1" x14ac:dyDescent="0.25">
      <c r="E438" s="36"/>
      <c r="F438" s="36"/>
      <c r="G438" s="36"/>
      <c r="H438" s="36"/>
      <c r="I438" s="36"/>
      <c r="J438" s="36"/>
      <c r="K438" s="36"/>
      <c r="L438" s="36"/>
      <c r="M438" s="70"/>
      <c r="N438" s="137"/>
      <c r="O438" s="137"/>
      <c r="R438" s="36"/>
      <c r="S438" s="36"/>
      <c r="T438" s="36"/>
      <c r="U438" s="36"/>
      <c r="V438" s="36"/>
      <c r="W438" s="36"/>
      <c r="X438" s="36"/>
      <c r="Y438" s="36"/>
      <c r="Z438" s="36"/>
      <c r="AA438" s="36"/>
      <c r="AB438" s="36"/>
    </row>
    <row r="439" spans="1:28" s="66" customFormat="1" x14ac:dyDescent="0.25">
      <c r="A439" s="71">
        <v>42935</v>
      </c>
      <c r="B439" s="72">
        <v>128738</v>
      </c>
      <c r="C439" s="72" t="s">
        <v>328</v>
      </c>
      <c r="D439" s="72">
        <v>2900</v>
      </c>
      <c r="E439" s="73">
        <v>3.9</v>
      </c>
      <c r="F439" s="73">
        <f>D439*E439</f>
        <v>11310</v>
      </c>
      <c r="G439" s="73">
        <f t="shared" ref="G439" si="155">F439*0.0275%</f>
        <v>3.1102500000000002</v>
      </c>
      <c r="H439" s="73">
        <f>F439*0.005%</f>
        <v>0.5655</v>
      </c>
      <c r="I439" s="73">
        <v>4</v>
      </c>
      <c r="J439" s="73">
        <f>I439*5%</f>
        <v>0.2</v>
      </c>
      <c r="K439" s="73">
        <v>0</v>
      </c>
      <c r="L439" s="73">
        <f>F439-G439-H439-I439-K439</f>
        <v>11302.32425</v>
      </c>
      <c r="M439" s="70"/>
      <c r="N439" s="137">
        <f t="shared" si="125"/>
        <v>2.7500000000000002E-4</v>
      </c>
      <c r="O439" s="137">
        <f t="shared" si="126"/>
        <v>5.0000000000000002E-5</v>
      </c>
      <c r="R439" s="36"/>
      <c r="S439" s="36"/>
      <c r="T439" s="36"/>
      <c r="U439" s="36"/>
      <c r="V439" s="36"/>
      <c r="W439" s="36"/>
      <c r="X439" s="36"/>
      <c r="Y439" s="36"/>
      <c r="Z439" s="36"/>
      <c r="AA439" s="36"/>
      <c r="AB439" s="36"/>
    </row>
    <row r="440" spans="1:28" s="66" customFormat="1" x14ac:dyDescent="0.25">
      <c r="E440" s="36"/>
      <c r="F440" s="36"/>
      <c r="G440" s="36"/>
      <c r="H440" s="36"/>
      <c r="I440" s="36"/>
      <c r="J440" s="36"/>
      <c r="K440" s="36"/>
      <c r="L440" s="36"/>
      <c r="M440" s="70"/>
      <c r="N440" s="137"/>
      <c r="O440" s="137"/>
      <c r="R440" s="36"/>
      <c r="S440" s="36"/>
      <c r="T440" s="36"/>
      <c r="U440" s="36"/>
      <c r="V440" s="36"/>
      <c r="W440" s="36"/>
      <c r="X440" s="36"/>
      <c r="Y440" s="36"/>
      <c r="Z440" s="36"/>
      <c r="AA440" s="36"/>
      <c r="AB440" s="36"/>
    </row>
    <row r="441" spans="1:28" s="47" customFormat="1" x14ac:dyDescent="0.25">
      <c r="A441" s="26">
        <v>42943</v>
      </c>
      <c r="B441" s="47">
        <v>132658</v>
      </c>
      <c r="C441" s="47" t="s">
        <v>330</v>
      </c>
      <c r="D441" s="47">
        <v>1100</v>
      </c>
      <c r="E441" s="23">
        <v>7.9</v>
      </c>
      <c r="F441" s="23">
        <f>D441*E441</f>
        <v>8690</v>
      </c>
      <c r="G441" s="23">
        <f t="shared" ref="G441:G442" si="156">F441*0.0275%</f>
        <v>2.3897500000000003</v>
      </c>
      <c r="H441" s="23">
        <f>F441*0.005%</f>
        <v>0.4345</v>
      </c>
      <c r="I441" s="23">
        <v>4</v>
      </c>
      <c r="J441" s="23">
        <f>I441*5%</f>
        <v>0.2</v>
      </c>
      <c r="K441" s="23"/>
      <c r="L441" s="23">
        <f>F441+G441+H441+I441</f>
        <v>8696.8242499999997</v>
      </c>
      <c r="M441" s="70"/>
      <c r="N441" s="137">
        <f t="shared" si="125"/>
        <v>2.7500000000000002E-4</v>
      </c>
      <c r="O441" s="137">
        <f t="shared" si="126"/>
        <v>5.0000000000000002E-5</v>
      </c>
      <c r="R441" s="23"/>
      <c r="S441" s="23"/>
      <c r="T441" s="23"/>
      <c r="U441" s="23"/>
      <c r="V441" s="23"/>
      <c r="W441" s="23"/>
      <c r="X441" s="23"/>
      <c r="Y441" s="23"/>
      <c r="Z441" s="23"/>
      <c r="AA441" s="23"/>
      <c r="AB441" s="23"/>
    </row>
    <row r="442" spans="1:28" s="72" customFormat="1" x14ac:dyDescent="0.25">
      <c r="A442" s="71">
        <v>42943</v>
      </c>
      <c r="B442" s="72">
        <v>132658</v>
      </c>
      <c r="C442" s="72" t="s">
        <v>274</v>
      </c>
      <c r="D442" s="72">
        <v>400</v>
      </c>
      <c r="E442" s="73">
        <v>15.5</v>
      </c>
      <c r="F442" s="73">
        <f>D442*E442</f>
        <v>6200</v>
      </c>
      <c r="G442" s="73">
        <f t="shared" si="156"/>
        <v>1.7050000000000001</v>
      </c>
      <c r="H442" s="73">
        <f>F442*0.005%</f>
        <v>0.31</v>
      </c>
      <c r="I442" s="73">
        <v>4</v>
      </c>
      <c r="J442" s="73">
        <f>I442*5%</f>
        <v>0.2</v>
      </c>
      <c r="K442" s="73">
        <v>0</v>
      </c>
      <c r="L442" s="73">
        <f>F442-G442-H442-I442-K442</f>
        <v>6193.9849999999997</v>
      </c>
      <c r="M442" s="70"/>
      <c r="N442" s="137">
        <f t="shared" si="125"/>
        <v>2.7500000000000002E-4</v>
      </c>
      <c r="O442" s="137">
        <f t="shared" si="126"/>
        <v>5.0000000000000002E-5</v>
      </c>
      <c r="R442" s="73"/>
      <c r="S442" s="73"/>
      <c r="T442" s="73"/>
      <c r="U442" s="73"/>
      <c r="V442" s="73"/>
      <c r="W442" s="73"/>
      <c r="X442" s="73"/>
      <c r="Y442" s="73"/>
      <c r="Z442" s="73"/>
      <c r="AA442" s="73"/>
      <c r="AB442" s="73"/>
    </row>
    <row r="443" spans="1:28" s="47" customFormat="1" x14ac:dyDescent="0.25">
      <c r="A443" s="26"/>
      <c r="E443" s="23"/>
      <c r="F443" s="74">
        <f>F442-F441</f>
        <v>-2490</v>
      </c>
      <c r="G443" s="19">
        <f>SUM(G441:G442)</f>
        <v>4.0947500000000003</v>
      </c>
      <c r="H443" s="19">
        <f>SUM(H441:H442)</f>
        <v>0.74449999999999994</v>
      </c>
      <c r="I443" s="19">
        <f>SUM(I441:I442)</f>
        <v>8</v>
      </c>
      <c r="J443" s="19">
        <f>SUM(J441:J442)</f>
        <v>0.4</v>
      </c>
      <c r="K443" s="19"/>
      <c r="L443" s="74">
        <f>L442-L441</f>
        <v>-2502.83925</v>
      </c>
      <c r="M443" s="70"/>
      <c r="N443" s="137"/>
      <c r="O443" s="137"/>
      <c r="R443" s="23"/>
      <c r="S443" s="23"/>
      <c r="T443" s="23"/>
      <c r="U443" s="23"/>
      <c r="V443" s="23"/>
      <c r="W443" s="23"/>
      <c r="X443" s="23"/>
      <c r="Y443" s="23"/>
      <c r="Z443" s="23"/>
      <c r="AA443" s="23"/>
      <c r="AB443" s="23"/>
    </row>
    <row r="444" spans="1:28" s="66" customFormat="1" x14ac:dyDescent="0.25">
      <c r="E444" s="36"/>
      <c r="F444" s="36"/>
      <c r="G444" s="36"/>
      <c r="H444" s="36"/>
      <c r="I444" s="36"/>
      <c r="J444" s="36"/>
      <c r="K444" s="36"/>
      <c r="L444" s="36"/>
      <c r="M444" s="70"/>
      <c r="N444" s="137"/>
      <c r="O444" s="137"/>
      <c r="R444" s="36"/>
      <c r="S444" s="36"/>
      <c r="T444" s="36"/>
      <c r="U444" s="36"/>
      <c r="V444" s="36"/>
      <c r="W444" s="36"/>
      <c r="X444" s="36"/>
      <c r="Y444" s="36"/>
      <c r="Z444" s="36"/>
      <c r="AA444" s="36"/>
      <c r="AB444" s="36"/>
    </row>
    <row r="445" spans="1:28" s="47" customFormat="1" x14ac:dyDescent="0.25">
      <c r="A445" s="26">
        <v>42944</v>
      </c>
      <c r="B445" s="47">
        <v>133249</v>
      </c>
      <c r="C445" s="47" t="s">
        <v>305</v>
      </c>
      <c r="D445" s="47">
        <v>900</v>
      </c>
      <c r="E445" s="23">
        <v>10.8</v>
      </c>
      <c r="F445" s="23">
        <f>D445*E445</f>
        <v>9720</v>
      </c>
      <c r="G445" s="23">
        <f t="shared" ref="G445:G446" si="157">F445*0.0275%</f>
        <v>2.673</v>
      </c>
      <c r="H445" s="23">
        <f>F445*0.005%</f>
        <v>0.48600000000000004</v>
      </c>
      <c r="I445" s="23">
        <v>4</v>
      </c>
      <c r="J445" s="23">
        <f>I445*5%</f>
        <v>0.2</v>
      </c>
      <c r="K445" s="23"/>
      <c r="L445" s="23">
        <f>F445+G445+H445+I445</f>
        <v>9727.1590000000015</v>
      </c>
      <c r="M445" s="70"/>
      <c r="N445" s="137">
        <f t="shared" si="125"/>
        <v>2.7500000000000002E-4</v>
      </c>
      <c r="O445" s="137">
        <f t="shared" si="126"/>
        <v>5.0000000000000002E-5</v>
      </c>
      <c r="R445" s="23"/>
      <c r="S445" s="23"/>
      <c r="T445" s="23"/>
      <c r="U445" s="23"/>
      <c r="V445" s="23"/>
      <c r="W445" s="23"/>
      <c r="X445" s="23"/>
      <c r="Y445" s="23"/>
      <c r="Z445" s="23"/>
      <c r="AA445" s="23"/>
      <c r="AB445" s="23"/>
    </row>
    <row r="446" spans="1:28" s="47" customFormat="1" x14ac:dyDescent="0.25">
      <c r="A446" s="26">
        <v>42944</v>
      </c>
      <c r="B446" s="47">
        <v>133249</v>
      </c>
      <c r="C446" s="47" t="s">
        <v>331</v>
      </c>
      <c r="D446" s="47">
        <v>600</v>
      </c>
      <c r="E446" s="23">
        <v>16</v>
      </c>
      <c r="F446" s="23">
        <f>D446*E446</f>
        <v>9600</v>
      </c>
      <c r="G446" s="23">
        <f t="shared" si="157"/>
        <v>2.64</v>
      </c>
      <c r="H446" s="23">
        <f>F446*0.005%</f>
        <v>0.48000000000000004</v>
      </c>
      <c r="I446" s="23">
        <v>4</v>
      </c>
      <c r="J446" s="23">
        <f>I446*5%</f>
        <v>0.2</v>
      </c>
      <c r="K446" s="23"/>
      <c r="L446" s="23">
        <f>F446+G446+H446+I446</f>
        <v>9607.119999999999</v>
      </c>
      <c r="M446" s="70"/>
      <c r="N446" s="137">
        <f t="shared" si="125"/>
        <v>2.7500000000000002E-4</v>
      </c>
      <c r="O446" s="137">
        <f t="shared" si="126"/>
        <v>5.0000000000000002E-5</v>
      </c>
      <c r="R446" s="23"/>
      <c r="S446" s="23"/>
      <c r="T446" s="23"/>
      <c r="U446" s="23"/>
      <c r="V446" s="23"/>
      <c r="W446" s="23"/>
      <c r="X446" s="23"/>
      <c r="Y446" s="23"/>
      <c r="Z446" s="23"/>
      <c r="AA446" s="23"/>
      <c r="AB446" s="23"/>
    </row>
    <row r="447" spans="1:28" s="47" customFormat="1" x14ac:dyDescent="0.25">
      <c r="A447" s="26"/>
      <c r="E447" s="23"/>
      <c r="F447" s="19">
        <f>SUM(F444:F446)</f>
        <v>19320</v>
      </c>
      <c r="G447" s="19">
        <f>SUM(G444:G446)</f>
        <v>5.3130000000000006</v>
      </c>
      <c r="H447" s="19">
        <f>SUM(H444:H446)</f>
        <v>0.96600000000000008</v>
      </c>
      <c r="I447" s="19">
        <f>SUM(I444:I446)</f>
        <v>8</v>
      </c>
      <c r="J447" s="19">
        <f>SUM(J444:J446)</f>
        <v>0.4</v>
      </c>
      <c r="K447" s="19"/>
      <c r="L447" s="19">
        <f>SUM(L444:L446)</f>
        <v>19334.279000000002</v>
      </c>
      <c r="M447" s="70"/>
      <c r="N447" s="137"/>
      <c r="O447" s="137"/>
      <c r="R447" s="23"/>
      <c r="S447" s="23"/>
      <c r="T447" s="23"/>
      <c r="U447" s="23"/>
      <c r="V447" s="23"/>
      <c r="W447" s="23"/>
      <c r="X447" s="23"/>
      <c r="Y447" s="23"/>
      <c r="Z447" s="23"/>
      <c r="AA447" s="23"/>
      <c r="AB447" s="23"/>
    </row>
    <row r="448" spans="1:28" s="66" customFormat="1" x14ac:dyDescent="0.25">
      <c r="E448" s="36"/>
      <c r="F448" s="36"/>
      <c r="G448" s="36"/>
      <c r="H448" s="36"/>
      <c r="I448" s="36"/>
      <c r="J448" s="36"/>
      <c r="K448" s="36"/>
      <c r="L448" s="36"/>
      <c r="M448" s="70"/>
      <c r="N448" s="137"/>
      <c r="O448" s="137"/>
      <c r="R448" s="36"/>
      <c r="S448" s="36"/>
      <c r="T448" s="36"/>
      <c r="U448" s="36"/>
      <c r="V448" s="36"/>
      <c r="W448" s="36"/>
      <c r="X448" s="36"/>
      <c r="Y448" s="36"/>
      <c r="Z448" s="36"/>
      <c r="AA448" s="36"/>
      <c r="AB448" s="36"/>
    </row>
    <row r="449" spans="1:28" s="66" customFormat="1" x14ac:dyDescent="0.25">
      <c r="A449" s="26">
        <v>42949</v>
      </c>
      <c r="B449" s="47">
        <v>135454</v>
      </c>
      <c r="C449" s="47" t="s">
        <v>332</v>
      </c>
      <c r="D449" s="47">
        <v>2300</v>
      </c>
      <c r="E449" s="23">
        <v>3.33</v>
      </c>
      <c r="F449" s="23">
        <f t="shared" ref="F449" si="158">D449*E449</f>
        <v>7659</v>
      </c>
      <c r="G449" s="23">
        <f t="shared" ref="G449" si="159">F449*0.0275%</f>
        <v>2.1062250000000002</v>
      </c>
      <c r="H449" s="23">
        <f t="shared" ref="H449" si="160">F449*0.005%</f>
        <v>0.38295000000000001</v>
      </c>
      <c r="I449" s="23">
        <v>4</v>
      </c>
      <c r="J449" s="23">
        <f>I449*5%</f>
        <v>0.2</v>
      </c>
      <c r="L449" s="23">
        <f>F449+G449+H449+I449</f>
        <v>7665.4891750000006</v>
      </c>
      <c r="M449" s="70"/>
      <c r="N449" s="137">
        <f t="shared" si="125"/>
        <v>2.7500000000000002E-4</v>
      </c>
      <c r="O449" s="137">
        <f t="shared" si="126"/>
        <v>5.0000000000000002E-5</v>
      </c>
      <c r="R449" s="36"/>
      <c r="S449" s="36"/>
      <c r="T449" s="36"/>
      <c r="U449" s="36"/>
      <c r="V449" s="36"/>
      <c r="W449" s="36"/>
      <c r="X449" s="36"/>
      <c r="Y449" s="36"/>
      <c r="Z449" s="36"/>
      <c r="AA449" s="36"/>
      <c r="AB449" s="36"/>
    </row>
    <row r="450" spans="1:28" s="66" customFormat="1" x14ac:dyDescent="0.25">
      <c r="E450" s="36"/>
      <c r="F450" s="36"/>
      <c r="G450" s="36"/>
      <c r="H450" s="36"/>
      <c r="I450" s="36"/>
      <c r="J450" s="36"/>
      <c r="K450" s="36"/>
      <c r="L450" s="36"/>
      <c r="M450" s="70"/>
      <c r="N450" s="137"/>
      <c r="O450" s="137"/>
      <c r="R450" s="36"/>
      <c r="S450" s="36"/>
      <c r="T450" s="36"/>
      <c r="U450" s="36"/>
      <c r="V450" s="36"/>
      <c r="W450" s="36"/>
      <c r="X450" s="36"/>
      <c r="Y450" s="36"/>
      <c r="Z450" s="36"/>
      <c r="AA450" s="36"/>
      <c r="AB450" s="36"/>
    </row>
    <row r="451" spans="1:28" s="66" customFormat="1" x14ac:dyDescent="0.25">
      <c r="A451" s="71">
        <v>42954</v>
      </c>
      <c r="B451" s="72">
        <v>137915</v>
      </c>
      <c r="C451" s="72" t="s">
        <v>329</v>
      </c>
      <c r="D451" s="72">
        <v>1000</v>
      </c>
      <c r="E451" s="73">
        <v>8.1300000000000008</v>
      </c>
      <c r="F451" s="73">
        <f>D451*E451</f>
        <v>8130.0000000000009</v>
      </c>
      <c r="G451" s="73">
        <f t="shared" ref="G451" si="161">F451*0.0275%</f>
        <v>2.2357500000000003</v>
      </c>
      <c r="H451" s="73">
        <f>F451*0.005%</f>
        <v>0.40650000000000008</v>
      </c>
      <c r="I451" s="73">
        <v>4</v>
      </c>
      <c r="J451" s="73">
        <f>I451*5%</f>
        <v>0.2</v>
      </c>
      <c r="K451" s="73">
        <v>0</v>
      </c>
      <c r="L451" s="73">
        <f>F451-G451-H451-I451-K451</f>
        <v>8123.357750000001</v>
      </c>
      <c r="M451" s="70"/>
      <c r="N451" s="137">
        <f t="shared" ref="N451:N513" si="162">G451/F451</f>
        <v>2.7500000000000002E-4</v>
      </c>
      <c r="O451" s="137">
        <f t="shared" ref="O451:O513" si="163">H451/F451</f>
        <v>5.0000000000000002E-5</v>
      </c>
      <c r="R451" s="36"/>
      <c r="S451" s="36"/>
      <c r="T451" s="36"/>
      <c r="U451" s="36"/>
      <c r="V451" s="36"/>
      <c r="W451" s="36"/>
      <c r="X451" s="36"/>
      <c r="Y451" s="36"/>
      <c r="Z451" s="36"/>
      <c r="AA451" s="36"/>
      <c r="AB451" s="36"/>
    </row>
    <row r="452" spans="1:28" s="66" customFormat="1" x14ac:dyDescent="0.25">
      <c r="E452" s="36"/>
      <c r="F452" s="36"/>
      <c r="G452" s="36"/>
      <c r="H452" s="36"/>
      <c r="I452" s="36"/>
      <c r="J452" s="36"/>
      <c r="K452" s="36"/>
      <c r="L452" s="36"/>
      <c r="M452" s="70"/>
      <c r="N452" s="137"/>
      <c r="O452" s="137"/>
      <c r="R452" s="36"/>
      <c r="S452" s="36"/>
      <c r="T452" s="36"/>
      <c r="U452" s="36"/>
      <c r="V452" s="36"/>
      <c r="W452" s="36"/>
      <c r="X452" s="36"/>
      <c r="Y452" s="36"/>
      <c r="Z452" s="36"/>
      <c r="AA452" s="36"/>
      <c r="AB452" s="36"/>
    </row>
    <row r="453" spans="1:28" s="47" customFormat="1" x14ac:dyDescent="0.25">
      <c r="A453" s="26">
        <v>42955</v>
      </c>
      <c r="B453" s="47">
        <v>138804</v>
      </c>
      <c r="C453" s="47" t="s">
        <v>311</v>
      </c>
      <c r="D453" s="47">
        <v>900</v>
      </c>
      <c r="E453" s="23">
        <v>8.8699999999999992</v>
      </c>
      <c r="F453" s="23">
        <f>D453*E453</f>
        <v>7982.9999999999991</v>
      </c>
      <c r="G453" s="23">
        <f t="shared" ref="G453:G454" si="164">F453*0.0275%</f>
        <v>2.195325</v>
      </c>
      <c r="H453" s="23">
        <f>F453*0.005%</f>
        <v>0.39914999999999995</v>
      </c>
      <c r="I453" s="23">
        <v>4</v>
      </c>
      <c r="J453" s="23">
        <f>I453*5%</f>
        <v>0.2</v>
      </c>
      <c r="K453" s="23"/>
      <c r="L453" s="23">
        <f>F453+G453+H453+I453</f>
        <v>7989.594474999999</v>
      </c>
      <c r="M453" s="70"/>
      <c r="N453" s="137">
        <f t="shared" si="162"/>
        <v>2.7500000000000002E-4</v>
      </c>
      <c r="O453" s="137">
        <f t="shared" si="163"/>
        <v>5.0000000000000002E-5</v>
      </c>
      <c r="R453" s="23"/>
      <c r="S453" s="23"/>
      <c r="T453" s="23"/>
      <c r="U453" s="23"/>
      <c r="V453" s="23"/>
      <c r="W453" s="23"/>
      <c r="X453" s="23"/>
      <c r="Y453" s="23"/>
      <c r="Z453" s="23"/>
      <c r="AA453" s="23"/>
      <c r="AB453" s="23"/>
    </row>
    <row r="454" spans="1:28" s="72" customFormat="1" x14ac:dyDescent="0.25">
      <c r="A454" s="71">
        <v>42955</v>
      </c>
      <c r="B454" s="72">
        <v>138804</v>
      </c>
      <c r="C454" s="72" t="s">
        <v>331</v>
      </c>
      <c r="D454" s="72">
        <v>600</v>
      </c>
      <c r="E454" s="73">
        <v>16.670000000000002</v>
      </c>
      <c r="F454" s="73">
        <f>D454*E454</f>
        <v>10002.000000000002</v>
      </c>
      <c r="G454" s="73">
        <f t="shared" si="164"/>
        <v>2.7505500000000005</v>
      </c>
      <c r="H454" s="73">
        <f>F454*0.005%</f>
        <v>0.5001000000000001</v>
      </c>
      <c r="I454" s="73">
        <v>4</v>
      </c>
      <c r="J454" s="73">
        <f>I454*5%</f>
        <v>0.2</v>
      </c>
      <c r="K454" s="73">
        <v>0</v>
      </c>
      <c r="L454" s="73">
        <f>F454-G454-H454-I454-K454</f>
        <v>9994.7493500000019</v>
      </c>
      <c r="M454" s="70"/>
      <c r="N454" s="137">
        <f t="shared" si="162"/>
        <v>2.7500000000000002E-4</v>
      </c>
      <c r="O454" s="137">
        <f t="shared" si="163"/>
        <v>5.0000000000000002E-5</v>
      </c>
      <c r="R454" s="73"/>
      <c r="S454" s="73"/>
      <c r="T454" s="73"/>
      <c r="U454" s="73"/>
      <c r="V454" s="73"/>
      <c r="W454" s="73"/>
      <c r="X454" s="73"/>
      <c r="Y454" s="73"/>
      <c r="Z454" s="73"/>
      <c r="AA454" s="73"/>
      <c r="AB454" s="73"/>
    </row>
    <row r="455" spans="1:28" s="47" customFormat="1" x14ac:dyDescent="0.25">
      <c r="A455" s="26"/>
      <c r="E455" s="23"/>
      <c r="F455" s="74">
        <f>F454-F453</f>
        <v>2019.0000000000027</v>
      </c>
      <c r="G455" s="19">
        <f>SUM(G453:G454)</f>
        <v>4.9458750000000009</v>
      </c>
      <c r="H455" s="19">
        <f>SUM(H453:H454)</f>
        <v>0.8992500000000001</v>
      </c>
      <c r="I455" s="19">
        <f>SUM(I453:I454)</f>
        <v>8</v>
      </c>
      <c r="J455" s="19">
        <f>SUM(J453:J454)</f>
        <v>0.4</v>
      </c>
      <c r="K455" s="19"/>
      <c r="L455" s="74">
        <f>L454-L453</f>
        <v>2005.1548750000029</v>
      </c>
      <c r="M455" s="70"/>
      <c r="N455" s="137"/>
      <c r="O455" s="137"/>
      <c r="R455" s="23"/>
      <c r="S455" s="23"/>
      <c r="T455" s="23"/>
      <c r="U455" s="23"/>
      <c r="V455" s="23"/>
      <c r="W455" s="23"/>
      <c r="X455" s="23"/>
      <c r="Y455" s="23"/>
      <c r="Z455" s="23"/>
      <c r="AA455" s="23"/>
      <c r="AB455" s="23"/>
    </row>
    <row r="456" spans="1:28" x14ac:dyDescent="0.25">
      <c r="N456" s="137"/>
      <c r="O456" s="137"/>
    </row>
    <row r="457" spans="1:28" s="66" customFormat="1" x14ac:dyDescent="0.25">
      <c r="A457" s="26">
        <v>42956</v>
      </c>
      <c r="B457" s="47">
        <v>139684</v>
      </c>
      <c r="C457" s="47" t="s">
        <v>333</v>
      </c>
      <c r="D457" s="47">
        <v>1500</v>
      </c>
      <c r="E457" s="23">
        <v>6.75</v>
      </c>
      <c r="F457" s="23">
        <f t="shared" ref="F457" si="165">D457*E457</f>
        <v>10125</v>
      </c>
      <c r="G457" s="23">
        <f t="shared" ref="G457" si="166">F457*0.0275%</f>
        <v>2.7843750000000003</v>
      </c>
      <c r="H457" s="23">
        <f t="shared" ref="H457" si="167">F457*0.005%</f>
        <v>0.50624999999999998</v>
      </c>
      <c r="I457" s="23">
        <v>4</v>
      </c>
      <c r="J457" s="23">
        <f>I457*5%</f>
        <v>0.2</v>
      </c>
      <c r="L457" s="23">
        <f>F457+G457+H457+I457</f>
        <v>10132.290625</v>
      </c>
      <c r="M457" s="70"/>
      <c r="N457" s="137">
        <f t="shared" si="162"/>
        <v>2.7500000000000002E-4</v>
      </c>
      <c r="O457" s="137">
        <f t="shared" si="163"/>
        <v>4.9999999999999996E-5</v>
      </c>
      <c r="R457" s="36"/>
      <c r="S457" s="36"/>
      <c r="T457" s="36"/>
      <c r="U457" s="36"/>
      <c r="V457" s="36"/>
      <c r="W457" s="36"/>
      <c r="X457" s="36"/>
      <c r="Y457" s="36"/>
      <c r="Z457" s="36"/>
      <c r="AA457" s="36"/>
      <c r="AB457" s="36"/>
    </row>
    <row r="458" spans="1:28" x14ac:dyDescent="0.25">
      <c r="N458" s="137"/>
      <c r="O458" s="137"/>
    </row>
    <row r="459" spans="1:28" s="66" customFormat="1" x14ac:dyDescent="0.25">
      <c r="A459" s="71">
        <v>42961</v>
      </c>
      <c r="B459" s="72">
        <v>142215</v>
      </c>
      <c r="C459" s="72" t="s">
        <v>334</v>
      </c>
      <c r="D459" s="72">
        <v>298</v>
      </c>
      <c r="E459" s="73">
        <v>18.149999999999999</v>
      </c>
      <c r="F459" s="73">
        <f>D459*E459</f>
        <v>5408.7</v>
      </c>
      <c r="G459" s="73">
        <f t="shared" ref="G459:G460" si="168">F459*0.0275%</f>
        <v>1.4873925000000001</v>
      </c>
      <c r="H459" s="73">
        <f>F459*0.005%</f>
        <v>0.27043499999999998</v>
      </c>
      <c r="I459" s="73">
        <v>8</v>
      </c>
      <c r="J459" s="73">
        <f>I459*5%</f>
        <v>0.4</v>
      </c>
      <c r="K459" s="73">
        <v>0</v>
      </c>
      <c r="L459" s="73">
        <f>F459-G459-H459-I459-K459</f>
        <v>5398.9421724999993</v>
      </c>
      <c r="M459" s="70"/>
      <c r="N459" s="137">
        <f t="shared" si="162"/>
        <v>2.7500000000000002E-4</v>
      </c>
      <c r="O459" s="137">
        <f t="shared" si="163"/>
        <v>4.9999999999999996E-5</v>
      </c>
      <c r="R459" s="36"/>
      <c r="S459" s="36"/>
      <c r="T459" s="36"/>
      <c r="U459" s="36"/>
      <c r="V459" s="36"/>
      <c r="W459" s="36"/>
      <c r="X459" s="36"/>
      <c r="Y459" s="36"/>
      <c r="Z459" s="36"/>
      <c r="AA459" s="36"/>
      <c r="AB459" s="36"/>
    </row>
    <row r="460" spans="1:28" s="66" customFormat="1" x14ac:dyDescent="0.25">
      <c r="A460" s="71">
        <v>42961</v>
      </c>
      <c r="B460" s="72">
        <v>142215</v>
      </c>
      <c r="C460" s="72" t="s">
        <v>309</v>
      </c>
      <c r="D460" s="72">
        <v>600</v>
      </c>
      <c r="E460" s="73">
        <v>14.5</v>
      </c>
      <c r="F460" s="73">
        <f>D460*E460</f>
        <v>8700</v>
      </c>
      <c r="G460" s="73">
        <f t="shared" si="168"/>
        <v>2.3925000000000001</v>
      </c>
      <c r="H460" s="73">
        <f>F460*0.005%</f>
        <v>0.435</v>
      </c>
      <c r="I460" s="73">
        <v>4</v>
      </c>
      <c r="J460" s="73">
        <f>I460*5%</f>
        <v>0.2</v>
      </c>
      <c r="K460" s="73">
        <v>0</v>
      </c>
      <c r="L460" s="73">
        <f>F460-G460-H460-I460-K460</f>
        <v>8693.1725000000006</v>
      </c>
      <c r="M460" s="70"/>
      <c r="N460" s="137">
        <f t="shared" si="162"/>
        <v>2.7500000000000002E-4</v>
      </c>
      <c r="O460" s="137">
        <f t="shared" si="163"/>
        <v>5.0000000000000002E-5</v>
      </c>
      <c r="R460" s="36"/>
      <c r="S460" s="36"/>
      <c r="T460" s="36"/>
      <c r="U460" s="36"/>
      <c r="V460" s="36"/>
      <c r="W460" s="36"/>
      <c r="X460" s="36"/>
      <c r="Y460" s="36"/>
      <c r="Z460" s="36"/>
      <c r="AA460" s="36"/>
      <c r="AB460" s="36"/>
    </row>
    <row r="461" spans="1:28" s="72" customFormat="1" x14ac:dyDescent="0.25">
      <c r="A461" s="71"/>
      <c r="E461" s="73"/>
      <c r="F461" s="74">
        <f t="shared" ref="F461:L461" si="169">SUM(F459:F460)</f>
        <v>14108.7</v>
      </c>
      <c r="G461" s="74">
        <f t="shared" si="169"/>
        <v>3.8798925000000004</v>
      </c>
      <c r="H461" s="74">
        <f t="shared" si="169"/>
        <v>0.70543500000000003</v>
      </c>
      <c r="I461" s="74">
        <f t="shared" si="169"/>
        <v>12</v>
      </c>
      <c r="J461" s="74">
        <f t="shared" si="169"/>
        <v>0.60000000000000009</v>
      </c>
      <c r="K461" s="74">
        <f t="shared" si="169"/>
        <v>0</v>
      </c>
      <c r="L461" s="74">
        <f t="shared" si="169"/>
        <v>14092.1146725</v>
      </c>
      <c r="M461" s="70"/>
      <c r="N461" s="137"/>
      <c r="O461" s="137"/>
      <c r="R461" s="73"/>
      <c r="S461" s="73"/>
      <c r="T461" s="73"/>
      <c r="U461" s="73"/>
      <c r="V461" s="73"/>
      <c r="W461" s="73"/>
      <c r="X461" s="73"/>
      <c r="Y461" s="73"/>
      <c r="Z461" s="73"/>
      <c r="AA461" s="73"/>
      <c r="AB461" s="73"/>
    </row>
    <row r="462" spans="1:28" x14ac:dyDescent="0.25">
      <c r="N462" s="137"/>
      <c r="O462" s="137"/>
    </row>
    <row r="463" spans="1:28" s="66" customFormat="1" x14ac:dyDescent="0.25">
      <c r="A463" s="26">
        <v>42962</v>
      </c>
      <c r="B463" s="47">
        <v>143065</v>
      </c>
      <c r="C463" s="47" t="s">
        <v>328</v>
      </c>
      <c r="D463" s="47">
        <v>2000</v>
      </c>
      <c r="E463" s="23">
        <v>3.45</v>
      </c>
      <c r="F463" s="23">
        <f t="shared" ref="F463" si="170">D463*E463</f>
        <v>6900</v>
      </c>
      <c r="G463" s="23">
        <f t="shared" ref="G463" si="171">F463*0.0275%</f>
        <v>1.8975000000000002</v>
      </c>
      <c r="H463" s="23">
        <f t="shared" ref="H463" si="172">F463*0.005%</f>
        <v>0.34500000000000003</v>
      </c>
      <c r="I463" s="23">
        <v>4</v>
      </c>
      <c r="J463" s="23">
        <f>I463*5%</f>
        <v>0.2</v>
      </c>
      <c r="L463" s="23">
        <f>F463+G463+H463+I463</f>
        <v>6906.2425000000003</v>
      </c>
      <c r="M463" s="70"/>
      <c r="N463" s="137">
        <f t="shared" si="162"/>
        <v>2.7500000000000002E-4</v>
      </c>
      <c r="O463" s="137">
        <f t="shared" si="163"/>
        <v>5.0000000000000002E-5</v>
      </c>
      <c r="R463" s="36"/>
      <c r="S463" s="36"/>
      <c r="T463" s="36"/>
      <c r="U463" s="36"/>
      <c r="V463" s="36"/>
      <c r="W463" s="36"/>
      <c r="X463" s="36"/>
      <c r="Y463" s="36"/>
      <c r="Z463" s="36"/>
      <c r="AA463" s="36"/>
      <c r="AB463" s="36"/>
    </row>
    <row r="464" spans="1:28" x14ac:dyDescent="0.25">
      <c r="N464" s="137"/>
      <c r="O464" s="137"/>
    </row>
    <row r="465" spans="1:28" s="66" customFormat="1" x14ac:dyDescent="0.25">
      <c r="A465" s="26">
        <v>42964</v>
      </c>
      <c r="B465" s="47">
        <v>144736</v>
      </c>
      <c r="C465" s="47" t="s">
        <v>313</v>
      </c>
      <c r="D465" s="47">
        <v>2000</v>
      </c>
      <c r="E465" s="23">
        <v>3.45</v>
      </c>
      <c r="F465" s="23">
        <f t="shared" ref="F465" si="173">D465*E465</f>
        <v>6900</v>
      </c>
      <c r="G465" s="23">
        <f t="shared" ref="G465" si="174">F465*0.0275%</f>
        <v>1.8975000000000002</v>
      </c>
      <c r="H465" s="23">
        <f t="shared" ref="H465" si="175">F465*0.005%</f>
        <v>0.34500000000000003</v>
      </c>
      <c r="I465" s="23">
        <v>4</v>
      </c>
      <c r="J465" s="23">
        <f>I465*5%</f>
        <v>0.2</v>
      </c>
      <c r="L465" s="23">
        <f>F465+G465+H465+I465</f>
        <v>6906.2425000000003</v>
      </c>
      <c r="M465" s="70"/>
      <c r="N465" s="137">
        <f t="shared" si="162"/>
        <v>2.7500000000000002E-4</v>
      </c>
      <c r="O465" s="137">
        <f t="shared" si="163"/>
        <v>5.0000000000000002E-5</v>
      </c>
      <c r="R465" s="36"/>
      <c r="S465" s="36"/>
      <c r="T465" s="36"/>
      <c r="U465" s="36"/>
      <c r="V465" s="36"/>
      <c r="W465" s="36"/>
      <c r="X465" s="36"/>
      <c r="Y465" s="36"/>
      <c r="Z465" s="36"/>
      <c r="AA465" s="36"/>
      <c r="AB465" s="36"/>
    </row>
    <row r="466" spans="1:28" x14ac:dyDescent="0.25">
      <c r="N466" s="137"/>
      <c r="O466" s="137"/>
    </row>
    <row r="467" spans="1:28" s="66" customFormat="1" x14ac:dyDescent="0.25">
      <c r="A467" s="71">
        <v>42968</v>
      </c>
      <c r="B467" s="72">
        <v>146387</v>
      </c>
      <c r="C467" s="72" t="s">
        <v>332</v>
      </c>
      <c r="D467" s="72">
        <v>2300</v>
      </c>
      <c r="E467" s="73">
        <v>3.52</v>
      </c>
      <c r="F467" s="73">
        <f>D467*E467</f>
        <v>8096</v>
      </c>
      <c r="G467" s="73">
        <f t="shared" ref="G467" si="176">F467*0.0275%</f>
        <v>2.2263999999999999</v>
      </c>
      <c r="H467" s="73">
        <f>F467*0.005%</f>
        <v>0.40479999999999999</v>
      </c>
      <c r="I467" s="73">
        <v>4</v>
      </c>
      <c r="J467" s="73">
        <f>I467*5%</f>
        <v>0.2</v>
      </c>
      <c r="K467" s="73">
        <v>0</v>
      </c>
      <c r="L467" s="73">
        <f>F467-G467-H467-I467-K467</f>
        <v>8089.3688000000002</v>
      </c>
      <c r="M467" s="70"/>
      <c r="N467" s="137">
        <f t="shared" si="162"/>
        <v>2.7500000000000002E-4</v>
      </c>
      <c r="O467" s="137">
        <f t="shared" si="163"/>
        <v>5.0000000000000002E-5</v>
      </c>
      <c r="R467" s="36"/>
      <c r="S467" s="36"/>
      <c r="T467" s="36"/>
      <c r="U467" s="36"/>
      <c r="V467" s="36"/>
      <c r="W467" s="36"/>
      <c r="X467" s="36"/>
      <c r="Y467" s="36"/>
      <c r="Z467" s="36"/>
      <c r="AA467" s="36"/>
      <c r="AB467" s="36"/>
    </row>
    <row r="468" spans="1:28" x14ac:dyDescent="0.25">
      <c r="N468" s="137"/>
      <c r="O468" s="137"/>
    </row>
    <row r="469" spans="1:28" s="66" customFormat="1" x14ac:dyDescent="0.25">
      <c r="A469" s="71">
        <v>42969</v>
      </c>
      <c r="B469" s="72">
        <v>147314</v>
      </c>
      <c r="C469" s="72" t="s">
        <v>272</v>
      </c>
      <c r="D469" s="72">
        <v>600</v>
      </c>
      <c r="E469" s="73">
        <v>10.199999999999999</v>
      </c>
      <c r="F469" s="73">
        <f>D469*E469</f>
        <v>6120</v>
      </c>
      <c r="G469" s="73">
        <f t="shared" ref="G469" si="177">F469*0.0275%</f>
        <v>1.6830000000000001</v>
      </c>
      <c r="H469" s="73">
        <f>F469*0.005%</f>
        <v>0.30599999999999999</v>
      </c>
      <c r="I469" s="73">
        <v>1.49</v>
      </c>
      <c r="J469" s="73">
        <f>I469*5%</f>
        <v>7.4499999999999997E-2</v>
      </c>
      <c r="K469" s="73">
        <v>0</v>
      </c>
      <c r="L469" s="73">
        <f>F469-G469-H469-I469-K469</f>
        <v>6116.5210000000006</v>
      </c>
      <c r="M469" s="70"/>
      <c r="N469" s="137">
        <f t="shared" si="162"/>
        <v>2.7500000000000002E-4</v>
      </c>
      <c r="O469" s="137">
        <f t="shared" si="163"/>
        <v>5.0000000000000002E-5</v>
      </c>
      <c r="R469" s="36"/>
      <c r="S469" s="36"/>
      <c r="T469" s="36"/>
      <c r="U469" s="36"/>
      <c r="V469" s="36"/>
      <c r="W469" s="36"/>
      <c r="X469" s="36"/>
      <c r="Y469" s="36"/>
      <c r="Z469" s="36"/>
      <c r="AA469" s="36"/>
      <c r="AB469" s="36"/>
    </row>
    <row r="470" spans="1:28" x14ac:dyDescent="0.25">
      <c r="N470" s="137"/>
      <c r="O470" s="137"/>
    </row>
    <row r="471" spans="1:28" s="66" customFormat="1" x14ac:dyDescent="0.25">
      <c r="A471" s="71">
        <v>42971</v>
      </c>
      <c r="B471" s="72">
        <v>149172</v>
      </c>
      <c r="C471" s="72" t="s">
        <v>330</v>
      </c>
      <c r="D471" s="72">
        <v>1100</v>
      </c>
      <c r="E471" s="73">
        <v>8.3000000000000007</v>
      </c>
      <c r="F471" s="73">
        <f>D471*E471</f>
        <v>9130</v>
      </c>
      <c r="G471" s="73">
        <f t="shared" ref="G471" si="178">F471*0.0275%</f>
        <v>2.5107500000000003</v>
      </c>
      <c r="H471" s="73">
        <f>F471*0.005%</f>
        <v>0.45650000000000002</v>
      </c>
      <c r="I471" s="73">
        <v>1.49</v>
      </c>
      <c r="J471" s="73">
        <f>I471*5%</f>
        <v>7.4499999999999997E-2</v>
      </c>
      <c r="K471" s="73">
        <v>0</v>
      </c>
      <c r="L471" s="73">
        <f>F471-G471-H471-I471-K471</f>
        <v>9125.5427500000005</v>
      </c>
      <c r="M471" s="70"/>
      <c r="N471" s="137">
        <f t="shared" si="162"/>
        <v>2.7500000000000002E-4</v>
      </c>
      <c r="O471" s="137">
        <f t="shared" si="163"/>
        <v>5.0000000000000002E-5</v>
      </c>
      <c r="R471" s="36"/>
      <c r="S471" s="36"/>
      <c r="T471" s="36"/>
      <c r="U471" s="36"/>
      <c r="V471" s="36"/>
      <c r="W471" s="36"/>
      <c r="X471" s="36"/>
      <c r="Y471" s="36"/>
      <c r="Z471" s="36"/>
      <c r="AA471" s="36"/>
      <c r="AB471" s="36"/>
    </row>
    <row r="472" spans="1:28" x14ac:dyDescent="0.25">
      <c r="N472" s="137"/>
      <c r="O472" s="137"/>
    </row>
    <row r="473" spans="1:28" s="66" customFormat="1" x14ac:dyDescent="0.25">
      <c r="A473" s="71">
        <v>42975</v>
      </c>
      <c r="B473" s="72">
        <v>151043</v>
      </c>
      <c r="C473" s="72" t="s">
        <v>333</v>
      </c>
      <c r="D473" s="72">
        <v>1500</v>
      </c>
      <c r="E473" s="73">
        <v>7.12</v>
      </c>
      <c r="F473" s="73">
        <f>D473*E473</f>
        <v>10680</v>
      </c>
      <c r="G473" s="73">
        <f t="shared" ref="G473:G474" si="179">F473*0.0275%</f>
        <v>2.9370000000000003</v>
      </c>
      <c r="H473" s="73">
        <f>F473*0.005%</f>
        <v>0.53400000000000003</v>
      </c>
      <c r="I473" s="73">
        <v>1.49</v>
      </c>
      <c r="J473" s="73">
        <f>I473*5%</f>
        <v>7.4499999999999997E-2</v>
      </c>
      <c r="K473" s="73">
        <f>F473*0.005%</f>
        <v>0.53400000000000003</v>
      </c>
      <c r="L473" s="73">
        <f>F473-G473-H473-I473-K473</f>
        <v>10674.505000000001</v>
      </c>
      <c r="M473" s="70"/>
      <c r="N473" s="137">
        <f t="shared" si="162"/>
        <v>2.7500000000000002E-4</v>
      </c>
      <c r="O473" s="137">
        <f t="shared" si="163"/>
        <v>5.0000000000000002E-5</v>
      </c>
      <c r="R473" s="36"/>
      <c r="S473" s="36"/>
      <c r="T473" s="36"/>
      <c r="U473" s="36"/>
      <c r="V473" s="36"/>
      <c r="W473" s="36"/>
      <c r="X473" s="36"/>
      <c r="Y473" s="36"/>
      <c r="Z473" s="36"/>
      <c r="AA473" s="36"/>
      <c r="AB473" s="36"/>
    </row>
    <row r="474" spans="1:28" s="66" customFormat="1" x14ac:dyDescent="0.25">
      <c r="A474" s="71">
        <v>42975</v>
      </c>
      <c r="B474" s="72">
        <v>151043</v>
      </c>
      <c r="C474" s="72" t="s">
        <v>315</v>
      </c>
      <c r="D474" s="72">
        <v>1400</v>
      </c>
      <c r="E474" s="73">
        <v>11</v>
      </c>
      <c r="F474" s="73">
        <f>D474*E474</f>
        <v>15400</v>
      </c>
      <c r="G474" s="73">
        <f t="shared" si="179"/>
        <v>4.2350000000000003</v>
      </c>
      <c r="H474" s="73">
        <f>F474*0.005%</f>
        <v>0.77</v>
      </c>
      <c r="I474" s="73">
        <v>1.49</v>
      </c>
      <c r="J474" s="73">
        <f>I474*5%</f>
        <v>7.4499999999999997E-2</v>
      </c>
      <c r="K474" s="73">
        <f>F474*0.005%</f>
        <v>0.77</v>
      </c>
      <c r="L474" s="73">
        <f>F474-G474-H474-I474-K474</f>
        <v>15392.734999999999</v>
      </c>
      <c r="M474" s="70"/>
      <c r="N474" s="137">
        <f t="shared" si="162"/>
        <v>2.7500000000000002E-4</v>
      </c>
      <c r="O474" s="137">
        <f t="shared" si="163"/>
        <v>5.0000000000000002E-5</v>
      </c>
      <c r="R474" s="36"/>
      <c r="S474" s="36"/>
      <c r="T474" s="36"/>
      <c r="U474" s="36"/>
      <c r="V474" s="36"/>
      <c r="W474" s="36"/>
      <c r="X474" s="36"/>
      <c r="Y474" s="36"/>
      <c r="Z474" s="36"/>
      <c r="AA474" s="36"/>
      <c r="AB474" s="36"/>
    </row>
    <row r="475" spans="1:28" s="72" customFormat="1" x14ac:dyDescent="0.25">
      <c r="A475" s="71"/>
      <c r="E475" s="73"/>
      <c r="F475" s="74">
        <f t="shared" ref="F475:L475" si="180">SUM(F473:F474)</f>
        <v>26080</v>
      </c>
      <c r="G475" s="74">
        <f t="shared" si="180"/>
        <v>7.1720000000000006</v>
      </c>
      <c r="H475" s="74">
        <f t="shared" si="180"/>
        <v>1.304</v>
      </c>
      <c r="I475" s="74">
        <f t="shared" si="180"/>
        <v>2.98</v>
      </c>
      <c r="J475" s="74">
        <f t="shared" si="180"/>
        <v>0.14899999999999999</v>
      </c>
      <c r="K475" s="74">
        <f t="shared" si="180"/>
        <v>1.304</v>
      </c>
      <c r="L475" s="74">
        <f t="shared" si="180"/>
        <v>26067.239999999998</v>
      </c>
      <c r="M475" s="70"/>
      <c r="N475" s="137"/>
      <c r="O475" s="137"/>
      <c r="R475" s="73"/>
      <c r="S475" s="73"/>
      <c r="T475" s="73"/>
      <c r="U475" s="73"/>
      <c r="V475" s="73"/>
      <c r="W475" s="73"/>
      <c r="X475" s="73"/>
      <c r="Y475" s="73"/>
      <c r="Z475" s="73"/>
      <c r="AA475" s="73"/>
      <c r="AB475" s="73"/>
    </row>
    <row r="476" spans="1:28" x14ac:dyDescent="0.25">
      <c r="N476" s="137"/>
      <c r="O476" s="137"/>
    </row>
    <row r="477" spans="1:28" s="47" customFormat="1" x14ac:dyDescent="0.25">
      <c r="A477" s="26">
        <v>42977</v>
      </c>
      <c r="B477" s="47">
        <v>152827</v>
      </c>
      <c r="C477" s="47" t="s">
        <v>335</v>
      </c>
      <c r="D477" s="47">
        <v>5400</v>
      </c>
      <c r="E477" s="23">
        <v>1.86</v>
      </c>
      <c r="F477" s="23">
        <f>D477*E477</f>
        <v>10044</v>
      </c>
      <c r="G477" s="23">
        <f t="shared" ref="G477:G478" si="181">F477*0.0275%</f>
        <v>2.7621000000000002</v>
      </c>
      <c r="H477" s="23">
        <f>F477*0.005%</f>
        <v>0.50219999999999998</v>
      </c>
      <c r="I477" s="23">
        <v>2.4900000000000002</v>
      </c>
      <c r="J477" s="23">
        <f>I477*5%</f>
        <v>0.12450000000000001</v>
      </c>
      <c r="K477" s="23"/>
      <c r="L477" s="23">
        <f>F477+G477+H477+I477</f>
        <v>10049.754300000001</v>
      </c>
      <c r="M477" s="70"/>
      <c r="N477" s="137">
        <f t="shared" si="162"/>
        <v>2.7500000000000002E-4</v>
      </c>
      <c r="O477" s="137">
        <f t="shared" si="163"/>
        <v>4.9999999999999996E-5</v>
      </c>
      <c r="R477" s="23"/>
      <c r="S477" s="23"/>
      <c r="T477" s="23"/>
      <c r="U477" s="23"/>
      <c r="V477" s="23"/>
      <c r="W477" s="23"/>
      <c r="X477" s="23"/>
      <c r="Y477" s="23"/>
      <c r="Z477" s="23"/>
      <c r="AA477" s="23"/>
      <c r="AB477" s="23"/>
    </row>
    <row r="478" spans="1:28" s="47" customFormat="1" x14ac:dyDescent="0.25">
      <c r="A478" s="26">
        <v>42977</v>
      </c>
      <c r="B478" s="47">
        <v>152827</v>
      </c>
      <c r="C478" s="47" t="s">
        <v>307</v>
      </c>
      <c r="D478" s="47">
        <v>400</v>
      </c>
      <c r="E478" s="23">
        <v>22.5</v>
      </c>
      <c r="F478" s="23">
        <f>D478*E478</f>
        <v>9000</v>
      </c>
      <c r="G478" s="23">
        <f t="shared" si="181"/>
        <v>2.4750000000000001</v>
      </c>
      <c r="H478" s="23">
        <f>F478*0.005%</f>
        <v>0.45</v>
      </c>
      <c r="I478" s="23">
        <v>2.4900000000000002</v>
      </c>
      <c r="J478" s="23">
        <f>I478*5%</f>
        <v>0.12450000000000001</v>
      </c>
      <c r="K478" s="23"/>
      <c r="L478" s="23">
        <f>F478+G478+H478+I478</f>
        <v>9005.4150000000009</v>
      </c>
      <c r="M478" s="70"/>
      <c r="N478" s="137">
        <f t="shared" si="162"/>
        <v>2.7500000000000002E-4</v>
      </c>
      <c r="O478" s="137">
        <f t="shared" si="163"/>
        <v>5.0000000000000002E-5</v>
      </c>
      <c r="R478" s="23"/>
      <c r="S478" s="23"/>
      <c r="T478" s="23"/>
      <c r="U478" s="23"/>
      <c r="V478" s="23"/>
      <c r="W478" s="23"/>
      <c r="X478" s="23"/>
      <c r="Y478" s="23"/>
      <c r="Z478" s="23"/>
      <c r="AA478" s="23"/>
      <c r="AB478" s="23"/>
    </row>
    <row r="479" spans="1:28" s="47" customFormat="1" x14ac:dyDescent="0.25">
      <c r="A479" s="26"/>
      <c r="E479" s="23"/>
      <c r="F479" s="19">
        <f>SUM(F476:F478)</f>
        <v>19044</v>
      </c>
      <c r="G479" s="19">
        <f>SUM(G476:G478)</f>
        <v>5.2370999999999999</v>
      </c>
      <c r="H479" s="19">
        <f>SUM(H476:H478)</f>
        <v>0.95219999999999994</v>
      </c>
      <c r="I479" s="19">
        <f>SUM(I476:I478)</f>
        <v>4.9800000000000004</v>
      </c>
      <c r="J479" s="19">
        <f>SUM(J476:J478)</f>
        <v>0.24900000000000003</v>
      </c>
      <c r="K479" s="19"/>
      <c r="L479" s="19">
        <f>SUM(L476:L478)</f>
        <v>19055.169300000001</v>
      </c>
      <c r="M479" s="70"/>
      <c r="N479" s="137"/>
      <c r="O479" s="137"/>
      <c r="R479" s="23"/>
      <c r="S479" s="23"/>
      <c r="T479" s="23"/>
      <c r="U479" s="23"/>
      <c r="V479" s="23"/>
      <c r="W479" s="23"/>
      <c r="X479" s="23"/>
      <c r="Y479" s="23"/>
      <c r="Z479" s="23"/>
      <c r="AA479" s="23"/>
      <c r="AB479" s="23"/>
    </row>
    <row r="480" spans="1:28" x14ac:dyDescent="0.25">
      <c r="N480" s="137"/>
      <c r="O480" s="137"/>
    </row>
    <row r="481" spans="1:28" s="47" customFormat="1" x14ac:dyDescent="0.25">
      <c r="A481" s="26">
        <v>42978</v>
      </c>
      <c r="B481" s="47">
        <v>153852</v>
      </c>
      <c r="C481" s="47" t="s">
        <v>336</v>
      </c>
      <c r="D481" s="47">
        <v>400</v>
      </c>
      <c r="E481" s="23">
        <v>25.7</v>
      </c>
      <c r="F481" s="23">
        <f>D481*E481</f>
        <v>10280</v>
      </c>
      <c r="G481" s="23">
        <f t="shared" ref="G481:G482" si="182">F481*0.0275%</f>
        <v>2.827</v>
      </c>
      <c r="H481" s="23">
        <f>F481*0.005%</f>
        <v>0.51400000000000001</v>
      </c>
      <c r="I481" s="23">
        <v>2.4900000000000002</v>
      </c>
      <c r="J481" s="23">
        <f>I481*5%</f>
        <v>0.12450000000000001</v>
      </c>
      <c r="K481" s="23"/>
      <c r="L481" s="23">
        <f>F481+G481+H481+I481</f>
        <v>10285.830999999998</v>
      </c>
      <c r="M481" s="70"/>
      <c r="N481" s="137">
        <f t="shared" si="162"/>
        <v>2.7500000000000002E-4</v>
      </c>
      <c r="O481" s="137">
        <f t="shared" si="163"/>
        <v>5.0000000000000002E-5</v>
      </c>
      <c r="R481" s="23"/>
      <c r="S481" s="23"/>
      <c r="T481" s="23"/>
      <c r="U481" s="23"/>
      <c r="V481" s="23"/>
      <c r="W481" s="23"/>
      <c r="X481" s="23"/>
      <c r="Y481" s="23"/>
      <c r="Z481" s="23"/>
      <c r="AA481" s="23"/>
      <c r="AB481" s="23"/>
    </row>
    <row r="482" spans="1:28" s="72" customFormat="1" x14ac:dyDescent="0.25">
      <c r="A482" s="71">
        <v>42978</v>
      </c>
      <c r="B482" s="72">
        <v>153852</v>
      </c>
      <c r="C482" s="72" t="s">
        <v>337</v>
      </c>
      <c r="D482" s="72">
        <v>40</v>
      </c>
      <c r="E482" s="73">
        <v>11.5</v>
      </c>
      <c r="F482" s="73">
        <f>D482*E482</f>
        <v>460</v>
      </c>
      <c r="G482" s="73">
        <f t="shared" si="182"/>
        <v>0.1265</v>
      </c>
      <c r="H482" s="73">
        <f>F482*0.005%</f>
        <v>2.3E-2</v>
      </c>
      <c r="I482" s="73">
        <v>2.4900000000000002</v>
      </c>
      <c r="J482" s="73">
        <f>I482*5%</f>
        <v>0.12450000000000001</v>
      </c>
      <c r="K482" s="73">
        <v>0</v>
      </c>
      <c r="L482" s="73">
        <f>F482-G482-H482-I482-K482</f>
        <v>457.36049999999994</v>
      </c>
      <c r="M482" s="70"/>
      <c r="N482" s="137">
        <f t="shared" si="162"/>
        <v>2.7500000000000002E-4</v>
      </c>
      <c r="O482" s="137">
        <f t="shared" si="163"/>
        <v>5.0000000000000002E-5</v>
      </c>
      <c r="R482" s="73"/>
      <c r="S482" s="73"/>
      <c r="T482" s="73"/>
      <c r="U482" s="73"/>
      <c r="V482" s="73"/>
      <c r="W482" s="73"/>
      <c r="X482" s="73"/>
      <c r="Y482" s="73"/>
      <c r="Z482" s="73"/>
      <c r="AA482" s="73"/>
      <c r="AB482" s="73"/>
    </row>
    <row r="483" spans="1:28" s="47" customFormat="1" x14ac:dyDescent="0.25">
      <c r="A483" s="26"/>
      <c r="E483" s="23"/>
      <c r="F483" s="74">
        <f>F482-F481</f>
        <v>-9820</v>
      </c>
      <c r="G483" s="19">
        <f>SUM(G481:G482)</f>
        <v>2.9535</v>
      </c>
      <c r="H483" s="19">
        <f>SUM(H481:H482)</f>
        <v>0.53700000000000003</v>
      </c>
      <c r="I483" s="19">
        <f>SUM(I481:I482)</f>
        <v>4.9800000000000004</v>
      </c>
      <c r="J483" s="19">
        <f>SUM(J481:J482)</f>
        <v>0.24900000000000003</v>
      </c>
      <c r="K483" s="19"/>
      <c r="L483" s="74">
        <f>L482-L481</f>
        <v>-9828.4704999999976</v>
      </c>
      <c r="M483" s="70"/>
      <c r="N483" s="137"/>
      <c r="O483" s="137"/>
      <c r="R483" s="23"/>
      <c r="S483" s="23"/>
      <c r="T483" s="23"/>
      <c r="U483" s="23"/>
      <c r="V483" s="23"/>
      <c r="W483" s="23"/>
      <c r="X483" s="23"/>
      <c r="Y483" s="23"/>
      <c r="Z483" s="23"/>
      <c r="AA483" s="23"/>
      <c r="AB483" s="23"/>
    </row>
    <row r="484" spans="1:28" x14ac:dyDescent="0.25">
      <c r="N484" s="137"/>
      <c r="O484" s="137"/>
    </row>
    <row r="485" spans="1:28" s="66" customFormat="1" x14ac:dyDescent="0.25">
      <c r="A485" s="26">
        <v>42983</v>
      </c>
      <c r="B485" s="47">
        <v>157269</v>
      </c>
      <c r="C485" s="47" t="s">
        <v>338</v>
      </c>
      <c r="D485" s="47">
        <v>2200</v>
      </c>
      <c r="E485" s="23">
        <v>3.4</v>
      </c>
      <c r="F485" s="23">
        <f t="shared" ref="F485" si="183">D485*E485</f>
        <v>7480</v>
      </c>
      <c r="G485" s="23">
        <f t="shared" ref="G485" si="184">F485*0.0275%</f>
        <v>2.0569999999999999</v>
      </c>
      <c r="H485" s="23">
        <f t="shared" ref="H485" si="185">F485*0.005%</f>
        <v>0.374</v>
      </c>
      <c r="I485" s="23">
        <v>2.4900000000000002</v>
      </c>
      <c r="J485" s="23">
        <f>I485*5%</f>
        <v>0.12450000000000001</v>
      </c>
      <c r="L485" s="23">
        <f>F485+G485+H485+I485</f>
        <v>7484.9209999999994</v>
      </c>
      <c r="M485" s="70"/>
      <c r="N485" s="137">
        <f t="shared" si="162"/>
        <v>2.7500000000000002E-4</v>
      </c>
      <c r="O485" s="137">
        <f t="shared" si="163"/>
        <v>5.0000000000000002E-5</v>
      </c>
      <c r="R485" s="36"/>
      <c r="S485" s="36"/>
      <c r="T485" s="36"/>
      <c r="U485" s="36"/>
      <c r="V485" s="36"/>
      <c r="W485" s="36"/>
      <c r="X485" s="36"/>
      <c r="Y485" s="36"/>
      <c r="Z485" s="36"/>
      <c r="AA485" s="36"/>
      <c r="AB485" s="36"/>
    </row>
    <row r="486" spans="1:28" x14ac:dyDescent="0.25">
      <c r="N486" s="137"/>
      <c r="O486" s="137"/>
    </row>
    <row r="487" spans="1:28" s="47" customFormat="1" x14ac:dyDescent="0.25">
      <c r="A487" s="26">
        <v>42984</v>
      </c>
      <c r="B487" s="47">
        <v>158634</v>
      </c>
      <c r="C487" s="47" t="s">
        <v>327</v>
      </c>
      <c r="D487" s="47">
        <v>700</v>
      </c>
      <c r="E487" s="23">
        <v>9.6</v>
      </c>
      <c r="F487" s="23">
        <f>D487*E487</f>
        <v>6720</v>
      </c>
      <c r="G487" s="23">
        <f t="shared" ref="G487:G489" si="186">F487*0.0275%</f>
        <v>1.8480000000000001</v>
      </c>
      <c r="H487" s="23">
        <f>F487*0.005%</f>
        <v>0.33600000000000002</v>
      </c>
      <c r="I487" s="23">
        <v>2.4900000000000002</v>
      </c>
      <c r="J487" s="23">
        <f>I487*5%</f>
        <v>0.12450000000000001</v>
      </c>
      <c r="K487" s="23"/>
      <c r="L487" s="23">
        <f>F487+G487+H487+I487</f>
        <v>6724.674</v>
      </c>
      <c r="M487" s="70"/>
      <c r="N487" s="137">
        <f t="shared" si="162"/>
        <v>2.7500000000000002E-4</v>
      </c>
      <c r="O487" s="137">
        <f t="shared" si="163"/>
        <v>5.0000000000000002E-5</v>
      </c>
      <c r="R487" s="23"/>
      <c r="S487" s="23"/>
      <c r="T487" s="23"/>
      <c r="U487" s="23"/>
      <c r="V487" s="23"/>
      <c r="W487" s="23"/>
      <c r="X487" s="23"/>
      <c r="Y487" s="23"/>
      <c r="Z487" s="23"/>
      <c r="AA487" s="23"/>
      <c r="AB487" s="23"/>
    </row>
    <row r="488" spans="1:28" s="72" customFormat="1" x14ac:dyDescent="0.25">
      <c r="A488" s="71">
        <v>42984</v>
      </c>
      <c r="B488" s="72">
        <v>158634</v>
      </c>
      <c r="C488" s="72" t="s">
        <v>337</v>
      </c>
      <c r="D488" s="72">
        <v>40</v>
      </c>
      <c r="E488" s="73">
        <v>11.5</v>
      </c>
      <c r="F488" s="73">
        <f>D488*E488</f>
        <v>460</v>
      </c>
      <c r="G488" s="73">
        <f t="shared" si="186"/>
        <v>0.1265</v>
      </c>
      <c r="H488" s="73">
        <f>F488*0.005%</f>
        <v>2.3E-2</v>
      </c>
      <c r="I488" s="73">
        <v>2.4900000000000002</v>
      </c>
      <c r="J488" s="73">
        <f>I488*5%</f>
        <v>0.12450000000000001</v>
      </c>
      <c r="K488" s="73">
        <v>0</v>
      </c>
      <c r="L488" s="73">
        <f>F488-G488-H488-I488-K488</f>
        <v>457.36049999999994</v>
      </c>
      <c r="M488" s="70"/>
      <c r="N488" s="137">
        <f t="shared" si="162"/>
        <v>2.7500000000000002E-4</v>
      </c>
      <c r="O488" s="137">
        <f t="shared" si="163"/>
        <v>5.0000000000000002E-5</v>
      </c>
      <c r="R488" s="73"/>
      <c r="S488" s="73"/>
      <c r="T488" s="73"/>
      <c r="U488" s="73"/>
      <c r="V488" s="73"/>
      <c r="W488" s="73"/>
      <c r="X488" s="73"/>
      <c r="Y488" s="73"/>
      <c r="Z488" s="73"/>
      <c r="AA488" s="73"/>
      <c r="AB488" s="73"/>
    </row>
    <row r="489" spans="1:28" s="72" customFormat="1" x14ac:dyDescent="0.25">
      <c r="A489" s="71">
        <v>42984</v>
      </c>
      <c r="B489" s="72">
        <v>158634</v>
      </c>
      <c r="C489" s="72" t="s">
        <v>302</v>
      </c>
      <c r="D489" s="72">
        <v>400</v>
      </c>
      <c r="E489" s="73">
        <v>11.5</v>
      </c>
      <c r="F489" s="73">
        <f>D489*E489</f>
        <v>4600</v>
      </c>
      <c r="G489" s="73">
        <f t="shared" si="186"/>
        <v>1.2650000000000001</v>
      </c>
      <c r="H489" s="73">
        <f>F489*0.005%</f>
        <v>0.23</v>
      </c>
      <c r="I489" s="73">
        <v>2.4900000000000002</v>
      </c>
      <c r="J489" s="73">
        <f>I489*5%</f>
        <v>0.12450000000000001</v>
      </c>
      <c r="K489" s="73">
        <v>0</v>
      </c>
      <c r="L489" s="73">
        <f>F489-G489-H489-I489-K489</f>
        <v>4596.0150000000003</v>
      </c>
      <c r="M489" s="70"/>
      <c r="N489" s="137">
        <f t="shared" si="162"/>
        <v>2.7500000000000002E-4</v>
      </c>
      <c r="O489" s="137">
        <f t="shared" si="163"/>
        <v>5.0000000000000002E-5</v>
      </c>
      <c r="R489" s="73"/>
      <c r="S489" s="73"/>
      <c r="T489" s="73"/>
      <c r="U489" s="73"/>
      <c r="V489" s="73"/>
      <c r="W489" s="73"/>
      <c r="X489" s="73"/>
      <c r="Y489" s="73"/>
      <c r="Z489" s="73"/>
      <c r="AA489" s="73"/>
      <c r="AB489" s="73"/>
    </row>
    <row r="490" spans="1:28" s="47" customFormat="1" x14ac:dyDescent="0.25">
      <c r="A490" s="26"/>
      <c r="E490" s="23"/>
      <c r="F490" s="74">
        <f>SUM(F488:F489)-F487</f>
        <v>-1660</v>
      </c>
      <c r="G490" s="19">
        <f>SUM(G487:G489)</f>
        <v>3.2395000000000005</v>
      </c>
      <c r="H490" s="19">
        <f>SUM(H487:H489)</f>
        <v>0.58900000000000008</v>
      </c>
      <c r="I490" s="19">
        <f>SUM(I487:I489)</f>
        <v>7.4700000000000006</v>
      </c>
      <c r="J490" s="19">
        <f>SUM(J487:J489)</f>
        <v>0.37350000000000005</v>
      </c>
      <c r="K490" s="19"/>
      <c r="L490" s="74">
        <f>SUM(L488:L489)-L487</f>
        <v>-1671.2984999999999</v>
      </c>
      <c r="M490" s="70"/>
      <c r="N490" s="137"/>
      <c r="O490" s="137"/>
      <c r="R490" s="23"/>
      <c r="S490" s="23"/>
      <c r="T490" s="23"/>
      <c r="U490" s="23"/>
      <c r="V490" s="23"/>
      <c r="W490" s="23"/>
      <c r="X490" s="23"/>
      <c r="Y490" s="23"/>
      <c r="Z490" s="23"/>
      <c r="AA490" s="23"/>
      <c r="AB490" s="23"/>
    </row>
    <row r="491" spans="1:28" x14ac:dyDescent="0.25">
      <c r="N491" s="137"/>
      <c r="O491" s="137"/>
    </row>
    <row r="492" spans="1:28" s="66" customFormat="1" x14ac:dyDescent="0.25">
      <c r="A492" s="71">
        <v>42992</v>
      </c>
      <c r="B492" s="72">
        <v>165164</v>
      </c>
      <c r="C492" s="72" t="s">
        <v>336</v>
      </c>
      <c r="D492" s="72">
        <v>400</v>
      </c>
      <c r="E492" s="73">
        <v>28.1</v>
      </c>
      <c r="F492" s="73">
        <f>D492*E492</f>
        <v>11240</v>
      </c>
      <c r="G492" s="73">
        <f t="shared" ref="G492" si="187">F492*0.0275%</f>
        <v>3.0910000000000002</v>
      </c>
      <c r="H492" s="73">
        <f>F492*0.005%</f>
        <v>0.56200000000000006</v>
      </c>
      <c r="I492" s="73">
        <v>2.4900000000000002</v>
      </c>
      <c r="J492" s="73">
        <f>I492*5%</f>
        <v>0.12450000000000001</v>
      </c>
      <c r="K492" s="73">
        <v>0</v>
      </c>
      <c r="L492" s="73">
        <f>F492-G492-H492-I492-K492</f>
        <v>11233.857</v>
      </c>
      <c r="M492" s="70"/>
      <c r="N492" s="137">
        <f t="shared" si="162"/>
        <v>2.7500000000000002E-4</v>
      </c>
      <c r="O492" s="137">
        <f t="shared" si="163"/>
        <v>5.0000000000000002E-5</v>
      </c>
      <c r="R492" s="36"/>
      <c r="S492" s="36"/>
      <c r="T492" s="36"/>
      <c r="U492" s="36"/>
      <c r="V492" s="36"/>
      <c r="W492" s="36"/>
      <c r="X492" s="36"/>
      <c r="Y492" s="36"/>
      <c r="Z492" s="36"/>
      <c r="AA492" s="36"/>
      <c r="AB492" s="36"/>
    </row>
    <row r="493" spans="1:28" x14ac:dyDescent="0.25">
      <c r="N493" s="137"/>
      <c r="O493" s="137"/>
    </row>
    <row r="494" spans="1:28" s="47" customFormat="1" x14ac:dyDescent="0.25">
      <c r="A494" s="26">
        <v>42996</v>
      </c>
      <c r="B494" s="47">
        <v>168102</v>
      </c>
      <c r="C494" s="47" t="s">
        <v>339</v>
      </c>
      <c r="D494" s="47">
        <v>400</v>
      </c>
      <c r="E494" s="23">
        <v>23.65</v>
      </c>
      <c r="F494" s="23">
        <f>D494*E494</f>
        <v>9460</v>
      </c>
      <c r="G494" s="23">
        <f t="shared" ref="G494:G495" si="188">F494*0.0275%</f>
        <v>2.6015000000000001</v>
      </c>
      <c r="H494" s="23">
        <f>F494*0.005%</f>
        <v>0.47300000000000003</v>
      </c>
      <c r="I494" s="23">
        <v>2.4900000000000002</v>
      </c>
      <c r="J494" s="23">
        <f>I494*5%</f>
        <v>0.12450000000000001</v>
      </c>
      <c r="K494" s="23"/>
      <c r="L494" s="23">
        <f>F494+G494+H494+I494</f>
        <v>9465.5645000000004</v>
      </c>
      <c r="M494" s="70"/>
      <c r="N494" s="137">
        <f t="shared" si="162"/>
        <v>2.7500000000000002E-4</v>
      </c>
      <c r="O494" s="137">
        <f t="shared" si="163"/>
        <v>5.0000000000000002E-5</v>
      </c>
      <c r="R494" s="23"/>
      <c r="S494" s="23"/>
      <c r="T494" s="23"/>
      <c r="U494" s="23"/>
      <c r="V494" s="23"/>
      <c r="W494" s="23"/>
      <c r="X494" s="23"/>
      <c r="Y494" s="23"/>
      <c r="Z494" s="23"/>
      <c r="AA494" s="23"/>
      <c r="AB494" s="23"/>
    </row>
    <row r="495" spans="1:28" s="72" customFormat="1" x14ac:dyDescent="0.25">
      <c r="A495" s="71">
        <v>42996</v>
      </c>
      <c r="B495" s="72">
        <v>168102</v>
      </c>
      <c r="C495" s="72" t="s">
        <v>327</v>
      </c>
      <c r="D495" s="72">
        <v>700</v>
      </c>
      <c r="E495" s="73">
        <v>10.5</v>
      </c>
      <c r="F495" s="73">
        <f>D495*E495</f>
        <v>7350</v>
      </c>
      <c r="G495" s="73">
        <f t="shared" si="188"/>
        <v>2.0212500000000002</v>
      </c>
      <c r="H495" s="73">
        <f>F495*0.005%</f>
        <v>0.36749999999999999</v>
      </c>
      <c r="I495" s="73">
        <v>2.4900000000000002</v>
      </c>
      <c r="J495" s="73">
        <f>I495*5%</f>
        <v>0.12450000000000001</v>
      </c>
      <c r="K495" s="73">
        <v>0</v>
      </c>
      <c r="L495" s="73">
        <f>F495-G495-H495-I495-K495</f>
        <v>7345.1212500000001</v>
      </c>
      <c r="M495" s="70"/>
      <c r="N495" s="137">
        <f t="shared" si="162"/>
        <v>2.7500000000000002E-4</v>
      </c>
      <c r="O495" s="137">
        <f t="shared" si="163"/>
        <v>5.0000000000000002E-5</v>
      </c>
      <c r="R495" s="73"/>
      <c r="S495" s="73"/>
      <c r="T495" s="73"/>
      <c r="U495" s="73"/>
      <c r="V495" s="73"/>
      <c r="W495" s="73"/>
      <c r="X495" s="73"/>
      <c r="Y495" s="73"/>
      <c r="Z495" s="73"/>
      <c r="AA495" s="73"/>
      <c r="AB495" s="73"/>
    </row>
    <row r="496" spans="1:28" s="47" customFormat="1" x14ac:dyDescent="0.25">
      <c r="A496" s="26"/>
      <c r="E496" s="23"/>
      <c r="F496" s="74">
        <f>F495-F494</f>
        <v>-2110</v>
      </c>
      <c r="G496" s="19">
        <f>SUM(G494:G495)</f>
        <v>4.6227499999999999</v>
      </c>
      <c r="H496" s="19">
        <f>SUM(H494:H495)</f>
        <v>0.84050000000000002</v>
      </c>
      <c r="I496" s="19">
        <f>SUM(I494:I495)</f>
        <v>4.9800000000000004</v>
      </c>
      <c r="J496" s="19">
        <f>SUM(J494:J495)</f>
        <v>0.24900000000000003</v>
      </c>
      <c r="K496" s="19"/>
      <c r="L496" s="74">
        <f>L495-L494</f>
        <v>-2120.4432500000003</v>
      </c>
      <c r="M496" s="70"/>
      <c r="N496" s="137"/>
      <c r="O496" s="137"/>
      <c r="R496" s="23"/>
      <c r="S496" s="23"/>
      <c r="T496" s="23"/>
      <c r="U496" s="23"/>
      <c r="V496" s="23"/>
      <c r="W496" s="23"/>
      <c r="X496" s="23"/>
      <c r="Y496" s="23"/>
      <c r="Z496" s="23"/>
      <c r="AA496" s="23"/>
      <c r="AB496" s="23"/>
    </row>
    <row r="497" spans="1:28" x14ac:dyDescent="0.25">
      <c r="N497" s="137"/>
      <c r="O497" s="137"/>
    </row>
    <row r="498" spans="1:28" s="66" customFormat="1" x14ac:dyDescent="0.25">
      <c r="A498" s="71">
        <v>42998</v>
      </c>
      <c r="B498" s="72">
        <v>171064</v>
      </c>
      <c r="C498" s="72" t="s">
        <v>305</v>
      </c>
      <c r="D498" s="72">
        <v>900</v>
      </c>
      <c r="E498" s="73">
        <v>11.5</v>
      </c>
      <c r="F498" s="73">
        <f>D498*E498</f>
        <v>10350</v>
      </c>
      <c r="G498" s="73">
        <f t="shared" ref="G498" si="189">F498*0.0275%</f>
        <v>2.8462500000000004</v>
      </c>
      <c r="H498" s="73">
        <f>F498*0.005%</f>
        <v>0.51750000000000007</v>
      </c>
      <c r="I498" s="73">
        <v>2.4900000000000002</v>
      </c>
      <c r="J498" s="73">
        <f>I498*5%</f>
        <v>0.12450000000000001</v>
      </c>
      <c r="K498" s="73">
        <v>0</v>
      </c>
      <c r="L498" s="73">
        <f>F498-G498-H498-I498-K498</f>
        <v>10344.14625</v>
      </c>
      <c r="M498" s="70"/>
      <c r="N498" s="137">
        <f t="shared" si="162"/>
        <v>2.7500000000000002E-4</v>
      </c>
      <c r="O498" s="137">
        <f t="shared" si="163"/>
        <v>5.0000000000000009E-5</v>
      </c>
      <c r="R498" s="36"/>
      <c r="S498" s="36"/>
      <c r="T498" s="36"/>
      <c r="U498" s="36"/>
      <c r="V498" s="36"/>
      <c r="W498" s="36"/>
      <c r="X498" s="36"/>
      <c r="Y498" s="36"/>
      <c r="Z498" s="36"/>
      <c r="AA498" s="36"/>
      <c r="AB498" s="36"/>
    </row>
    <row r="499" spans="1:28" x14ac:dyDescent="0.25">
      <c r="N499" s="137"/>
      <c r="O499" s="137"/>
    </row>
    <row r="500" spans="1:28" s="66" customFormat="1" x14ac:dyDescent="0.25">
      <c r="A500" s="26">
        <v>42999</v>
      </c>
      <c r="B500" s="47">
        <v>172550</v>
      </c>
      <c r="C500" s="47" t="s">
        <v>340</v>
      </c>
      <c r="D500" s="47">
        <v>300</v>
      </c>
      <c r="E500" s="23">
        <v>32.200000000000003</v>
      </c>
      <c r="F500" s="23">
        <f t="shared" ref="F500" si="190">D500*E500</f>
        <v>9660</v>
      </c>
      <c r="G500" s="23">
        <f t="shared" ref="G500" si="191">F500*0.0275%</f>
        <v>2.6565000000000003</v>
      </c>
      <c r="H500" s="23">
        <f t="shared" ref="H500" si="192">F500*0.005%</f>
        <v>0.48300000000000004</v>
      </c>
      <c r="I500" s="23">
        <v>2.4900000000000002</v>
      </c>
      <c r="J500" s="23">
        <f>I500*5%</f>
        <v>0.12450000000000001</v>
      </c>
      <c r="L500" s="23">
        <f>F500+G500+H500+I500</f>
        <v>9665.6294999999991</v>
      </c>
      <c r="M500" s="70"/>
      <c r="N500" s="137">
        <f t="shared" si="162"/>
        <v>2.7500000000000002E-4</v>
      </c>
      <c r="O500" s="137">
        <f t="shared" si="163"/>
        <v>5.0000000000000002E-5</v>
      </c>
      <c r="R500" s="36"/>
      <c r="S500" s="36"/>
      <c r="T500" s="36"/>
      <c r="U500" s="36"/>
      <c r="V500" s="36"/>
      <c r="W500" s="36"/>
      <c r="X500" s="36"/>
      <c r="Y500" s="36"/>
      <c r="Z500" s="36"/>
      <c r="AA500" s="36"/>
      <c r="AB500" s="36"/>
    </row>
    <row r="501" spans="1:28" x14ac:dyDescent="0.25">
      <c r="N501" s="137"/>
      <c r="O501" s="137"/>
    </row>
    <row r="502" spans="1:28" s="47" customFormat="1" x14ac:dyDescent="0.25">
      <c r="A502" s="26">
        <v>43003</v>
      </c>
      <c r="B502" s="47">
        <v>175088</v>
      </c>
      <c r="C502" s="47" t="s">
        <v>267</v>
      </c>
      <c r="D502" s="47">
        <v>900</v>
      </c>
      <c r="E502" s="23">
        <v>11.2</v>
      </c>
      <c r="F502" s="23">
        <f>D502*E502</f>
        <v>10080</v>
      </c>
      <c r="G502" s="23">
        <f t="shared" ref="G502:G503" si="193">F502*0.0275%</f>
        <v>2.7720000000000002</v>
      </c>
      <c r="H502" s="23">
        <f>F502*0.005%</f>
        <v>0.504</v>
      </c>
      <c r="I502" s="23">
        <v>2.4900000000000002</v>
      </c>
      <c r="J502" s="23">
        <f>I502*5%</f>
        <v>0.12450000000000001</v>
      </c>
      <c r="K502" s="23"/>
      <c r="L502" s="23">
        <f>F502+G502+H502+I502</f>
        <v>10085.766000000001</v>
      </c>
      <c r="M502" s="70"/>
      <c r="N502" s="137">
        <f t="shared" si="162"/>
        <v>2.7500000000000002E-4</v>
      </c>
      <c r="O502" s="137">
        <f t="shared" si="163"/>
        <v>5.0000000000000002E-5</v>
      </c>
      <c r="R502" s="23"/>
      <c r="S502" s="23"/>
      <c r="T502" s="23"/>
      <c r="U502" s="23"/>
      <c r="V502" s="23"/>
      <c r="W502" s="23"/>
      <c r="X502" s="23"/>
      <c r="Y502" s="23"/>
      <c r="Z502" s="23"/>
      <c r="AA502" s="23"/>
      <c r="AB502" s="23"/>
    </row>
    <row r="503" spans="1:28" s="47" customFormat="1" x14ac:dyDescent="0.25">
      <c r="A503" s="26">
        <v>43003</v>
      </c>
      <c r="B503" s="47">
        <v>175088</v>
      </c>
      <c r="C503" s="47" t="s">
        <v>341</v>
      </c>
      <c r="D503" s="47">
        <v>600</v>
      </c>
      <c r="E503" s="23">
        <v>5.4</v>
      </c>
      <c r="F503" s="23">
        <f>D503*E503</f>
        <v>3240</v>
      </c>
      <c r="G503" s="23">
        <f t="shared" si="193"/>
        <v>0.89100000000000001</v>
      </c>
      <c r="H503" s="23">
        <f>F503*0.005%</f>
        <v>0.16200000000000001</v>
      </c>
      <c r="I503" s="23">
        <v>2.4900000000000002</v>
      </c>
      <c r="J503" s="23">
        <f>I503*5%</f>
        <v>0.12450000000000001</v>
      </c>
      <c r="K503" s="23"/>
      <c r="L503" s="23">
        <f>F503+G503+H503+I503</f>
        <v>3243.5429999999997</v>
      </c>
      <c r="M503" s="70"/>
      <c r="N503" s="137">
        <f t="shared" si="162"/>
        <v>2.7500000000000002E-4</v>
      </c>
      <c r="O503" s="137">
        <f t="shared" si="163"/>
        <v>5.0000000000000002E-5</v>
      </c>
      <c r="R503" s="23"/>
      <c r="S503" s="23"/>
      <c r="T503" s="23"/>
      <c r="U503" s="23"/>
      <c r="V503" s="23"/>
      <c r="W503" s="23"/>
      <c r="X503" s="23"/>
      <c r="Y503" s="23"/>
      <c r="Z503" s="23"/>
      <c r="AA503" s="23"/>
      <c r="AB503" s="23"/>
    </row>
    <row r="504" spans="1:28" s="47" customFormat="1" x14ac:dyDescent="0.25">
      <c r="A504" s="26"/>
      <c r="E504" s="23"/>
      <c r="F504" s="19">
        <f>SUM(F502:F503)</f>
        <v>13320</v>
      </c>
      <c r="G504" s="19">
        <f>SUM(G502:G503)</f>
        <v>3.6630000000000003</v>
      </c>
      <c r="H504" s="19">
        <f>SUM(H502:H503)</f>
        <v>0.66600000000000004</v>
      </c>
      <c r="I504" s="19">
        <f>SUM(I502:I503)</f>
        <v>4.9800000000000004</v>
      </c>
      <c r="J504" s="19">
        <f>SUM(J502:J503)</f>
        <v>0.24900000000000003</v>
      </c>
      <c r="K504" s="19"/>
      <c r="L504" s="19">
        <f>SUM(L502:L503)</f>
        <v>13329.309000000001</v>
      </c>
      <c r="M504" s="70"/>
      <c r="N504" s="137"/>
      <c r="O504" s="137"/>
      <c r="R504" s="23"/>
      <c r="S504" s="23"/>
      <c r="T504" s="23"/>
      <c r="U504" s="23"/>
      <c r="V504" s="23"/>
      <c r="W504" s="23"/>
      <c r="X504" s="23"/>
      <c r="Y504" s="23"/>
      <c r="Z504" s="23"/>
      <c r="AA504" s="23"/>
      <c r="AB504" s="23"/>
    </row>
    <row r="505" spans="1:28" x14ac:dyDescent="0.25">
      <c r="N505" s="137"/>
      <c r="O505" s="137"/>
    </row>
    <row r="506" spans="1:28" s="66" customFormat="1" x14ac:dyDescent="0.25">
      <c r="A506" s="71">
        <v>43017</v>
      </c>
      <c r="B506" s="72">
        <v>189362</v>
      </c>
      <c r="C506" s="72" t="s">
        <v>313</v>
      </c>
      <c r="D506" s="72">
        <v>2000</v>
      </c>
      <c r="E506" s="73">
        <v>3.54</v>
      </c>
      <c r="F506" s="73">
        <f>D506*E506</f>
        <v>7080</v>
      </c>
      <c r="G506" s="73">
        <f t="shared" ref="G506" si="194">F506*0.0275%</f>
        <v>1.9470000000000001</v>
      </c>
      <c r="H506" s="73">
        <f>F506*0.005%</f>
        <v>0.35400000000000004</v>
      </c>
      <c r="I506" s="73">
        <v>2.4900000000000002</v>
      </c>
      <c r="J506" s="73">
        <f>I506*5%</f>
        <v>0.12450000000000001</v>
      </c>
      <c r="K506" s="73">
        <v>0</v>
      </c>
      <c r="L506" s="73">
        <f>F506-G506-H506-I506-K506</f>
        <v>7075.2089999999998</v>
      </c>
      <c r="M506" s="70"/>
      <c r="N506" s="137">
        <f t="shared" si="162"/>
        <v>2.7500000000000002E-4</v>
      </c>
      <c r="O506" s="137">
        <f t="shared" si="163"/>
        <v>5.0000000000000002E-5</v>
      </c>
      <c r="R506" s="36"/>
      <c r="S506" s="36"/>
      <c r="T506" s="36"/>
      <c r="U506" s="36"/>
      <c r="V506" s="36"/>
      <c r="W506" s="36"/>
      <c r="X506" s="36"/>
      <c r="Y506" s="36"/>
      <c r="Z506" s="36"/>
      <c r="AA506" s="36"/>
      <c r="AB506" s="36"/>
    </row>
    <row r="507" spans="1:28" x14ac:dyDescent="0.25">
      <c r="N507" s="137"/>
      <c r="O507" s="137"/>
    </row>
    <row r="508" spans="1:28" s="66" customFormat="1" x14ac:dyDescent="0.25">
      <c r="A508" s="71">
        <v>43028</v>
      </c>
      <c r="B508" s="72">
        <v>202271</v>
      </c>
      <c r="C508" s="72" t="s">
        <v>294</v>
      </c>
      <c r="D508" s="72">
        <v>100</v>
      </c>
      <c r="E508" s="73">
        <v>30.5</v>
      </c>
      <c r="F508" s="73">
        <f>D508*E508</f>
        <v>3050</v>
      </c>
      <c r="G508" s="73">
        <f t="shared" ref="G508" si="195">F508*0.0275%</f>
        <v>0.83875</v>
      </c>
      <c r="H508" s="73">
        <f>F508*0.005%</f>
        <v>0.1525</v>
      </c>
      <c r="I508" s="73">
        <v>2.4900000000000002</v>
      </c>
      <c r="J508" s="73">
        <f>I508*5%</f>
        <v>0.12450000000000001</v>
      </c>
      <c r="K508" s="73">
        <v>0</v>
      </c>
      <c r="L508" s="73">
        <f>F508-G508-H508-I508-K508</f>
        <v>3046.5187500000002</v>
      </c>
      <c r="M508" s="70"/>
      <c r="N508" s="137">
        <f t="shared" si="162"/>
        <v>2.7500000000000002E-4</v>
      </c>
      <c r="O508" s="137">
        <f t="shared" si="163"/>
        <v>4.9999999999999996E-5</v>
      </c>
      <c r="R508" s="36"/>
      <c r="S508" s="36"/>
      <c r="T508" s="36"/>
      <c r="U508" s="36"/>
      <c r="V508" s="36"/>
      <c r="W508" s="36"/>
      <c r="X508" s="36"/>
      <c r="Y508" s="36"/>
      <c r="Z508" s="36"/>
      <c r="AA508" s="36"/>
      <c r="AB508" s="36"/>
    </row>
    <row r="509" spans="1:28" x14ac:dyDescent="0.25">
      <c r="N509" s="137"/>
      <c r="O509" s="137"/>
    </row>
    <row r="510" spans="1:28" s="66" customFormat="1" x14ac:dyDescent="0.25">
      <c r="A510" s="71">
        <v>43031</v>
      </c>
      <c r="B510" s="72">
        <v>203840</v>
      </c>
      <c r="C510" s="72" t="s">
        <v>296</v>
      </c>
      <c r="D510" s="72">
        <v>500</v>
      </c>
      <c r="E510" s="73">
        <v>22.15</v>
      </c>
      <c r="F510" s="73">
        <f>D510*E510</f>
        <v>11075</v>
      </c>
      <c r="G510" s="73">
        <f t="shared" ref="G510" si="196">F510*0.0275%</f>
        <v>3.0456250000000002</v>
      </c>
      <c r="H510" s="73">
        <f>F510*0.005%</f>
        <v>0.55375000000000008</v>
      </c>
      <c r="I510" s="73">
        <v>2.4900000000000002</v>
      </c>
      <c r="J510" s="73">
        <f>I510*5%</f>
        <v>0.12450000000000001</v>
      </c>
      <c r="K510" s="73">
        <v>0</v>
      </c>
      <c r="L510" s="73">
        <f>F510-G510-H510-I510-K510</f>
        <v>11068.910625</v>
      </c>
      <c r="M510" s="70"/>
      <c r="N510" s="137">
        <f t="shared" si="162"/>
        <v>2.7500000000000002E-4</v>
      </c>
      <c r="O510" s="137">
        <f t="shared" si="163"/>
        <v>5.0000000000000009E-5</v>
      </c>
      <c r="R510" s="36"/>
      <c r="S510" s="36"/>
      <c r="T510" s="36"/>
      <c r="U510" s="36"/>
      <c r="V510" s="36"/>
      <c r="W510" s="36"/>
      <c r="X510" s="36"/>
      <c r="Y510" s="36"/>
      <c r="Z510" s="36"/>
      <c r="AA510" s="36"/>
      <c r="AB510" s="36"/>
    </row>
    <row r="511" spans="1:28" x14ac:dyDescent="0.25">
      <c r="N511" s="137"/>
      <c r="O511" s="137"/>
    </row>
    <row r="512" spans="1:28" s="47" customFormat="1" x14ac:dyDescent="0.25">
      <c r="A512" s="26">
        <v>43038</v>
      </c>
      <c r="B512" s="47">
        <v>212077</v>
      </c>
      <c r="C512" s="47" t="s">
        <v>342</v>
      </c>
      <c r="D512" s="47">
        <v>80</v>
      </c>
      <c r="E512" s="23">
        <v>61.5</v>
      </c>
      <c r="F512" s="23">
        <f>D512*E512</f>
        <v>4920</v>
      </c>
      <c r="G512" s="23">
        <f t="shared" ref="G512:G513" si="197">F512*0.0275%</f>
        <v>1.353</v>
      </c>
      <c r="H512" s="23">
        <f>F512*0.005%</f>
        <v>0.24600000000000002</v>
      </c>
      <c r="I512" s="23">
        <v>2.4900000000000002</v>
      </c>
      <c r="J512" s="23">
        <f>I512*5%</f>
        <v>0.12450000000000001</v>
      </c>
      <c r="K512" s="23"/>
      <c r="L512" s="23">
        <f>F512+G512+H512+I512</f>
        <v>4924.0889999999999</v>
      </c>
      <c r="M512" s="70"/>
      <c r="N512" s="137">
        <f t="shared" si="162"/>
        <v>2.7500000000000002E-4</v>
      </c>
      <c r="O512" s="137">
        <f t="shared" si="163"/>
        <v>5.0000000000000002E-5</v>
      </c>
      <c r="R512" s="23"/>
      <c r="S512" s="23"/>
      <c r="T512" s="23"/>
      <c r="U512" s="23"/>
      <c r="V512" s="23"/>
      <c r="W512" s="23"/>
      <c r="X512" s="23"/>
      <c r="Y512" s="23"/>
      <c r="Z512" s="23"/>
      <c r="AA512" s="23"/>
      <c r="AB512" s="23"/>
    </row>
    <row r="513" spans="1:28" s="47" customFormat="1" x14ac:dyDescent="0.25">
      <c r="A513" s="26">
        <v>43038</v>
      </c>
      <c r="B513" s="47">
        <v>212077</v>
      </c>
      <c r="C513" s="47" t="s">
        <v>343</v>
      </c>
      <c r="D513" s="47">
        <v>100</v>
      </c>
      <c r="E513" s="23">
        <v>61.5</v>
      </c>
      <c r="F513" s="23">
        <f>D513*E513</f>
        <v>6150</v>
      </c>
      <c r="G513" s="23">
        <f t="shared" si="197"/>
        <v>1.6912500000000001</v>
      </c>
      <c r="H513" s="23">
        <f>F513*0.005%</f>
        <v>0.3075</v>
      </c>
      <c r="I513" s="23">
        <v>2.4900000000000002</v>
      </c>
      <c r="J513" s="23">
        <f>I513*5%</f>
        <v>0.12450000000000001</v>
      </c>
      <c r="K513" s="23"/>
      <c r="L513" s="23">
        <f>F513+G513+H513+I513</f>
        <v>6154.4887499999995</v>
      </c>
      <c r="M513" s="70"/>
      <c r="N513" s="137">
        <f t="shared" si="162"/>
        <v>2.7500000000000002E-4</v>
      </c>
      <c r="O513" s="137">
        <f t="shared" si="163"/>
        <v>5.0000000000000002E-5</v>
      </c>
      <c r="R513" s="23"/>
      <c r="S513" s="23"/>
      <c r="T513" s="23"/>
      <c r="U513" s="23"/>
      <c r="V513" s="23"/>
      <c r="W513" s="23"/>
      <c r="X513" s="23"/>
      <c r="Y513" s="23"/>
      <c r="Z513" s="23"/>
      <c r="AA513" s="23"/>
      <c r="AB513" s="23"/>
    </row>
    <row r="514" spans="1:28" s="47" customFormat="1" x14ac:dyDescent="0.25">
      <c r="A514" s="26"/>
      <c r="E514" s="23"/>
      <c r="F514" s="19">
        <f>SUM(F512:F513)</f>
        <v>11070</v>
      </c>
      <c r="G514" s="19">
        <f>SUM(G512:G513)</f>
        <v>3.0442499999999999</v>
      </c>
      <c r="H514" s="19">
        <f>SUM(H512:H513)</f>
        <v>0.55349999999999999</v>
      </c>
      <c r="I514" s="19">
        <f>SUM(I512:I513)</f>
        <v>4.9800000000000004</v>
      </c>
      <c r="J514" s="19">
        <f>SUM(J511:J513)</f>
        <v>0.24900000000000003</v>
      </c>
      <c r="K514" s="19"/>
      <c r="L514" s="19">
        <f>SUM(L511:L513)</f>
        <v>11078.57775</v>
      </c>
      <c r="M514" s="70"/>
      <c r="N514" s="137"/>
      <c r="O514" s="137"/>
      <c r="R514" s="23"/>
      <c r="S514" s="23"/>
      <c r="T514" s="23"/>
      <c r="U514" s="23"/>
      <c r="V514" s="23"/>
      <c r="W514" s="23"/>
      <c r="X514" s="23"/>
      <c r="Y514" s="23"/>
      <c r="Z514" s="23"/>
      <c r="AA514" s="23"/>
      <c r="AB514" s="23"/>
    </row>
    <row r="515" spans="1:28" x14ac:dyDescent="0.25">
      <c r="N515" s="137"/>
      <c r="O515" s="137"/>
    </row>
    <row r="516" spans="1:28" s="66" customFormat="1" x14ac:dyDescent="0.25">
      <c r="A516" s="71">
        <v>43047</v>
      </c>
      <c r="B516" s="72">
        <v>223016</v>
      </c>
      <c r="C516" s="72" t="s">
        <v>340</v>
      </c>
      <c r="D516" s="72">
        <v>300</v>
      </c>
      <c r="E516" s="73">
        <v>33.799999999999997</v>
      </c>
      <c r="F516" s="73">
        <f>D516*E516</f>
        <v>10140</v>
      </c>
      <c r="G516" s="73">
        <f t="shared" ref="G516" si="198">F516*0.0275%</f>
        <v>2.7885</v>
      </c>
      <c r="H516" s="73">
        <f>F516*0.005%</f>
        <v>0.50700000000000001</v>
      </c>
      <c r="I516" s="73">
        <v>2.4900000000000002</v>
      </c>
      <c r="J516" s="73">
        <f>I516*5%</f>
        <v>0.12450000000000001</v>
      </c>
      <c r="K516" s="73">
        <v>0</v>
      </c>
      <c r="L516" s="73">
        <f>F516-G516-H516-I516-K516</f>
        <v>10134.2145</v>
      </c>
      <c r="M516" s="70"/>
      <c r="N516" s="137">
        <f t="shared" ref="N516:N577" si="199">G516/F516</f>
        <v>2.7500000000000002E-4</v>
      </c>
      <c r="O516" s="137">
        <f t="shared" ref="O516:O577" si="200">H516/F516</f>
        <v>5.0000000000000002E-5</v>
      </c>
      <c r="R516" s="36"/>
      <c r="S516" s="36"/>
      <c r="T516" s="36"/>
      <c r="U516" s="36"/>
      <c r="V516" s="36"/>
      <c r="W516" s="36"/>
      <c r="X516" s="36"/>
      <c r="Y516" s="36"/>
      <c r="Z516" s="36"/>
      <c r="AA516" s="36"/>
      <c r="AB516" s="36"/>
    </row>
    <row r="517" spans="1:28" x14ac:dyDescent="0.25">
      <c r="N517" s="137"/>
      <c r="O517" s="137"/>
    </row>
    <row r="518" spans="1:28" s="47" customFormat="1" x14ac:dyDescent="0.25">
      <c r="A518" s="26">
        <v>43048</v>
      </c>
      <c r="B518" s="47">
        <v>224704</v>
      </c>
      <c r="C518" s="47" t="s">
        <v>294</v>
      </c>
      <c r="D518" s="47">
        <v>300</v>
      </c>
      <c r="E518" s="23">
        <v>27.1</v>
      </c>
      <c r="F518" s="23">
        <f>D518*E518</f>
        <v>8130</v>
      </c>
      <c r="G518" s="23">
        <f t="shared" ref="G518" si="201">F518*0.0275%</f>
        <v>2.2357500000000003</v>
      </c>
      <c r="H518" s="23">
        <f>F518*0.005%</f>
        <v>0.40650000000000003</v>
      </c>
      <c r="I518" s="23">
        <v>2.4900000000000002</v>
      </c>
      <c r="J518" s="23">
        <f>I518*5%</f>
        <v>0.12450000000000001</v>
      </c>
      <c r="K518" s="23"/>
      <c r="L518" s="23">
        <f>F518+G518+H518+I518</f>
        <v>8135.1322499999997</v>
      </c>
      <c r="M518" s="70"/>
      <c r="N518" s="137">
        <f t="shared" si="199"/>
        <v>2.7500000000000002E-4</v>
      </c>
      <c r="O518" s="137">
        <f t="shared" si="200"/>
        <v>5.0000000000000002E-5</v>
      </c>
      <c r="R518" s="23"/>
      <c r="S518" s="23"/>
      <c r="T518" s="23"/>
      <c r="U518" s="23"/>
      <c r="V518" s="23"/>
      <c r="W518" s="23"/>
      <c r="X518" s="23"/>
      <c r="Y518" s="23"/>
      <c r="Z518" s="23"/>
      <c r="AA518" s="23"/>
      <c r="AB518" s="23"/>
    </row>
    <row r="519" spans="1:28" x14ac:dyDescent="0.25">
      <c r="I519" s="23"/>
      <c r="N519" s="137"/>
      <c r="O519" s="137"/>
    </row>
    <row r="520" spans="1:28" s="66" customFormat="1" x14ac:dyDescent="0.25">
      <c r="A520" s="71">
        <v>43067</v>
      </c>
      <c r="B520" s="72">
        <v>243135</v>
      </c>
      <c r="C520" s="72" t="s">
        <v>294</v>
      </c>
      <c r="D520" s="72">
        <v>300</v>
      </c>
      <c r="E520" s="73">
        <v>26.7</v>
      </c>
      <c r="F520" s="73">
        <f>D520*E520</f>
        <v>8010</v>
      </c>
      <c r="G520" s="73">
        <f t="shared" ref="G520" si="202">F520*0.0275%</f>
        <v>2.20275</v>
      </c>
      <c r="H520" s="73">
        <f>F520*0.005%</f>
        <v>0.40050000000000002</v>
      </c>
      <c r="I520" s="73">
        <v>2.4900000000000002</v>
      </c>
      <c r="J520" s="73">
        <f>I520*5%</f>
        <v>0.12450000000000001</v>
      </c>
      <c r="K520" s="73">
        <v>0</v>
      </c>
      <c r="L520" s="73">
        <f>F520-G520-H520-I520-K520</f>
        <v>8004.9067500000001</v>
      </c>
      <c r="M520" s="70"/>
      <c r="N520" s="137">
        <f t="shared" si="199"/>
        <v>2.7500000000000002E-4</v>
      </c>
      <c r="O520" s="137">
        <f t="shared" si="200"/>
        <v>5.0000000000000002E-5</v>
      </c>
      <c r="R520" s="36"/>
      <c r="S520" s="36"/>
      <c r="T520" s="36"/>
      <c r="U520" s="36"/>
      <c r="V520" s="36"/>
      <c r="W520" s="36"/>
      <c r="X520" s="36"/>
      <c r="Y520" s="36"/>
      <c r="Z520" s="36"/>
      <c r="AA520" s="36"/>
      <c r="AB520" s="36"/>
    </row>
    <row r="521" spans="1:28" x14ac:dyDescent="0.25">
      <c r="N521" s="137"/>
      <c r="O521" s="137"/>
    </row>
    <row r="522" spans="1:28" s="66" customFormat="1" x14ac:dyDescent="0.25">
      <c r="A522" s="71">
        <v>43110</v>
      </c>
      <c r="B522" s="72">
        <v>295916</v>
      </c>
      <c r="C522" s="72" t="s">
        <v>339</v>
      </c>
      <c r="D522" s="72">
        <v>400</v>
      </c>
      <c r="E522" s="73">
        <v>29</v>
      </c>
      <c r="F522" s="73">
        <f>D522*E522</f>
        <v>11600</v>
      </c>
      <c r="G522" s="73">
        <f t="shared" ref="G522" si="203">F522*0.0275%</f>
        <v>3.1900000000000004</v>
      </c>
      <c r="H522" s="73">
        <f>F522*0.005%</f>
        <v>0.58000000000000007</v>
      </c>
      <c r="I522" s="73">
        <v>2.4900000000000002</v>
      </c>
      <c r="J522" s="73">
        <f>I522*5%</f>
        <v>0.12450000000000001</v>
      </c>
      <c r="K522" s="73">
        <v>0</v>
      </c>
      <c r="L522" s="73">
        <f>F522-G522-H522-I522-K522</f>
        <v>11593.74</v>
      </c>
      <c r="M522" s="70"/>
      <c r="N522" s="137">
        <f t="shared" si="199"/>
        <v>2.7500000000000002E-4</v>
      </c>
      <c r="O522" s="137">
        <f t="shared" si="200"/>
        <v>5.0000000000000009E-5</v>
      </c>
      <c r="R522" s="36"/>
      <c r="S522" s="36"/>
      <c r="T522" s="36"/>
      <c r="U522" s="36"/>
      <c r="V522" s="36"/>
      <c r="W522" s="36"/>
      <c r="X522" s="36"/>
      <c r="Y522" s="36"/>
      <c r="Z522" s="36"/>
      <c r="AA522" s="36"/>
      <c r="AB522" s="36"/>
    </row>
    <row r="523" spans="1:28" x14ac:dyDescent="0.25">
      <c r="N523" s="137"/>
      <c r="O523" s="137"/>
    </row>
    <row r="524" spans="1:28" s="66" customFormat="1" x14ac:dyDescent="0.25">
      <c r="A524" s="71">
        <v>43112</v>
      </c>
      <c r="B524" s="72">
        <v>300342</v>
      </c>
      <c r="C524" s="72" t="s">
        <v>344</v>
      </c>
      <c r="D524" s="72">
        <v>900</v>
      </c>
      <c r="E524" s="73">
        <v>0.05</v>
      </c>
      <c r="F524" s="73">
        <f>D524*E524</f>
        <v>45</v>
      </c>
      <c r="G524" s="73">
        <f t="shared" ref="G524:G525" si="204">F524*0.0275%</f>
        <v>1.2375000000000001E-2</v>
      </c>
      <c r="H524" s="73">
        <f>F524*0.005%</f>
        <v>2.2500000000000003E-3</v>
      </c>
      <c r="I524" s="73">
        <v>2.4900000000000002</v>
      </c>
      <c r="J524" s="73">
        <f>I524*5%</f>
        <v>0.12450000000000001</v>
      </c>
      <c r="K524" s="73">
        <f>F524*0.005%</f>
        <v>2.2500000000000003E-3</v>
      </c>
      <c r="L524" s="73">
        <f>F524-G524-H524-I524-K524</f>
        <v>42.493125000000006</v>
      </c>
      <c r="M524" s="70"/>
      <c r="N524" s="137">
        <f t="shared" si="199"/>
        <v>2.7500000000000002E-4</v>
      </c>
      <c r="O524" s="137">
        <f t="shared" si="200"/>
        <v>5.0000000000000009E-5</v>
      </c>
      <c r="R524" s="36"/>
      <c r="S524" s="36"/>
      <c r="T524" s="36"/>
      <c r="U524" s="36"/>
      <c r="V524" s="36"/>
      <c r="W524" s="36"/>
      <c r="X524" s="36"/>
      <c r="Y524" s="36"/>
      <c r="Z524" s="36"/>
      <c r="AA524" s="36"/>
      <c r="AB524" s="36"/>
    </row>
    <row r="525" spans="1:28" s="66" customFormat="1" x14ac:dyDescent="0.25">
      <c r="A525" s="71">
        <v>43112</v>
      </c>
      <c r="B525" s="72">
        <v>300342</v>
      </c>
      <c r="C525" s="72" t="s">
        <v>345</v>
      </c>
      <c r="D525" s="72">
        <v>1100</v>
      </c>
      <c r="E525" s="73">
        <v>0.05</v>
      </c>
      <c r="F525" s="73">
        <f>D525*E525</f>
        <v>55</v>
      </c>
      <c r="G525" s="73">
        <f t="shared" si="204"/>
        <v>1.5125000000000001E-2</v>
      </c>
      <c r="H525" s="73">
        <f>F525*0.005%</f>
        <v>2.7500000000000003E-3</v>
      </c>
      <c r="I525" s="73">
        <v>2.4900000000000002</v>
      </c>
      <c r="J525" s="73">
        <f>I525*5%</f>
        <v>0.12450000000000001</v>
      </c>
      <c r="K525" s="73">
        <f>F525*0.005%</f>
        <v>2.7500000000000003E-3</v>
      </c>
      <c r="L525" s="73">
        <f>F525-G525-H525-I525-K525</f>
        <v>52.489375000000003</v>
      </c>
      <c r="M525" s="70"/>
      <c r="N525" s="137">
        <f t="shared" si="199"/>
        <v>2.7500000000000002E-4</v>
      </c>
      <c r="O525" s="137">
        <f t="shared" si="200"/>
        <v>5.0000000000000002E-5</v>
      </c>
      <c r="R525" s="36"/>
      <c r="S525" s="36"/>
      <c r="T525" s="36"/>
      <c r="U525" s="36"/>
      <c r="V525" s="36"/>
      <c r="W525" s="36"/>
      <c r="X525" s="36"/>
      <c r="Y525" s="36"/>
      <c r="Z525" s="36"/>
      <c r="AA525" s="36"/>
      <c r="AB525" s="36"/>
    </row>
    <row r="526" spans="1:28" s="72" customFormat="1" x14ac:dyDescent="0.25">
      <c r="A526" s="71"/>
      <c r="E526" s="73"/>
      <c r="F526" s="74">
        <f t="shared" ref="F526:L526" si="205">SUM(F524:F525)</f>
        <v>100</v>
      </c>
      <c r="G526" s="74">
        <f t="shared" si="205"/>
        <v>2.7500000000000004E-2</v>
      </c>
      <c r="H526" s="74">
        <f t="shared" si="205"/>
        <v>5.000000000000001E-3</v>
      </c>
      <c r="I526" s="74">
        <f t="shared" si="205"/>
        <v>4.9800000000000004</v>
      </c>
      <c r="J526" s="74">
        <f t="shared" si="205"/>
        <v>0.24900000000000003</v>
      </c>
      <c r="K526" s="74">
        <f t="shared" si="205"/>
        <v>5.000000000000001E-3</v>
      </c>
      <c r="L526" s="74">
        <f t="shared" si="205"/>
        <v>94.982500000000016</v>
      </c>
      <c r="M526" s="70"/>
      <c r="N526" s="137"/>
      <c r="O526" s="137"/>
      <c r="R526" s="73"/>
      <c r="S526" s="73"/>
      <c r="T526" s="73"/>
      <c r="U526" s="73"/>
      <c r="V526" s="73"/>
      <c r="W526" s="73"/>
      <c r="X526" s="73"/>
      <c r="Y526" s="73"/>
      <c r="Z526" s="73"/>
      <c r="AA526" s="73"/>
      <c r="AB526" s="73"/>
    </row>
    <row r="527" spans="1:28" x14ac:dyDescent="0.25">
      <c r="N527" s="137"/>
      <c r="O527" s="137"/>
    </row>
    <row r="528" spans="1:28" s="66" customFormat="1" x14ac:dyDescent="0.25">
      <c r="A528" s="71">
        <v>43131</v>
      </c>
      <c r="B528" s="72">
        <v>330417</v>
      </c>
      <c r="C528" s="72" t="s">
        <v>341</v>
      </c>
      <c r="D528" s="72">
        <v>600</v>
      </c>
      <c r="E528" s="73">
        <v>7</v>
      </c>
      <c r="F528" s="73">
        <f>D528*E528</f>
        <v>4200</v>
      </c>
      <c r="G528" s="73">
        <f t="shared" ref="G528" si="206">F528*0.0275%</f>
        <v>1.155</v>
      </c>
      <c r="H528" s="73">
        <f>F528*0.005%</f>
        <v>0.21000000000000002</v>
      </c>
      <c r="I528" s="73">
        <v>2.4900000000000002</v>
      </c>
      <c r="J528" s="73">
        <f>I528*5%</f>
        <v>0.12450000000000001</v>
      </c>
      <c r="K528" s="73">
        <v>0</v>
      </c>
      <c r="L528" s="73">
        <f>F528-G528-H528-I528-K528</f>
        <v>4196.1450000000004</v>
      </c>
      <c r="M528" s="70"/>
      <c r="N528" s="137">
        <f t="shared" si="199"/>
        <v>2.7500000000000002E-4</v>
      </c>
      <c r="O528" s="137">
        <f t="shared" si="200"/>
        <v>5.0000000000000002E-5</v>
      </c>
      <c r="R528" s="36"/>
      <c r="S528" s="36"/>
      <c r="T528" s="36"/>
      <c r="U528" s="36"/>
      <c r="V528" s="36"/>
      <c r="W528" s="36"/>
      <c r="X528" s="36"/>
      <c r="Y528" s="36"/>
      <c r="Z528" s="36"/>
      <c r="AA528" s="36"/>
      <c r="AB528" s="36"/>
    </row>
    <row r="529" spans="1:28" x14ac:dyDescent="0.25">
      <c r="N529" s="137"/>
      <c r="O529" s="137"/>
    </row>
    <row r="530" spans="1:28" s="66" customFormat="1" x14ac:dyDescent="0.25">
      <c r="A530" s="71">
        <v>43147</v>
      </c>
      <c r="B530" s="72">
        <v>356267</v>
      </c>
      <c r="C530" s="72" t="s">
        <v>267</v>
      </c>
      <c r="D530" s="72">
        <v>900</v>
      </c>
      <c r="E530" s="73">
        <v>15.3</v>
      </c>
      <c r="F530" s="73">
        <f>D530*E530</f>
        <v>13770</v>
      </c>
      <c r="G530" s="73">
        <f t="shared" ref="G530" si="207">F530*0.0275%</f>
        <v>3.7867500000000001</v>
      </c>
      <c r="H530" s="73">
        <f>F530*0.005%</f>
        <v>0.6885</v>
      </c>
      <c r="I530" s="73">
        <v>2.4900000000000002</v>
      </c>
      <c r="J530" s="73">
        <f>I530*5%</f>
        <v>0.12450000000000001</v>
      </c>
      <c r="K530" s="73">
        <v>0</v>
      </c>
      <c r="L530" s="73">
        <f>F530-G530-H530-I530-K530</f>
        <v>13763.034750000001</v>
      </c>
      <c r="M530" s="70"/>
      <c r="N530" s="137">
        <f t="shared" si="199"/>
        <v>2.7500000000000002E-4</v>
      </c>
      <c r="O530" s="137">
        <f t="shared" si="200"/>
        <v>5.0000000000000002E-5</v>
      </c>
      <c r="R530" s="36"/>
      <c r="S530" s="36"/>
      <c r="T530" s="36"/>
      <c r="U530" s="36"/>
      <c r="V530" s="36"/>
      <c r="W530" s="36"/>
      <c r="X530" s="36"/>
      <c r="Y530" s="36"/>
      <c r="Z530" s="36"/>
      <c r="AA530" s="36"/>
      <c r="AB530" s="36"/>
    </row>
    <row r="531" spans="1:28" x14ac:dyDescent="0.25">
      <c r="N531" s="137"/>
      <c r="O531" s="137"/>
    </row>
    <row r="532" spans="1:28" s="66" customFormat="1" x14ac:dyDescent="0.25">
      <c r="A532" s="71">
        <v>43154</v>
      </c>
      <c r="B532" s="72">
        <v>370124</v>
      </c>
      <c r="C532" s="72" t="s">
        <v>342</v>
      </c>
      <c r="D532" s="72">
        <v>80</v>
      </c>
      <c r="E532" s="73">
        <v>87.3</v>
      </c>
      <c r="F532" s="73">
        <f>D532*E532</f>
        <v>6984</v>
      </c>
      <c r="G532" s="73">
        <f t="shared" ref="G532:G533" si="208">F532*0.0275%</f>
        <v>1.9206000000000001</v>
      </c>
      <c r="H532" s="73">
        <f>F532*0.005%</f>
        <v>0.34920000000000001</v>
      </c>
      <c r="I532" s="73">
        <v>2.4900000000000002</v>
      </c>
      <c r="J532" s="73">
        <f>I532*5%</f>
        <v>0.12450000000000001</v>
      </c>
      <c r="K532" s="73">
        <v>0</v>
      </c>
      <c r="L532" s="73">
        <f>F532-G532-H532-I532-K532</f>
        <v>6979.2402000000002</v>
      </c>
      <c r="M532" s="70"/>
      <c r="N532" s="137">
        <f t="shared" si="199"/>
        <v>2.7500000000000002E-4</v>
      </c>
      <c r="O532" s="137">
        <f t="shared" si="200"/>
        <v>5.0000000000000002E-5</v>
      </c>
      <c r="R532" s="36"/>
      <c r="S532" s="36"/>
      <c r="T532" s="36"/>
      <c r="U532" s="36"/>
      <c r="V532" s="36"/>
      <c r="W532" s="36"/>
      <c r="X532" s="36"/>
      <c r="Y532" s="36"/>
      <c r="Z532" s="36"/>
      <c r="AA532" s="36"/>
      <c r="AB532" s="36"/>
    </row>
    <row r="533" spans="1:28" s="66" customFormat="1" x14ac:dyDescent="0.25">
      <c r="A533" s="71">
        <v>43154</v>
      </c>
      <c r="B533" s="72">
        <v>370124</v>
      </c>
      <c r="C533" s="72" t="s">
        <v>343</v>
      </c>
      <c r="D533" s="72">
        <v>100</v>
      </c>
      <c r="E533" s="73">
        <v>87.3</v>
      </c>
      <c r="F533" s="73">
        <f>D533*E533</f>
        <v>8730</v>
      </c>
      <c r="G533" s="73">
        <f t="shared" si="208"/>
        <v>2.4007499999999999</v>
      </c>
      <c r="H533" s="73">
        <f>F533*0.005%</f>
        <v>0.4365</v>
      </c>
      <c r="I533" s="73">
        <v>2.4900000000000002</v>
      </c>
      <c r="J533" s="73">
        <f>I533*5%</f>
        <v>0.12450000000000001</v>
      </c>
      <c r="K533" s="73">
        <v>0</v>
      </c>
      <c r="L533" s="73">
        <f>F533-G533-H533-I533-K533</f>
        <v>8724.6727499999997</v>
      </c>
      <c r="M533" s="70"/>
      <c r="N533" s="137">
        <f t="shared" si="199"/>
        <v>2.7500000000000002E-4</v>
      </c>
      <c r="O533" s="137">
        <f t="shared" si="200"/>
        <v>5.0000000000000002E-5</v>
      </c>
      <c r="R533" s="36"/>
      <c r="S533" s="36"/>
      <c r="T533" s="36"/>
      <c r="U533" s="36"/>
      <c r="V533" s="36"/>
      <c r="W533" s="36"/>
      <c r="X533" s="36"/>
      <c r="Y533" s="36"/>
      <c r="Z533" s="36"/>
      <c r="AA533" s="36"/>
      <c r="AB533" s="36"/>
    </row>
    <row r="534" spans="1:28" s="72" customFormat="1" x14ac:dyDescent="0.25">
      <c r="A534" s="71"/>
      <c r="E534" s="73"/>
      <c r="F534" s="74">
        <f t="shared" ref="F534:L534" si="209">SUM(F532:F533)</f>
        <v>15714</v>
      </c>
      <c r="G534" s="74">
        <f t="shared" si="209"/>
        <v>4.3213499999999998</v>
      </c>
      <c r="H534" s="74">
        <f t="shared" si="209"/>
        <v>0.78570000000000007</v>
      </c>
      <c r="I534" s="74">
        <f t="shared" si="209"/>
        <v>4.9800000000000004</v>
      </c>
      <c r="J534" s="74">
        <f t="shared" si="209"/>
        <v>0.24900000000000003</v>
      </c>
      <c r="K534" s="74">
        <f t="shared" si="209"/>
        <v>0</v>
      </c>
      <c r="L534" s="74">
        <f t="shared" si="209"/>
        <v>15703.91295</v>
      </c>
      <c r="M534" s="70"/>
      <c r="N534" s="137"/>
      <c r="O534" s="137"/>
      <c r="R534" s="73"/>
      <c r="S534" s="73"/>
      <c r="T534" s="73"/>
      <c r="U534" s="73"/>
      <c r="V534" s="73"/>
      <c r="W534" s="73"/>
      <c r="X534" s="73"/>
      <c r="Y534" s="73"/>
      <c r="Z534" s="73"/>
      <c r="AA534" s="73"/>
      <c r="AB534" s="73"/>
    </row>
    <row r="535" spans="1:28" x14ac:dyDescent="0.25">
      <c r="N535" s="137"/>
      <c r="O535" s="137"/>
    </row>
    <row r="536" spans="1:28" s="66" customFormat="1" x14ac:dyDescent="0.25">
      <c r="A536" s="71">
        <v>43235</v>
      </c>
      <c r="B536" s="72">
        <v>516503</v>
      </c>
      <c r="C536" s="72" t="s">
        <v>346</v>
      </c>
      <c r="D536" s="72">
        <v>97</v>
      </c>
      <c r="E536" s="73">
        <v>0.4</v>
      </c>
      <c r="F536" s="73">
        <f>D536*E536</f>
        <v>38.800000000000004</v>
      </c>
      <c r="G536" s="73">
        <f t="shared" ref="G536:G537" si="210">F536*0.0275%</f>
        <v>1.0670000000000002E-2</v>
      </c>
      <c r="H536" s="73">
        <f>F536*0.005%</f>
        <v>1.9400000000000003E-3</v>
      </c>
      <c r="I536" s="73">
        <v>2.4900000000000002</v>
      </c>
      <c r="J536" s="73">
        <f>I536*5%</f>
        <v>0.12450000000000001</v>
      </c>
      <c r="K536" s="73">
        <v>0</v>
      </c>
      <c r="L536" s="73">
        <f>F536-G536-H536-I536-K536</f>
        <v>36.297390000000007</v>
      </c>
      <c r="M536" s="70"/>
      <c r="N536" s="137">
        <f t="shared" si="199"/>
        <v>2.7500000000000002E-4</v>
      </c>
      <c r="O536" s="137">
        <f t="shared" si="200"/>
        <v>5.0000000000000002E-5</v>
      </c>
      <c r="R536" s="36"/>
      <c r="S536" s="36"/>
      <c r="T536" s="36"/>
      <c r="U536" s="36"/>
      <c r="V536" s="36"/>
      <c r="W536" s="36"/>
      <c r="X536" s="36"/>
      <c r="Y536" s="36"/>
      <c r="Z536" s="36"/>
      <c r="AA536" s="36"/>
      <c r="AB536" s="36"/>
    </row>
    <row r="537" spans="1:28" s="66" customFormat="1" x14ac:dyDescent="0.25">
      <c r="A537" s="71">
        <v>43235</v>
      </c>
      <c r="B537" s="72">
        <v>516503</v>
      </c>
      <c r="C537" s="72" t="s">
        <v>347</v>
      </c>
      <c r="D537" s="72">
        <v>500</v>
      </c>
      <c r="E537" s="73">
        <v>0.4</v>
      </c>
      <c r="F537" s="73">
        <f>D537*E537</f>
        <v>200</v>
      </c>
      <c r="G537" s="73">
        <f t="shared" si="210"/>
        <v>5.5E-2</v>
      </c>
      <c r="H537" s="73">
        <f>F537*0.005%</f>
        <v>0.01</v>
      </c>
      <c r="I537" s="73">
        <v>2.4900000000000002</v>
      </c>
      <c r="J537" s="73">
        <f>I537*5%</f>
        <v>0.12450000000000001</v>
      </c>
      <c r="K537" s="73">
        <v>0</v>
      </c>
      <c r="L537" s="73">
        <f>F537-G537-H537-I537-K537</f>
        <v>197.44499999999999</v>
      </c>
      <c r="M537" s="70"/>
      <c r="N537" s="137">
        <f t="shared" si="199"/>
        <v>2.7500000000000002E-4</v>
      </c>
      <c r="O537" s="137">
        <f t="shared" si="200"/>
        <v>5.0000000000000002E-5</v>
      </c>
      <c r="R537" s="36"/>
      <c r="S537" s="36"/>
      <c r="T537" s="36"/>
      <c r="U537" s="36"/>
      <c r="V537" s="36"/>
      <c r="W537" s="36"/>
      <c r="X537" s="36"/>
      <c r="Y537" s="36"/>
      <c r="Z537" s="36"/>
      <c r="AA537" s="36"/>
      <c r="AB537" s="36"/>
    </row>
    <row r="538" spans="1:28" s="72" customFormat="1" x14ac:dyDescent="0.25">
      <c r="A538" s="71"/>
      <c r="E538" s="73"/>
      <c r="F538" s="74">
        <f t="shared" ref="F538:L538" si="211">SUM(F536:F537)</f>
        <v>238.8</v>
      </c>
      <c r="G538" s="74">
        <f t="shared" si="211"/>
        <v>6.5670000000000006E-2</v>
      </c>
      <c r="H538" s="74">
        <f t="shared" si="211"/>
        <v>1.1940000000000001E-2</v>
      </c>
      <c r="I538" s="74">
        <f t="shared" si="211"/>
        <v>4.9800000000000004</v>
      </c>
      <c r="J538" s="74">
        <f t="shared" si="211"/>
        <v>0.24900000000000003</v>
      </c>
      <c r="K538" s="74">
        <f t="shared" si="211"/>
        <v>0</v>
      </c>
      <c r="L538" s="74">
        <f t="shared" si="211"/>
        <v>233.74239</v>
      </c>
      <c r="M538" s="70"/>
      <c r="N538" s="137"/>
      <c r="O538" s="137"/>
      <c r="R538" s="73"/>
      <c r="S538" s="73"/>
      <c r="T538" s="73"/>
      <c r="U538" s="73"/>
      <c r="V538" s="73"/>
      <c r="W538" s="73"/>
      <c r="X538" s="73"/>
      <c r="Y538" s="73"/>
      <c r="Z538" s="73"/>
      <c r="AA538" s="73"/>
      <c r="AB538" s="73"/>
    </row>
    <row r="539" spans="1:28" s="72" customFormat="1" x14ac:dyDescent="0.25">
      <c r="A539" s="71"/>
      <c r="E539" s="73"/>
      <c r="F539" s="74"/>
      <c r="G539" s="74"/>
      <c r="H539" s="74"/>
      <c r="I539" s="74"/>
      <c r="J539" s="74"/>
      <c r="K539" s="74"/>
      <c r="L539" s="74"/>
      <c r="M539" s="70"/>
      <c r="N539" s="137"/>
      <c r="O539" s="137"/>
      <c r="R539" s="73"/>
      <c r="S539" s="73"/>
      <c r="T539" s="73"/>
      <c r="U539" s="73"/>
      <c r="V539" s="73"/>
      <c r="W539" s="73"/>
      <c r="X539" s="73"/>
      <c r="Y539" s="73"/>
      <c r="Z539" s="73"/>
      <c r="AA539" s="73"/>
      <c r="AB539" s="73"/>
    </row>
    <row r="540" spans="1:28" s="66" customFormat="1" x14ac:dyDescent="0.25">
      <c r="A540" s="71">
        <v>43278</v>
      </c>
      <c r="B540" s="72">
        <v>603490</v>
      </c>
      <c r="C540" s="72" t="s">
        <v>325</v>
      </c>
      <c r="D540" s="72">
        <v>1100</v>
      </c>
      <c r="E540" s="73">
        <v>3.81</v>
      </c>
      <c r="F540" s="73">
        <f>D540*E540</f>
        <v>4191</v>
      </c>
      <c r="G540" s="73">
        <f t="shared" ref="G540" si="212">F540*0.0275%</f>
        <v>1.152525</v>
      </c>
      <c r="H540" s="73">
        <f>F540*0.005%</f>
        <v>0.20955000000000001</v>
      </c>
      <c r="I540" s="73">
        <v>2.4900000000000002</v>
      </c>
      <c r="J540" s="73">
        <f>I540*5%</f>
        <v>0.12450000000000001</v>
      </c>
      <c r="K540" s="73">
        <v>0</v>
      </c>
      <c r="L540" s="73">
        <f>F540-G540-H540-I540-K540</f>
        <v>4187.1479250000002</v>
      </c>
      <c r="M540" s="70"/>
      <c r="N540" s="137">
        <f t="shared" si="199"/>
        <v>2.7500000000000002E-4</v>
      </c>
      <c r="O540" s="137">
        <f t="shared" si="200"/>
        <v>5.0000000000000002E-5</v>
      </c>
      <c r="R540" s="36"/>
      <c r="S540" s="36"/>
      <c r="T540" s="36"/>
      <c r="U540" s="36"/>
      <c r="V540" s="36"/>
      <c r="W540" s="36"/>
      <c r="X540" s="36"/>
      <c r="Y540" s="36"/>
      <c r="Z540" s="36"/>
      <c r="AA540" s="36"/>
      <c r="AB540" s="36"/>
    </row>
    <row r="541" spans="1:28" x14ac:dyDescent="0.25">
      <c r="N541" s="137"/>
      <c r="O541" s="137"/>
    </row>
    <row r="542" spans="1:28" s="66" customFormat="1" x14ac:dyDescent="0.25">
      <c r="A542" s="71">
        <v>43290</v>
      </c>
      <c r="B542" s="72">
        <v>621778</v>
      </c>
      <c r="C542" s="72" t="s">
        <v>282</v>
      </c>
      <c r="D542" s="72">
        <v>700</v>
      </c>
      <c r="E542" s="73">
        <v>9.6999999999999993</v>
      </c>
      <c r="F542" s="73">
        <f>D542*E542</f>
        <v>6789.9999999999991</v>
      </c>
      <c r="G542" s="73">
        <f t="shared" ref="G542" si="213">F542*0.0275%</f>
        <v>1.8672499999999999</v>
      </c>
      <c r="H542" s="73">
        <f>F542*0.005%</f>
        <v>0.33949999999999997</v>
      </c>
      <c r="I542" s="73">
        <v>2.4900000000000002</v>
      </c>
      <c r="J542" s="73">
        <f>I542*5%</f>
        <v>0.12450000000000001</v>
      </c>
      <c r="K542" s="73">
        <v>0</v>
      </c>
      <c r="L542" s="73">
        <f>F542-G542-H542-I542-K542</f>
        <v>6785.303249999999</v>
      </c>
      <c r="M542" s="70"/>
      <c r="N542" s="137">
        <f t="shared" si="199"/>
        <v>2.7500000000000002E-4</v>
      </c>
      <c r="O542" s="137">
        <f t="shared" si="200"/>
        <v>5.0000000000000002E-5</v>
      </c>
      <c r="R542" s="36"/>
      <c r="S542" s="36"/>
      <c r="T542" s="36"/>
      <c r="U542" s="36"/>
      <c r="V542" s="36"/>
      <c r="W542" s="36"/>
      <c r="X542" s="36"/>
      <c r="Y542" s="36"/>
      <c r="Z542" s="36"/>
      <c r="AA542" s="36"/>
      <c r="AB542" s="36"/>
    </row>
    <row r="543" spans="1:28" x14ac:dyDescent="0.25">
      <c r="N543" s="137"/>
      <c r="O543" s="137"/>
    </row>
    <row r="544" spans="1:28" s="66" customFormat="1" x14ac:dyDescent="0.25">
      <c r="A544" s="71">
        <v>43292</v>
      </c>
      <c r="B544" s="72">
        <v>627217</v>
      </c>
      <c r="C544" s="72" t="s">
        <v>306</v>
      </c>
      <c r="D544" s="72">
        <v>600</v>
      </c>
      <c r="E544" s="73">
        <v>18.100000000000001</v>
      </c>
      <c r="F544" s="73">
        <f>D544*E544</f>
        <v>10860</v>
      </c>
      <c r="G544" s="73">
        <f t="shared" ref="G544" si="214">F544*0.0275%</f>
        <v>2.9865000000000004</v>
      </c>
      <c r="H544" s="73">
        <f>F544*0.005%</f>
        <v>0.54300000000000004</v>
      </c>
      <c r="I544" s="73">
        <v>2.4900000000000002</v>
      </c>
      <c r="J544" s="73">
        <f>I544*5%</f>
        <v>0.12450000000000001</v>
      </c>
      <c r="K544" s="73">
        <v>0</v>
      </c>
      <c r="L544" s="73">
        <f>F544-G544-H544-I544-K544</f>
        <v>10853.9805</v>
      </c>
      <c r="M544" s="70"/>
      <c r="N544" s="137">
        <f t="shared" si="199"/>
        <v>2.7500000000000002E-4</v>
      </c>
      <c r="O544" s="137">
        <f t="shared" si="200"/>
        <v>5.0000000000000002E-5</v>
      </c>
      <c r="R544" s="36"/>
      <c r="S544" s="36"/>
      <c r="T544" s="36"/>
      <c r="U544" s="36"/>
      <c r="V544" s="36"/>
      <c r="W544" s="36"/>
      <c r="X544" s="36"/>
      <c r="Y544" s="36"/>
      <c r="Z544" s="36"/>
      <c r="AA544" s="36"/>
      <c r="AB544" s="36"/>
    </row>
    <row r="545" spans="1:28" x14ac:dyDescent="0.25">
      <c r="N545" s="137"/>
      <c r="O545" s="137"/>
    </row>
    <row r="546" spans="1:28" s="66" customFormat="1" x14ac:dyDescent="0.25">
      <c r="A546" s="71">
        <v>43695</v>
      </c>
      <c r="B546" s="72">
        <v>787025</v>
      </c>
      <c r="C546" s="72" t="s">
        <v>348</v>
      </c>
      <c r="D546" s="72">
        <v>54</v>
      </c>
      <c r="E546" s="73">
        <v>1.86</v>
      </c>
      <c r="F546" s="73">
        <f>D546*E546</f>
        <v>100.44000000000001</v>
      </c>
      <c r="G546" s="73">
        <f>F546*0.02%</f>
        <v>2.0088000000000002E-2</v>
      </c>
      <c r="H546" s="73">
        <v>0</v>
      </c>
      <c r="I546" s="73">
        <v>2.4900000000000002</v>
      </c>
      <c r="J546" s="73">
        <f>I546*6.5%</f>
        <v>0.16185000000000002</v>
      </c>
      <c r="K546" s="73">
        <v>0</v>
      </c>
      <c r="L546" s="73">
        <f>F546-G546-H546-I546-J546-K546</f>
        <v>97.768062000000015</v>
      </c>
      <c r="M546" s="70"/>
      <c r="N546" s="139">
        <f t="shared" si="199"/>
        <v>1.9999999999999998E-4</v>
      </c>
      <c r="O546" s="137">
        <f t="shared" si="200"/>
        <v>0</v>
      </c>
      <c r="R546" s="36"/>
      <c r="S546" s="36"/>
      <c r="T546" s="36"/>
      <c r="U546" s="36"/>
      <c r="V546" s="36"/>
      <c r="W546" s="36"/>
      <c r="X546" s="36"/>
      <c r="Y546" s="36"/>
      <c r="Z546" s="36"/>
      <c r="AA546" s="36"/>
      <c r="AB546" s="36"/>
    </row>
    <row r="547" spans="1:28" x14ac:dyDescent="0.25">
      <c r="A547" s="10"/>
      <c r="N547" s="137"/>
      <c r="O547" s="137"/>
    </row>
    <row r="548" spans="1:28" s="66" customFormat="1" x14ac:dyDescent="0.25">
      <c r="A548" s="71">
        <v>43698</v>
      </c>
      <c r="B548" s="72">
        <v>804019</v>
      </c>
      <c r="C548" s="72" t="s">
        <v>349</v>
      </c>
      <c r="D548" s="72">
        <v>100</v>
      </c>
      <c r="E548" s="73">
        <v>0.2</v>
      </c>
      <c r="F548" s="73">
        <f>D548*E548</f>
        <v>20</v>
      </c>
      <c r="G548" s="73">
        <f>F548*0.02%</f>
        <v>4.0000000000000001E-3</v>
      </c>
      <c r="H548" s="73">
        <v>0</v>
      </c>
      <c r="I548" s="73">
        <v>2.4900000000000002</v>
      </c>
      <c r="J548" s="73">
        <f>I548*6.5%</f>
        <v>0.16185000000000002</v>
      </c>
      <c r="K548" s="73">
        <v>0</v>
      </c>
      <c r="L548" s="73">
        <f>F548-G548-H548-I548-J548-K548</f>
        <v>17.344149999999999</v>
      </c>
      <c r="M548" s="70"/>
      <c r="N548" s="139">
        <f t="shared" si="199"/>
        <v>2.0000000000000001E-4</v>
      </c>
      <c r="O548" s="137">
        <f t="shared" si="200"/>
        <v>0</v>
      </c>
      <c r="R548" s="36"/>
      <c r="S548" s="36"/>
      <c r="T548" s="36"/>
      <c r="U548" s="36"/>
      <c r="V548" s="36"/>
      <c r="W548" s="36"/>
      <c r="X548" s="36"/>
      <c r="Y548" s="36"/>
      <c r="Z548" s="36"/>
      <c r="AA548" s="36"/>
      <c r="AB548" s="36"/>
    </row>
    <row r="549" spans="1:28" x14ac:dyDescent="0.25">
      <c r="A549" s="10"/>
      <c r="N549" s="137"/>
      <c r="O549" s="137"/>
    </row>
    <row r="550" spans="1:28" s="66" customFormat="1" x14ac:dyDescent="0.25">
      <c r="A550" s="71">
        <v>43766</v>
      </c>
      <c r="B550" s="72">
        <v>1061015</v>
      </c>
      <c r="C550" s="72" t="s">
        <v>328</v>
      </c>
      <c r="D550" s="72">
        <v>2000</v>
      </c>
      <c r="E550" s="73">
        <v>4.0999999999999996</v>
      </c>
      <c r="F550" s="73">
        <f>D550*E550</f>
        <v>8200</v>
      </c>
      <c r="G550" s="73">
        <f>F550*0.0275%</f>
        <v>2.2550000000000003</v>
      </c>
      <c r="H550" s="73">
        <f>F550*0.004%</f>
        <v>0.32800000000000001</v>
      </c>
      <c r="I550" s="73">
        <v>2.4900000000000002</v>
      </c>
      <c r="J550" s="73">
        <f>I550*6.5%</f>
        <v>0.16185000000000002</v>
      </c>
      <c r="K550" s="73">
        <v>0</v>
      </c>
      <c r="L550" s="73">
        <f>F550-G550-H550-I550-J550-K550</f>
        <v>8194.7651500000011</v>
      </c>
      <c r="M550" s="70"/>
      <c r="N550" s="137">
        <f t="shared" si="199"/>
        <v>2.7500000000000002E-4</v>
      </c>
      <c r="O550" s="137">
        <f t="shared" si="200"/>
        <v>4.0000000000000003E-5</v>
      </c>
      <c r="R550" s="36"/>
      <c r="S550" s="36"/>
      <c r="T550" s="36"/>
      <c r="U550" s="36"/>
      <c r="V550" s="36"/>
      <c r="W550" s="36"/>
      <c r="X550" s="36"/>
      <c r="Y550" s="36"/>
      <c r="Z550" s="36"/>
      <c r="AA550" s="36"/>
      <c r="AB550" s="36"/>
    </row>
    <row r="551" spans="1:28" x14ac:dyDescent="0.25">
      <c r="N551" s="137"/>
      <c r="O551" s="137"/>
    </row>
    <row r="552" spans="1:28" s="47" customFormat="1" x14ac:dyDescent="0.25">
      <c r="A552" s="26">
        <v>43905</v>
      </c>
      <c r="B552" s="47">
        <v>401848</v>
      </c>
      <c r="C552" s="47" t="s">
        <v>288</v>
      </c>
      <c r="D552" s="47">
        <v>3000</v>
      </c>
      <c r="E552" s="23">
        <v>0.7</v>
      </c>
      <c r="F552" s="23">
        <f>D552*E552</f>
        <v>2100</v>
      </c>
      <c r="G552" s="23">
        <f t="shared" ref="G552:G553" si="215">F552*0.0275%</f>
        <v>0.57750000000000001</v>
      </c>
      <c r="H552" s="23">
        <f>F552*0.0032%</f>
        <v>6.7199999999999996E-2</v>
      </c>
      <c r="I552" s="23">
        <v>2.4900000000000002</v>
      </c>
      <c r="J552" s="23">
        <f>I552*6.5%</f>
        <v>0.16185000000000002</v>
      </c>
      <c r="K552" s="23"/>
      <c r="L552" s="23">
        <f>F552+G552+H552+I552+J552</f>
        <v>2103.2965499999996</v>
      </c>
      <c r="M552" s="70"/>
      <c r="N552" s="137">
        <f t="shared" si="199"/>
        <v>2.7500000000000002E-4</v>
      </c>
      <c r="O552" s="138">
        <f t="shared" si="200"/>
        <v>3.1999999999999999E-5</v>
      </c>
      <c r="R552" s="23"/>
      <c r="S552" s="23"/>
      <c r="T552" s="23"/>
      <c r="U552" s="23"/>
      <c r="V552" s="23"/>
      <c r="W552" s="23"/>
      <c r="X552" s="23"/>
      <c r="Y552" s="23"/>
      <c r="Z552" s="23"/>
      <c r="AA552" s="23"/>
      <c r="AB552" s="23"/>
    </row>
    <row r="553" spans="1:28" s="47" customFormat="1" x14ac:dyDescent="0.25">
      <c r="A553" s="26">
        <v>43905</v>
      </c>
      <c r="B553" s="47">
        <v>401848</v>
      </c>
      <c r="C553" s="47" t="s">
        <v>316</v>
      </c>
      <c r="D553" s="47">
        <v>300</v>
      </c>
      <c r="E553" s="23">
        <v>16.399999999999999</v>
      </c>
      <c r="F553" s="23">
        <f>D553*E553</f>
        <v>4920</v>
      </c>
      <c r="G553" s="23">
        <f t="shared" si="215"/>
        <v>1.353</v>
      </c>
      <c r="H553" s="23">
        <f>F553*0.0032%</f>
        <v>0.15744</v>
      </c>
      <c r="I553" s="23">
        <v>2.4900000000000002</v>
      </c>
      <c r="J553" s="23">
        <f>I553*6.5%</f>
        <v>0.16185000000000002</v>
      </c>
      <c r="K553" s="23"/>
      <c r="L553" s="23">
        <f>F553+G553+H553+I553+J553</f>
        <v>4924.1622900000002</v>
      </c>
      <c r="M553" s="70"/>
      <c r="N553" s="137">
        <f t="shared" si="199"/>
        <v>2.7500000000000002E-4</v>
      </c>
      <c r="O553" s="137">
        <f t="shared" si="200"/>
        <v>3.1999999999999999E-5</v>
      </c>
      <c r="R553" s="23"/>
      <c r="S553" s="23"/>
      <c r="T553" s="23"/>
      <c r="U553" s="23"/>
      <c r="V553" s="23"/>
      <c r="W553" s="23"/>
      <c r="X553" s="23"/>
      <c r="Y553" s="23"/>
      <c r="Z553" s="23"/>
      <c r="AA553" s="23"/>
      <c r="AB553" s="23"/>
    </row>
    <row r="554" spans="1:28" s="47" customFormat="1" x14ac:dyDescent="0.25">
      <c r="A554" s="26"/>
      <c r="E554" s="23"/>
      <c r="F554" s="19">
        <f>SUM(F552:F553)</f>
        <v>7020</v>
      </c>
      <c r="G554" s="19">
        <f>SUM(G552:G553)</f>
        <v>1.9304999999999999</v>
      </c>
      <c r="H554" s="19">
        <f>SUM(H552:H553)</f>
        <v>0.22464000000000001</v>
      </c>
      <c r="I554" s="19">
        <f>SUM(I552:I553)</f>
        <v>4.9800000000000004</v>
      </c>
      <c r="J554" s="19">
        <f>SUM(J552:J553)</f>
        <v>0.32370000000000004</v>
      </c>
      <c r="K554" s="19"/>
      <c r="L554" s="19">
        <f>SUM(L552:L553)</f>
        <v>7027.4588399999993</v>
      </c>
      <c r="M554" s="70"/>
      <c r="N554" s="137"/>
      <c r="O554" s="137"/>
      <c r="R554" s="23"/>
      <c r="S554" s="23"/>
      <c r="T554" s="23"/>
      <c r="U554" s="23"/>
      <c r="V554" s="23"/>
      <c r="W554" s="23"/>
      <c r="X554" s="23"/>
      <c r="Y554" s="23"/>
      <c r="Z554" s="23"/>
      <c r="AA554" s="23"/>
      <c r="AB554" s="23"/>
    </row>
    <row r="555" spans="1:28" x14ac:dyDescent="0.25">
      <c r="N555" s="137"/>
      <c r="O555" s="137"/>
    </row>
    <row r="556" spans="1:28" s="47" customFormat="1" x14ac:dyDescent="0.25">
      <c r="A556" s="26">
        <v>43907</v>
      </c>
      <c r="B556" s="47">
        <v>421708</v>
      </c>
      <c r="C556" s="47" t="s">
        <v>326</v>
      </c>
      <c r="D556" s="47">
        <v>1200</v>
      </c>
      <c r="E556" s="23">
        <v>2.5</v>
      </c>
      <c r="F556" s="23">
        <f>D556*E556</f>
        <v>3000</v>
      </c>
      <c r="G556" s="23">
        <f t="shared" ref="G556:G557" si="216">F556*0.0275%</f>
        <v>0.82500000000000007</v>
      </c>
      <c r="H556" s="23">
        <f>F556*0.0032%</f>
        <v>9.6000000000000002E-2</v>
      </c>
      <c r="I556" s="23">
        <v>2.4900000000000002</v>
      </c>
      <c r="J556" s="23">
        <f>I556*6.5%</f>
        <v>0.16185000000000002</v>
      </c>
      <c r="K556" s="23"/>
      <c r="L556" s="23">
        <f>F556+G556+H556+I556+J556</f>
        <v>3003.5728499999996</v>
      </c>
      <c r="M556" s="70"/>
      <c r="N556" s="137">
        <f t="shared" si="199"/>
        <v>2.7500000000000002E-4</v>
      </c>
      <c r="O556" s="137">
        <f t="shared" si="200"/>
        <v>3.1999999999999999E-5</v>
      </c>
      <c r="R556" s="23"/>
      <c r="S556" s="23"/>
      <c r="T556" s="23"/>
      <c r="U556" s="23"/>
      <c r="V556" s="23"/>
      <c r="W556" s="23"/>
      <c r="X556" s="23"/>
      <c r="Y556" s="23"/>
      <c r="Z556" s="23"/>
      <c r="AA556" s="23"/>
      <c r="AB556" s="23"/>
    </row>
    <row r="557" spans="1:28" s="47" customFormat="1" x14ac:dyDescent="0.25">
      <c r="A557" s="26">
        <v>43907</v>
      </c>
      <c r="B557" s="47">
        <v>421708</v>
      </c>
      <c r="C557" s="47" t="s">
        <v>310</v>
      </c>
      <c r="D557" s="47">
        <v>1100</v>
      </c>
      <c r="E557" s="23">
        <v>2.97</v>
      </c>
      <c r="F557" s="23">
        <f>D557*E557</f>
        <v>3267</v>
      </c>
      <c r="G557" s="23">
        <f t="shared" si="216"/>
        <v>0.89842500000000003</v>
      </c>
      <c r="H557" s="23">
        <f>F557*0.0032%</f>
        <v>0.104544</v>
      </c>
      <c r="I557" s="23">
        <v>2.4900000000000002</v>
      </c>
      <c r="J557" s="23">
        <f>I557*6.5%</f>
        <v>0.16185000000000002</v>
      </c>
      <c r="K557" s="23"/>
      <c r="L557" s="23">
        <f>F557+G557+H557+I557+J557</f>
        <v>3270.6548189999994</v>
      </c>
      <c r="M557" s="70"/>
      <c r="N557" s="137">
        <f t="shared" si="199"/>
        <v>2.7500000000000002E-4</v>
      </c>
      <c r="O557" s="137">
        <f t="shared" si="200"/>
        <v>3.1999999999999999E-5</v>
      </c>
      <c r="R557" s="23"/>
      <c r="S557" s="23"/>
      <c r="T557" s="23"/>
      <c r="U557" s="23"/>
      <c r="V557" s="23"/>
      <c r="W557" s="23"/>
      <c r="X557" s="23"/>
      <c r="Y557" s="23"/>
      <c r="Z557" s="23"/>
      <c r="AA557" s="23"/>
      <c r="AB557" s="23"/>
    </row>
    <row r="558" spans="1:28" s="47" customFormat="1" x14ac:dyDescent="0.25">
      <c r="A558" s="26">
        <v>43907</v>
      </c>
      <c r="B558" s="47">
        <v>421708</v>
      </c>
      <c r="C558" s="47" t="s">
        <v>268</v>
      </c>
      <c r="D558" s="47">
        <v>500</v>
      </c>
      <c r="E558" s="23">
        <v>11.2</v>
      </c>
      <c r="F558" s="23">
        <f>D558*E558</f>
        <v>5600</v>
      </c>
      <c r="G558" s="23">
        <f t="shared" ref="G558:G559" si="217">F558*0.0275%</f>
        <v>1.54</v>
      </c>
      <c r="H558" s="23">
        <f>F558*0.0032%</f>
        <v>0.1792</v>
      </c>
      <c r="I558" s="23">
        <v>2.4900000000000002</v>
      </c>
      <c r="J558" s="23">
        <f>I558*6.5%</f>
        <v>0.16185000000000002</v>
      </c>
      <c r="K558" s="23"/>
      <c r="L558" s="23">
        <f>F558+G558+H558+I558+J558</f>
        <v>5604.3710499999997</v>
      </c>
      <c r="M558" s="70"/>
      <c r="N558" s="137">
        <f t="shared" si="199"/>
        <v>2.7500000000000002E-4</v>
      </c>
      <c r="O558" s="137">
        <f t="shared" si="200"/>
        <v>3.1999999999999999E-5</v>
      </c>
      <c r="R558" s="23"/>
      <c r="S558" s="23"/>
      <c r="T558" s="23"/>
      <c r="U558" s="23"/>
      <c r="V558" s="23"/>
      <c r="W558" s="23"/>
      <c r="X558" s="23"/>
      <c r="Y558" s="23"/>
      <c r="Z558" s="23"/>
      <c r="AA558" s="23"/>
      <c r="AB558" s="23"/>
    </row>
    <row r="559" spans="1:28" s="47" customFormat="1" x14ac:dyDescent="0.25">
      <c r="A559" s="26">
        <v>43907</v>
      </c>
      <c r="B559" s="47">
        <v>421708</v>
      </c>
      <c r="C559" s="47" t="s">
        <v>307</v>
      </c>
      <c r="D559" s="47">
        <v>200</v>
      </c>
      <c r="E559" s="23">
        <v>26</v>
      </c>
      <c r="F559" s="23">
        <f>D559*E559</f>
        <v>5200</v>
      </c>
      <c r="G559" s="23">
        <f t="shared" si="217"/>
        <v>1.4300000000000002</v>
      </c>
      <c r="H559" s="23">
        <f>F559*0.0032%</f>
        <v>0.16639999999999999</v>
      </c>
      <c r="I559" s="23">
        <v>2.4900000000000002</v>
      </c>
      <c r="J559" s="23">
        <f>I559*6.5%</f>
        <v>0.16185000000000002</v>
      </c>
      <c r="K559" s="23"/>
      <c r="L559" s="23">
        <f>F559+G559+H559+I559+J559</f>
        <v>5204.2482500000006</v>
      </c>
      <c r="M559" s="70"/>
      <c r="N559" s="137">
        <f t="shared" si="199"/>
        <v>2.7500000000000002E-4</v>
      </c>
      <c r="O559" s="137">
        <f t="shared" si="200"/>
        <v>3.1999999999999999E-5</v>
      </c>
      <c r="R559" s="23"/>
      <c r="S559" s="23"/>
      <c r="T559" s="23"/>
      <c r="U559" s="23"/>
      <c r="V559" s="23"/>
      <c r="W559" s="23"/>
      <c r="X559" s="23"/>
      <c r="Y559" s="23"/>
      <c r="Z559" s="23"/>
      <c r="AA559" s="23"/>
      <c r="AB559" s="23"/>
    </row>
    <row r="560" spans="1:28" s="47" customFormat="1" x14ac:dyDescent="0.25">
      <c r="A560" s="26"/>
      <c r="E560" s="23"/>
      <c r="F560" s="19">
        <f>SUM(F556:F559)</f>
        <v>17067</v>
      </c>
      <c r="G560" s="19">
        <f>SUM(G556:G559)</f>
        <v>4.6934250000000004</v>
      </c>
      <c r="H560" s="19">
        <f>SUM(H556:H559)</f>
        <v>0.54614399999999996</v>
      </c>
      <c r="I560" s="19">
        <f>SUM(I556:I559)</f>
        <v>9.9600000000000009</v>
      </c>
      <c r="J560" s="19">
        <f>SUM(J556:J559)</f>
        <v>0.64740000000000009</v>
      </c>
      <c r="K560" s="19"/>
      <c r="L560" s="19">
        <f>SUM(L556:L559)</f>
        <v>17082.846968999998</v>
      </c>
      <c r="M560" s="70"/>
      <c r="N560" s="137"/>
      <c r="O560" s="137"/>
      <c r="R560" s="23"/>
      <c r="S560" s="23"/>
      <c r="T560" s="23"/>
      <c r="U560" s="23"/>
      <c r="V560" s="23"/>
      <c r="W560" s="23"/>
      <c r="X560" s="23"/>
      <c r="Y560" s="23"/>
      <c r="Z560" s="23"/>
      <c r="AA560" s="23"/>
      <c r="AB560" s="23"/>
    </row>
    <row r="561" spans="1:28" x14ac:dyDescent="0.25">
      <c r="N561" s="137"/>
      <c r="O561" s="137"/>
    </row>
    <row r="562" spans="1:28" s="47" customFormat="1" x14ac:dyDescent="0.25">
      <c r="A562" s="26">
        <v>43908</v>
      </c>
      <c r="B562" s="47">
        <v>433427</v>
      </c>
      <c r="C562" s="47" t="s">
        <v>271</v>
      </c>
      <c r="D562" s="47">
        <v>100</v>
      </c>
      <c r="E562" s="23">
        <v>24.3</v>
      </c>
      <c r="F562" s="23">
        <f>D562*E562</f>
        <v>2430</v>
      </c>
      <c r="G562" s="23">
        <f t="shared" ref="G562" si="218">F562*0.0275%</f>
        <v>0.66825000000000001</v>
      </c>
      <c r="H562" s="23">
        <f>F562*0.0032%</f>
        <v>7.7759999999999996E-2</v>
      </c>
      <c r="I562" s="23">
        <v>2.4900000000000002</v>
      </c>
      <c r="J562" s="23">
        <f>I562*6.5%</f>
        <v>0.16185000000000002</v>
      </c>
      <c r="K562" s="23"/>
      <c r="L562" s="23">
        <f>F562+G562+H562+I562+J562</f>
        <v>2433.39786</v>
      </c>
      <c r="M562" s="70"/>
      <c r="N562" s="137">
        <f t="shared" si="199"/>
        <v>2.7500000000000002E-4</v>
      </c>
      <c r="O562" s="137">
        <f t="shared" si="200"/>
        <v>3.1999999999999999E-5</v>
      </c>
      <c r="R562" s="23"/>
      <c r="S562" s="23"/>
      <c r="T562" s="23"/>
      <c r="U562" s="23"/>
      <c r="V562" s="23"/>
      <c r="W562" s="23"/>
      <c r="X562" s="23"/>
      <c r="Y562" s="23"/>
      <c r="Z562" s="23"/>
      <c r="AA562" s="23"/>
      <c r="AB562" s="23"/>
    </row>
    <row r="563" spans="1:28" x14ac:dyDescent="0.25">
      <c r="N563" s="137"/>
      <c r="O563" s="137"/>
    </row>
    <row r="564" spans="1:28" s="66" customFormat="1" x14ac:dyDescent="0.25">
      <c r="A564" s="71">
        <v>43959</v>
      </c>
      <c r="B564" s="72">
        <v>730476</v>
      </c>
      <c r="C564" s="72" t="s">
        <v>350</v>
      </c>
      <c r="D564" s="72">
        <v>700</v>
      </c>
      <c r="E564" s="73">
        <v>0.15</v>
      </c>
      <c r="F564" s="73">
        <f>D564*E564</f>
        <v>105</v>
      </c>
      <c r="G564" s="73">
        <f>F564*0.02%</f>
        <v>2.1000000000000001E-2</v>
      </c>
      <c r="H564" s="73">
        <v>0</v>
      </c>
      <c r="I564" s="73">
        <v>2.4900000000000002</v>
      </c>
      <c r="J564" s="73">
        <f>I564*6.5%</f>
        <v>0.16185000000000002</v>
      </c>
      <c r="K564" s="73">
        <v>0</v>
      </c>
      <c r="L564" s="73">
        <f>F564-G564-H564-I564-J564-K564</f>
        <v>102.32715</v>
      </c>
      <c r="M564" s="70"/>
      <c r="N564" s="139">
        <f t="shared" si="199"/>
        <v>2.0000000000000001E-4</v>
      </c>
      <c r="O564" s="137">
        <f t="shared" si="200"/>
        <v>0</v>
      </c>
      <c r="R564" s="36"/>
      <c r="S564" s="36"/>
      <c r="T564" s="36"/>
      <c r="U564" s="36"/>
      <c r="V564" s="36"/>
      <c r="W564" s="36"/>
      <c r="X564" s="36"/>
      <c r="Y564" s="36"/>
      <c r="Z564" s="36"/>
      <c r="AA564" s="36"/>
      <c r="AB564" s="36"/>
    </row>
    <row r="565" spans="1:28" x14ac:dyDescent="0.25">
      <c r="N565" s="137"/>
      <c r="O565" s="137"/>
    </row>
    <row r="566" spans="1:28" x14ac:dyDescent="0.25">
      <c r="A566" s="26">
        <v>43973</v>
      </c>
      <c r="B566" s="47">
        <v>817735</v>
      </c>
      <c r="C566" s="47" t="s">
        <v>326</v>
      </c>
      <c r="D566" s="47">
        <v>2100</v>
      </c>
      <c r="E566" s="23">
        <v>2.6</v>
      </c>
      <c r="F566" s="23">
        <f t="shared" ref="F566:F568" si="219">D566*E566</f>
        <v>5460</v>
      </c>
      <c r="G566" s="23">
        <f t="shared" ref="G566:G568" si="220">F566*0.0275%</f>
        <v>1.5015000000000001</v>
      </c>
      <c r="H566" s="23">
        <f t="shared" ref="H566:H568" si="221">F566*0.0032%</f>
        <v>0.17471999999999999</v>
      </c>
      <c r="I566" s="23">
        <v>2.4900000000000002</v>
      </c>
      <c r="J566" s="23">
        <f t="shared" ref="J566:J568" si="222">I566*6.5%</f>
        <v>0.16185000000000002</v>
      </c>
      <c r="K566" s="23"/>
      <c r="L566" s="23">
        <f>F566+G566+H566+I566+J566</f>
        <v>5464.3280700000005</v>
      </c>
      <c r="N566" s="137">
        <f t="shared" si="199"/>
        <v>2.7500000000000002E-4</v>
      </c>
      <c r="O566" s="137">
        <f t="shared" si="200"/>
        <v>3.1999999999999999E-5</v>
      </c>
    </row>
    <row r="567" spans="1:28" x14ac:dyDescent="0.25">
      <c r="A567" s="26">
        <v>43973</v>
      </c>
      <c r="B567" s="47">
        <v>817735</v>
      </c>
      <c r="C567" s="47" t="s">
        <v>331</v>
      </c>
      <c r="D567" s="47">
        <v>1300</v>
      </c>
      <c r="E567" s="23">
        <v>6.5</v>
      </c>
      <c r="F567" s="23">
        <f t="shared" si="219"/>
        <v>8450</v>
      </c>
      <c r="G567" s="23">
        <f t="shared" si="220"/>
        <v>2.32375</v>
      </c>
      <c r="H567" s="23">
        <f t="shared" si="221"/>
        <v>0.27039999999999997</v>
      </c>
      <c r="I567" s="23">
        <v>2.4900000000000002</v>
      </c>
      <c r="J567" s="23">
        <f t="shared" si="222"/>
        <v>0.16185000000000002</v>
      </c>
      <c r="K567" s="23"/>
      <c r="L567" s="23">
        <f>F567+G567+H567+I567+J567</f>
        <v>8455.2459999999992</v>
      </c>
      <c r="N567" s="137">
        <f t="shared" si="199"/>
        <v>2.7500000000000002E-4</v>
      </c>
      <c r="O567" s="137">
        <f t="shared" si="200"/>
        <v>3.1999999999999999E-5</v>
      </c>
    </row>
    <row r="568" spans="1:28" x14ac:dyDescent="0.25">
      <c r="A568" s="26">
        <v>43973</v>
      </c>
      <c r="B568" s="47">
        <v>817735</v>
      </c>
      <c r="C568" s="47" t="s">
        <v>340</v>
      </c>
      <c r="D568" s="47">
        <v>200</v>
      </c>
      <c r="E568" s="23">
        <v>50</v>
      </c>
      <c r="F568" s="23">
        <f t="shared" si="219"/>
        <v>10000</v>
      </c>
      <c r="G568" s="23">
        <f t="shared" si="220"/>
        <v>2.75</v>
      </c>
      <c r="H568" s="23">
        <f t="shared" si="221"/>
        <v>0.32</v>
      </c>
      <c r="I568" s="23">
        <v>2.4900000000000002</v>
      </c>
      <c r="J568" s="23">
        <f t="shared" si="222"/>
        <v>0.16185000000000002</v>
      </c>
      <c r="K568" s="23"/>
      <c r="L568" s="23">
        <f>F568+G568+H568+I568+J568</f>
        <v>10005.72185</v>
      </c>
      <c r="N568" s="137">
        <f t="shared" si="199"/>
        <v>2.7500000000000002E-4</v>
      </c>
      <c r="O568" s="137">
        <f t="shared" si="200"/>
        <v>3.1999999999999999E-5</v>
      </c>
    </row>
    <row r="569" spans="1:28" s="47" customFormat="1" x14ac:dyDescent="0.25">
      <c r="A569" s="26"/>
      <c r="E569" s="23"/>
      <c r="F569" s="19">
        <f>SUM(F566:F568)</f>
        <v>23910</v>
      </c>
      <c r="G569" s="19">
        <f>SUM(G566:G568)</f>
        <v>6.5752500000000005</v>
      </c>
      <c r="H569" s="19">
        <f>SUM(H566:H568)</f>
        <v>0.76512000000000002</v>
      </c>
      <c r="I569" s="19">
        <f>SUM(I566:I568)</f>
        <v>7.4700000000000006</v>
      </c>
      <c r="J569" s="19">
        <f>SUM(J566:J568)</f>
        <v>0.48555000000000004</v>
      </c>
      <c r="K569" s="19"/>
      <c r="L569" s="19">
        <f>SUM(L566:L568)</f>
        <v>23925.295919999997</v>
      </c>
      <c r="M569" s="70"/>
      <c r="N569" s="137"/>
      <c r="O569" s="137"/>
      <c r="R569" s="23"/>
      <c r="S569" s="23"/>
      <c r="T569" s="23"/>
      <c r="U569" s="23"/>
      <c r="V569" s="23"/>
      <c r="W569" s="23"/>
      <c r="X569" s="23"/>
      <c r="Y569" s="23"/>
      <c r="Z569" s="23"/>
      <c r="AA569" s="23"/>
      <c r="AB569" s="23"/>
    </row>
    <row r="570" spans="1:28" x14ac:dyDescent="0.25">
      <c r="N570" s="137"/>
      <c r="O570" s="137"/>
    </row>
    <row r="571" spans="1:28" x14ac:dyDescent="0.25">
      <c r="A571" s="71">
        <v>43977</v>
      </c>
      <c r="B571" s="72">
        <v>836256</v>
      </c>
      <c r="C571" s="72" t="s">
        <v>271</v>
      </c>
      <c r="D571" s="72">
        <v>100</v>
      </c>
      <c r="E571" s="73">
        <v>32.5</v>
      </c>
      <c r="F571" s="73">
        <f t="shared" ref="F571" si="223">D571*E571</f>
        <v>3250</v>
      </c>
      <c r="G571" s="73">
        <f t="shared" ref="G571" si="224">F571*0.0275%</f>
        <v>0.89375000000000004</v>
      </c>
      <c r="H571" s="73">
        <f>F571*0.00675%</f>
        <v>0.21937500000000001</v>
      </c>
      <c r="I571" s="73">
        <v>2.4900000000000002</v>
      </c>
      <c r="J571" s="73">
        <f t="shared" ref="J571" si="225">I571*6.5%</f>
        <v>0.16185000000000002</v>
      </c>
      <c r="K571" s="73">
        <v>0</v>
      </c>
      <c r="L571" s="73">
        <f>F571-G571-H571-I571-J571-K571</f>
        <v>3246.235025</v>
      </c>
      <c r="N571" s="137">
        <f t="shared" si="199"/>
        <v>2.7500000000000002E-4</v>
      </c>
      <c r="O571" s="137">
        <f t="shared" si="200"/>
        <v>6.7500000000000001E-5</v>
      </c>
    </row>
    <row r="572" spans="1:28" x14ac:dyDescent="0.25">
      <c r="N572" s="137"/>
      <c r="O572" s="137"/>
    </row>
    <row r="573" spans="1:28" x14ac:dyDescent="0.25">
      <c r="A573" s="71">
        <v>43985</v>
      </c>
      <c r="B573" s="72">
        <v>902377</v>
      </c>
      <c r="C573" s="72" t="s">
        <v>331</v>
      </c>
      <c r="D573" s="72">
        <v>1300</v>
      </c>
      <c r="E573" s="73">
        <v>8.5299999999999994</v>
      </c>
      <c r="F573" s="73">
        <f t="shared" ref="F573:F574" si="226">D573*E573</f>
        <v>11089</v>
      </c>
      <c r="G573" s="73">
        <f t="shared" ref="G573:G574" si="227">F573*0.0275%</f>
        <v>3.0494750000000002</v>
      </c>
      <c r="H573" s="73">
        <f>F573*0.0051%</f>
        <v>0.56553900000000012</v>
      </c>
      <c r="I573" s="73">
        <v>2.4900000000000002</v>
      </c>
      <c r="J573" s="73">
        <f t="shared" ref="J573:J574" si="228">I573*6.5%</f>
        <v>0.16185000000000002</v>
      </c>
      <c r="K573" s="73">
        <f>F573*0.005%</f>
        <v>0.55445</v>
      </c>
      <c r="L573" s="73">
        <f>F573-G573-H573-I573-J573</f>
        <v>11082.733136000001</v>
      </c>
      <c r="N573" s="137">
        <f t="shared" si="199"/>
        <v>2.7500000000000002E-4</v>
      </c>
      <c r="O573" s="139">
        <f t="shared" si="200"/>
        <v>5.1000000000000013E-5</v>
      </c>
    </row>
    <row r="574" spans="1:28" x14ac:dyDescent="0.25">
      <c r="A574" s="71">
        <v>43985</v>
      </c>
      <c r="B574" s="72">
        <v>902377</v>
      </c>
      <c r="C574" s="72" t="s">
        <v>340</v>
      </c>
      <c r="D574" s="72">
        <v>200</v>
      </c>
      <c r="E574" s="73">
        <v>54</v>
      </c>
      <c r="F574" s="73">
        <f t="shared" si="226"/>
        <v>10800</v>
      </c>
      <c r="G574" s="73">
        <f t="shared" si="227"/>
        <v>2.97</v>
      </c>
      <c r="H574" s="73">
        <f>F574*0.0051%</f>
        <v>0.55080000000000007</v>
      </c>
      <c r="I574" s="73">
        <v>2.4900000000000002</v>
      </c>
      <c r="J574" s="73">
        <f t="shared" si="228"/>
        <v>0.16185000000000002</v>
      </c>
      <c r="K574" s="73">
        <f>F574*0.005%</f>
        <v>0.54</v>
      </c>
      <c r="L574" s="73">
        <f>F574-G574-H574-I574-J574</f>
        <v>10793.82735</v>
      </c>
      <c r="N574" s="137">
        <f t="shared" si="199"/>
        <v>2.7500000000000002E-4</v>
      </c>
      <c r="O574" s="139">
        <f t="shared" si="200"/>
        <v>5.1000000000000006E-5</v>
      </c>
    </row>
    <row r="575" spans="1:28" s="47" customFormat="1" x14ac:dyDescent="0.25">
      <c r="A575" s="26"/>
      <c r="E575" s="23"/>
      <c r="F575" s="74">
        <f>SUM(F573:F574)</f>
        <v>21889</v>
      </c>
      <c r="G575" s="74">
        <f>SUM(G573:G574)</f>
        <v>6.0194749999999999</v>
      </c>
      <c r="H575" s="74">
        <f>SUM(H573:H574)</f>
        <v>1.1163390000000002</v>
      </c>
      <c r="I575" s="74">
        <f>SUM(I573:I574)</f>
        <v>4.9800000000000004</v>
      </c>
      <c r="J575" s="74">
        <f>SUM(J573:J574)</f>
        <v>0.32370000000000004</v>
      </c>
      <c r="K575" s="74">
        <f t="shared" ref="K575" si="229">SUM(K573:K574)</f>
        <v>1.0944500000000001</v>
      </c>
      <c r="L575" s="74">
        <f>SUM(L573:L574)-K575</f>
        <v>21875.466036000002</v>
      </c>
      <c r="M575" s="70"/>
      <c r="N575" s="137"/>
      <c r="O575" s="137"/>
      <c r="R575" s="23"/>
      <c r="S575" s="23"/>
      <c r="T575" s="23"/>
      <c r="U575" s="23"/>
      <c r="V575" s="23"/>
      <c r="W575" s="23"/>
      <c r="X575" s="23"/>
      <c r="Y575" s="23"/>
      <c r="Z575" s="23"/>
      <c r="AA575" s="23"/>
      <c r="AB575" s="23"/>
    </row>
    <row r="576" spans="1:28" x14ac:dyDescent="0.25">
      <c r="N576" s="137"/>
      <c r="O576" s="137"/>
    </row>
    <row r="577" spans="1:15" x14ac:dyDescent="0.25">
      <c r="A577" s="26">
        <v>43991</v>
      </c>
      <c r="B577" s="47">
        <v>960386</v>
      </c>
      <c r="C577" s="47" t="s">
        <v>320</v>
      </c>
      <c r="D577" s="47">
        <v>400</v>
      </c>
      <c r="E577" s="23">
        <v>27</v>
      </c>
      <c r="F577" s="23">
        <f t="shared" ref="F577" si="230">D577*E577</f>
        <v>10800</v>
      </c>
      <c r="G577" s="23">
        <f t="shared" ref="G577" si="231">F577*0.0275%</f>
        <v>2.97</v>
      </c>
      <c r="H577" s="23">
        <f t="shared" ref="H577" si="232">F577*0.0032%</f>
        <v>0.34559999999999996</v>
      </c>
      <c r="I577" s="23">
        <v>2.4900000000000002</v>
      </c>
      <c r="J577" s="23">
        <f t="shared" ref="J577" si="233">I577*6.5%</f>
        <v>0.16185000000000002</v>
      </c>
      <c r="K577" s="23"/>
      <c r="L577" s="23">
        <f>F577+G577+H577+I577+J577</f>
        <v>10805.96745</v>
      </c>
      <c r="N577" s="137">
        <f t="shared" si="199"/>
        <v>2.7500000000000002E-4</v>
      </c>
      <c r="O577" s="137">
        <f t="shared" si="200"/>
        <v>3.1999999999999999E-5</v>
      </c>
    </row>
    <row r="578" spans="1:15" x14ac:dyDescent="0.25">
      <c r="N578" s="137"/>
      <c r="O578" s="137"/>
    </row>
    <row r="579" spans="1:15" x14ac:dyDescent="0.25">
      <c r="A579" s="26">
        <v>44011</v>
      </c>
      <c r="B579" s="47">
        <v>1116842</v>
      </c>
      <c r="C579" s="47" t="s">
        <v>282</v>
      </c>
      <c r="D579" s="47">
        <v>500</v>
      </c>
      <c r="E579" s="23">
        <v>20.85</v>
      </c>
      <c r="F579" s="23">
        <f t="shared" ref="F579" si="234">D579*E579</f>
        <v>10425</v>
      </c>
      <c r="G579" s="23">
        <f t="shared" ref="G579" si="235">F579*0.0275%</f>
        <v>2.8668750000000003</v>
      </c>
      <c r="H579" s="23">
        <f t="shared" ref="H579" si="236">F579*0.0032%</f>
        <v>0.33360000000000001</v>
      </c>
      <c r="I579" s="23">
        <v>2.4900000000000002</v>
      </c>
      <c r="J579" s="23">
        <f t="shared" ref="J579" si="237">I579*6.5%</f>
        <v>0.16185000000000002</v>
      </c>
      <c r="K579" s="23"/>
      <c r="L579" s="23">
        <f>F579+G579+H579+I579+J579</f>
        <v>10430.852325</v>
      </c>
      <c r="N579" s="137">
        <f t="shared" ref="N579:N614" si="238">G579/F579</f>
        <v>2.7500000000000002E-4</v>
      </c>
      <c r="O579" s="137">
        <f t="shared" ref="O579:O614" si="239">H579/F579</f>
        <v>3.1999999999999999E-5</v>
      </c>
    </row>
    <row r="580" spans="1:15" x14ac:dyDescent="0.25">
      <c r="N580" s="137"/>
      <c r="O580" s="137"/>
    </row>
    <row r="581" spans="1:15" x14ac:dyDescent="0.25">
      <c r="A581" s="26">
        <v>44047</v>
      </c>
      <c r="B581" s="47">
        <v>1449185</v>
      </c>
      <c r="C581" s="47" t="s">
        <v>331</v>
      </c>
      <c r="D581" s="47">
        <v>1400</v>
      </c>
      <c r="E581" s="23">
        <v>7.5</v>
      </c>
      <c r="F581" s="23">
        <f t="shared" ref="F581" si="240">D581*E581</f>
        <v>10500</v>
      </c>
      <c r="G581" s="23">
        <f t="shared" ref="G581" si="241">F581*0.0275%</f>
        <v>2.8875000000000002</v>
      </c>
      <c r="H581" s="23">
        <f t="shared" ref="H581" si="242">F581*0.0032%</f>
        <v>0.33599999999999997</v>
      </c>
      <c r="I581" s="23">
        <v>2.4900000000000002</v>
      </c>
      <c r="J581" s="23">
        <f t="shared" ref="J581" si="243">I581*6.5%</f>
        <v>0.16185000000000002</v>
      </c>
      <c r="K581" s="23"/>
      <c r="L581" s="23">
        <f>F581+G581+H581+I581+J581</f>
        <v>10505.87535</v>
      </c>
      <c r="N581" s="137">
        <f t="shared" si="238"/>
        <v>2.7500000000000002E-4</v>
      </c>
      <c r="O581" s="137">
        <f t="shared" si="239"/>
        <v>3.1999999999999999E-5</v>
      </c>
    </row>
    <row r="582" spans="1:15" x14ac:dyDescent="0.25">
      <c r="N582" s="137"/>
      <c r="O582" s="137"/>
    </row>
    <row r="583" spans="1:15" x14ac:dyDescent="0.25">
      <c r="A583" s="26">
        <v>44053</v>
      </c>
      <c r="B583" s="47">
        <v>1496997</v>
      </c>
      <c r="C583" s="47" t="s">
        <v>351</v>
      </c>
      <c r="D583" s="47">
        <v>400</v>
      </c>
      <c r="E583" s="23">
        <v>18.5</v>
      </c>
      <c r="F583" s="23">
        <f t="shared" ref="F583" si="244">D583*E583</f>
        <v>7400</v>
      </c>
      <c r="G583" s="23">
        <f t="shared" ref="G583" si="245">F583*0.0275%</f>
        <v>2.0350000000000001</v>
      </c>
      <c r="H583" s="23">
        <f t="shared" ref="H583" si="246">F583*0.0032%</f>
        <v>0.23679999999999998</v>
      </c>
      <c r="I583" s="23">
        <v>2.4900000000000002</v>
      </c>
      <c r="J583" s="23">
        <f t="shared" ref="J583" si="247">I583*6.5%</f>
        <v>0.16185000000000002</v>
      </c>
      <c r="K583" s="23"/>
      <c r="L583" s="23">
        <f>F583+G583+H583+I583+J583</f>
        <v>7404.9236499999997</v>
      </c>
      <c r="N583" s="137">
        <f t="shared" si="238"/>
        <v>2.7500000000000002E-4</v>
      </c>
      <c r="O583" s="137">
        <f t="shared" si="239"/>
        <v>3.1999999999999999E-5</v>
      </c>
    </row>
    <row r="584" spans="1:15" x14ac:dyDescent="0.25">
      <c r="N584" s="137"/>
      <c r="O584" s="137"/>
    </row>
    <row r="585" spans="1:15" x14ac:dyDescent="0.25">
      <c r="A585" s="26">
        <v>44060</v>
      </c>
      <c r="B585" s="47">
        <v>1556103</v>
      </c>
      <c r="C585" s="47" t="s">
        <v>271</v>
      </c>
      <c r="D585" s="47">
        <v>400</v>
      </c>
      <c r="E585" s="23">
        <v>32</v>
      </c>
      <c r="F585" s="23">
        <f t="shared" ref="F585" si="248">D585*E585</f>
        <v>12800</v>
      </c>
      <c r="G585" s="23">
        <f t="shared" ref="G585" si="249">F585*0.0275%</f>
        <v>3.52</v>
      </c>
      <c r="H585" s="23">
        <f t="shared" ref="H585" si="250">F585*0.0032%</f>
        <v>0.40959999999999996</v>
      </c>
      <c r="I585" s="23">
        <v>2.4900000000000002</v>
      </c>
      <c r="J585" s="23">
        <f t="shared" ref="J585" si="251">I585*6.5%</f>
        <v>0.16185000000000002</v>
      </c>
      <c r="K585" s="23"/>
      <c r="L585" s="23">
        <f>F585+G585+H585+I585+J585</f>
        <v>12806.581450000001</v>
      </c>
      <c r="N585" s="137">
        <f t="shared" si="238"/>
        <v>2.7500000000000002E-4</v>
      </c>
      <c r="O585" s="137">
        <f t="shared" si="239"/>
        <v>3.1999999999999999E-5</v>
      </c>
    </row>
    <row r="586" spans="1:15" x14ac:dyDescent="0.25">
      <c r="N586" s="137"/>
      <c r="O586" s="137"/>
    </row>
    <row r="587" spans="1:15" x14ac:dyDescent="0.25">
      <c r="A587" s="71">
        <v>44148</v>
      </c>
      <c r="B587" s="72">
        <v>2135645</v>
      </c>
      <c r="C587" s="72" t="s">
        <v>307</v>
      </c>
      <c r="D587" s="72">
        <v>600</v>
      </c>
      <c r="E587" s="73">
        <v>32.6</v>
      </c>
      <c r="F587" s="73">
        <f t="shared" ref="F587" si="252">D587*E587</f>
        <v>19560</v>
      </c>
      <c r="G587" s="73">
        <f t="shared" ref="G587" si="253">F587*0.0275%</f>
        <v>5.3790000000000004</v>
      </c>
      <c r="H587" s="73">
        <f>F587*0.0032%</f>
        <v>0.62591999999999992</v>
      </c>
      <c r="I587" s="73">
        <v>2.4900000000000002</v>
      </c>
      <c r="J587" s="73">
        <f t="shared" ref="J587" si="254">I587*6.5%</f>
        <v>0.16185000000000002</v>
      </c>
      <c r="K587" s="73">
        <v>0</v>
      </c>
      <c r="L587" s="73">
        <f>F587-G587-H587-I587-J587-K587</f>
        <v>19551.343229999999</v>
      </c>
      <c r="N587" s="137">
        <f t="shared" si="238"/>
        <v>2.7500000000000002E-4</v>
      </c>
      <c r="O587" s="137">
        <f t="shared" si="239"/>
        <v>3.1999999999999999E-5</v>
      </c>
    </row>
    <row r="588" spans="1:15" x14ac:dyDescent="0.25">
      <c r="N588" s="137"/>
      <c r="O588" s="137"/>
    </row>
    <row r="589" spans="1:15" x14ac:dyDescent="0.25">
      <c r="A589" s="71">
        <v>44167</v>
      </c>
      <c r="B589" s="72">
        <v>2259372</v>
      </c>
      <c r="C589" s="72" t="s">
        <v>314</v>
      </c>
      <c r="D589" s="72">
        <v>1166</v>
      </c>
      <c r="E589" s="73">
        <v>16.8</v>
      </c>
      <c r="F589" s="73">
        <f t="shared" ref="F589" si="255">D589*E589</f>
        <v>19588.8</v>
      </c>
      <c r="G589" s="73">
        <f t="shared" ref="G589" si="256">F589*0.0275%</f>
        <v>5.3869199999999999</v>
      </c>
      <c r="H589" s="73">
        <f>F589*0.0032%</f>
        <v>0.6268416</v>
      </c>
      <c r="I589" s="73">
        <v>4.9800000000000004</v>
      </c>
      <c r="J589" s="73">
        <f t="shared" ref="J589" si="257">I589*6.5%</f>
        <v>0.32370000000000004</v>
      </c>
      <c r="K589" s="73">
        <v>0</v>
      </c>
      <c r="L589" s="73">
        <f>F589-G589-H589-I589-J589-K589</f>
        <v>19577.4825384</v>
      </c>
      <c r="N589" s="137">
        <f t="shared" si="238"/>
        <v>2.7500000000000002E-4</v>
      </c>
      <c r="O589" s="137">
        <f t="shared" si="239"/>
        <v>3.1999999999999999E-5</v>
      </c>
    </row>
    <row r="590" spans="1:15" x14ac:dyDescent="0.25">
      <c r="N590" s="137"/>
      <c r="O590" s="137"/>
    </row>
    <row r="591" spans="1:15" x14ac:dyDescent="0.25">
      <c r="A591" s="71">
        <v>44217</v>
      </c>
      <c r="B591" s="72">
        <v>133833</v>
      </c>
      <c r="C591" s="72" t="s">
        <v>310</v>
      </c>
      <c r="D591" s="72">
        <v>2100</v>
      </c>
      <c r="E591" s="73">
        <v>9.5</v>
      </c>
      <c r="F591" s="73">
        <f t="shared" ref="F591" si="258">D591*E591</f>
        <v>19950</v>
      </c>
      <c r="G591" s="73">
        <f t="shared" ref="G591" si="259">F591*0.0275%</f>
        <v>5.4862500000000001</v>
      </c>
      <c r="H591" s="73">
        <f>F591*0.003%</f>
        <v>0.59850000000000003</v>
      </c>
      <c r="I591" s="73">
        <v>1.99</v>
      </c>
      <c r="J591" s="73">
        <f t="shared" ref="J591" si="260">I591*6.5%</f>
        <v>0.12934999999999999</v>
      </c>
      <c r="K591" s="73">
        <v>0</v>
      </c>
      <c r="L591" s="73">
        <f>F591-G591-H591-I591-J591-K591</f>
        <v>19941.795899999997</v>
      </c>
      <c r="N591" s="137">
        <f t="shared" si="238"/>
        <v>2.7500000000000002E-4</v>
      </c>
      <c r="O591" s="137">
        <f t="shared" si="239"/>
        <v>3.0000000000000001E-5</v>
      </c>
    </row>
    <row r="592" spans="1:15" x14ac:dyDescent="0.25">
      <c r="N592" s="137"/>
      <c r="O592" s="137"/>
    </row>
    <row r="593" spans="1:28" x14ac:dyDescent="0.25">
      <c r="A593" s="71">
        <v>44267</v>
      </c>
      <c r="B593" s="72">
        <v>448559</v>
      </c>
      <c r="C593" s="72" t="s">
        <v>331</v>
      </c>
      <c r="D593" s="72">
        <v>1400</v>
      </c>
      <c r="E593" s="73">
        <v>14.2</v>
      </c>
      <c r="F593" s="73">
        <f t="shared" ref="F593" si="261">D593*E593</f>
        <v>19880</v>
      </c>
      <c r="G593" s="73">
        <f>F593*0.025%</f>
        <v>4.97</v>
      </c>
      <c r="H593" s="73">
        <f>F593*0.005%</f>
        <v>0.99399999999999999</v>
      </c>
      <c r="I593" s="73">
        <v>1.99</v>
      </c>
      <c r="J593" s="73">
        <f t="shared" ref="J593" si="262">I593*6.5%</f>
        <v>0.12934999999999999</v>
      </c>
      <c r="K593" s="73">
        <v>0</v>
      </c>
      <c r="L593" s="73">
        <f>F593-G593-H593-I593-J593-K593</f>
        <v>19871.916649999999</v>
      </c>
      <c r="N593" s="138">
        <f t="shared" si="238"/>
        <v>2.5000000000000001E-4</v>
      </c>
      <c r="O593" s="138">
        <f t="shared" si="239"/>
        <v>5.0000000000000002E-5</v>
      </c>
    </row>
    <row r="594" spans="1:28" x14ac:dyDescent="0.25">
      <c r="N594" s="137"/>
      <c r="O594" s="137"/>
    </row>
    <row r="595" spans="1:28" x14ac:dyDescent="0.25">
      <c r="A595" s="26">
        <v>44273</v>
      </c>
      <c r="B595" s="47">
        <v>482249</v>
      </c>
      <c r="C595" s="47" t="s">
        <v>343</v>
      </c>
      <c r="D595" s="47">
        <v>500</v>
      </c>
      <c r="E595" s="23">
        <v>23</v>
      </c>
      <c r="F595" s="23">
        <f t="shared" ref="F595" si="263">D595*E595</f>
        <v>11500</v>
      </c>
      <c r="G595" s="23">
        <f>F595*0.025%</f>
        <v>2.875</v>
      </c>
      <c r="H595" s="23">
        <f>F595*0.005%</f>
        <v>0.57500000000000007</v>
      </c>
      <c r="I595" s="23">
        <v>1.99</v>
      </c>
      <c r="J595" s="23">
        <f t="shared" ref="J595" si="264">I595*6.5%</f>
        <v>0.12934999999999999</v>
      </c>
      <c r="K595" s="23"/>
      <c r="L595" s="23">
        <f>F595+G595+H595+I595+J595</f>
        <v>11505.56935</v>
      </c>
      <c r="N595" s="137">
        <f t="shared" si="238"/>
        <v>2.5000000000000001E-4</v>
      </c>
      <c r="O595" s="137">
        <f t="shared" si="239"/>
        <v>5.0000000000000009E-5</v>
      </c>
    </row>
    <row r="596" spans="1:28" x14ac:dyDescent="0.25">
      <c r="N596" s="137"/>
      <c r="O596" s="137"/>
    </row>
    <row r="597" spans="1:28" x14ac:dyDescent="0.25">
      <c r="A597" s="71">
        <v>44281</v>
      </c>
      <c r="B597" s="72">
        <v>535121</v>
      </c>
      <c r="C597" s="72" t="s">
        <v>352</v>
      </c>
      <c r="D597" s="72">
        <v>78</v>
      </c>
      <c r="E597" s="73">
        <v>0.61</v>
      </c>
      <c r="F597" s="73">
        <f t="shared" ref="F597" si="265">D597*E597</f>
        <v>47.58</v>
      </c>
      <c r="G597" s="73">
        <f>F597*0.025%</f>
        <v>1.1894999999999999E-2</v>
      </c>
      <c r="H597" s="73">
        <f>F597*0.005%</f>
        <v>2.379E-3</v>
      </c>
      <c r="I597" s="73">
        <v>1.99</v>
      </c>
      <c r="J597" s="73">
        <f t="shared" ref="J597" si="266">I597*6.5%</f>
        <v>0.12934999999999999</v>
      </c>
      <c r="K597" s="73">
        <v>0</v>
      </c>
      <c r="L597" s="73">
        <f>F597-G597-H597-I597-J597-K597</f>
        <v>45.446375999999994</v>
      </c>
      <c r="N597" s="137">
        <f t="shared" si="238"/>
        <v>2.5000000000000001E-4</v>
      </c>
      <c r="O597" s="137">
        <f t="shared" si="239"/>
        <v>5.0000000000000002E-5</v>
      </c>
    </row>
    <row r="598" spans="1:28" x14ac:dyDescent="0.25">
      <c r="N598" s="137"/>
      <c r="O598" s="137"/>
    </row>
    <row r="599" spans="1:28" x14ac:dyDescent="0.25">
      <c r="A599" s="71">
        <v>44302</v>
      </c>
      <c r="B599" s="72">
        <v>651898</v>
      </c>
      <c r="C599" s="72" t="s">
        <v>320</v>
      </c>
      <c r="D599" s="72">
        <v>400</v>
      </c>
      <c r="E599" s="73">
        <v>49.9</v>
      </c>
      <c r="F599" s="73">
        <f t="shared" ref="F599" si="267">D599*E599</f>
        <v>19960</v>
      </c>
      <c r="G599" s="73">
        <f>F599*0.025%</f>
        <v>4.99</v>
      </c>
      <c r="H599" s="73">
        <f>F599*0.005%</f>
        <v>0.998</v>
      </c>
      <c r="I599" s="73">
        <v>1.99</v>
      </c>
      <c r="J599" s="73">
        <f t="shared" ref="J599" si="268">I599*6.5%</f>
        <v>0.12934999999999999</v>
      </c>
      <c r="K599" s="73">
        <v>0</v>
      </c>
      <c r="L599" s="73">
        <f>F599-G599-H599-I599-J599-K599</f>
        <v>19951.892649999998</v>
      </c>
      <c r="N599" s="137">
        <f t="shared" si="238"/>
        <v>2.5000000000000001E-4</v>
      </c>
      <c r="O599" s="137">
        <f t="shared" si="239"/>
        <v>5.0000000000000002E-5</v>
      </c>
    </row>
    <row r="600" spans="1:28" x14ac:dyDescent="0.25">
      <c r="N600" s="137"/>
      <c r="O600" s="137"/>
    </row>
    <row r="601" spans="1:28" x14ac:dyDescent="0.25">
      <c r="A601" s="71">
        <v>44326</v>
      </c>
      <c r="B601" s="72">
        <v>777510</v>
      </c>
      <c r="C601" s="72" t="s">
        <v>338</v>
      </c>
      <c r="D601" s="72">
        <v>1800</v>
      </c>
      <c r="E601" s="73">
        <v>10.8</v>
      </c>
      <c r="F601" s="73">
        <f t="shared" ref="F601" si="269">D601*E601</f>
        <v>19440</v>
      </c>
      <c r="G601" s="73">
        <f>F601*0.025%</f>
        <v>4.8600000000000003</v>
      </c>
      <c r="H601" s="73">
        <f>F601*0.005%</f>
        <v>0.97200000000000009</v>
      </c>
      <c r="I601" s="73">
        <v>1.99</v>
      </c>
      <c r="J601" s="73">
        <f t="shared" ref="J601" si="270">I601*6.5%</f>
        <v>0.12934999999999999</v>
      </c>
      <c r="K601" s="73">
        <v>0</v>
      </c>
      <c r="L601" s="73">
        <f>F601-G601-H601-I601-J601-K601</f>
        <v>19432.048649999997</v>
      </c>
      <c r="N601" s="137">
        <f t="shared" si="238"/>
        <v>2.5000000000000001E-4</v>
      </c>
      <c r="O601" s="137">
        <f t="shared" si="239"/>
        <v>5.0000000000000002E-5</v>
      </c>
    </row>
    <row r="602" spans="1:28" x14ac:dyDescent="0.25">
      <c r="N602" s="137"/>
      <c r="O602" s="137"/>
    </row>
    <row r="603" spans="1:28" x14ac:dyDescent="0.25">
      <c r="A603" s="26">
        <v>44473</v>
      </c>
      <c r="B603" s="47">
        <v>6049</v>
      </c>
      <c r="C603" s="47" t="s">
        <v>353</v>
      </c>
      <c r="D603" s="47">
        <v>400</v>
      </c>
      <c r="E603" s="23">
        <v>24.04</v>
      </c>
      <c r="F603" s="23">
        <f t="shared" ref="F603:F604" si="271">D603*E603</f>
        <v>9616</v>
      </c>
      <c r="G603" s="23">
        <f>F603*0.025%</f>
        <v>2.4039999999999999</v>
      </c>
      <c r="H603" s="23">
        <f>F603*0.005%</f>
        <v>0.48080000000000001</v>
      </c>
      <c r="I603" s="23">
        <v>1.99</v>
      </c>
      <c r="J603" s="23">
        <f t="shared" ref="J603:J604" si="272">I603*6.5%</f>
        <v>0.12934999999999999</v>
      </c>
      <c r="K603" s="23"/>
      <c r="L603" s="23">
        <f>F603+G603+H603+I603+J603</f>
        <v>9621.0041499999988</v>
      </c>
      <c r="N603" s="137">
        <f t="shared" si="238"/>
        <v>2.5000000000000001E-4</v>
      </c>
      <c r="O603" s="137">
        <f t="shared" si="239"/>
        <v>5.0000000000000002E-5</v>
      </c>
    </row>
    <row r="604" spans="1:28" x14ac:dyDescent="0.25">
      <c r="A604" s="26">
        <v>44473</v>
      </c>
      <c r="B604" s="47">
        <v>6049</v>
      </c>
      <c r="C604" s="47" t="s">
        <v>343</v>
      </c>
      <c r="D604" s="47">
        <v>800</v>
      </c>
      <c r="E604" s="23">
        <v>14</v>
      </c>
      <c r="F604" s="23">
        <f t="shared" si="271"/>
        <v>11200</v>
      </c>
      <c r="G604" s="23">
        <f>F604*0.025%</f>
        <v>2.8000000000000003</v>
      </c>
      <c r="H604" s="23">
        <f>F604*0.005%</f>
        <v>0.56000000000000005</v>
      </c>
      <c r="I604" s="23">
        <v>1.99</v>
      </c>
      <c r="J604" s="23">
        <f t="shared" si="272"/>
        <v>0.12934999999999999</v>
      </c>
      <c r="K604" s="23"/>
      <c r="L604" s="23">
        <f>F604+G604+H604+I604+J604</f>
        <v>11205.479349999998</v>
      </c>
      <c r="N604" s="137">
        <f t="shared" si="238"/>
        <v>2.5000000000000001E-4</v>
      </c>
      <c r="O604" s="137">
        <f t="shared" si="239"/>
        <v>5.0000000000000002E-5</v>
      </c>
    </row>
    <row r="605" spans="1:28" s="47" customFormat="1" x14ac:dyDescent="0.25">
      <c r="A605" s="26"/>
      <c r="E605" s="23"/>
      <c r="F605" s="19">
        <f>SUM(F603:F604)</f>
        <v>20816</v>
      </c>
      <c r="G605" s="19">
        <f t="shared" ref="G605:L605" si="273">SUM(G603:G604)</f>
        <v>5.2040000000000006</v>
      </c>
      <c r="H605" s="19">
        <f t="shared" si="273"/>
        <v>1.0407999999999999</v>
      </c>
      <c r="I605" s="19">
        <f t="shared" si="273"/>
        <v>3.98</v>
      </c>
      <c r="J605" s="19">
        <f t="shared" si="273"/>
        <v>0.25869999999999999</v>
      </c>
      <c r="K605" s="19">
        <f t="shared" si="273"/>
        <v>0</v>
      </c>
      <c r="L605" s="19">
        <f t="shared" si="273"/>
        <v>20826.483499999995</v>
      </c>
      <c r="M605" s="70"/>
      <c r="N605" s="137"/>
      <c r="O605" s="137"/>
      <c r="R605" s="23"/>
      <c r="S605" s="23"/>
      <c r="T605" s="23"/>
      <c r="U605" s="23"/>
      <c r="V605" s="23"/>
      <c r="W605" s="23"/>
      <c r="X605" s="23"/>
      <c r="Y605" s="23"/>
      <c r="Z605" s="23"/>
      <c r="AA605" s="23"/>
      <c r="AB605" s="23"/>
    </row>
    <row r="606" spans="1:28" x14ac:dyDescent="0.25">
      <c r="N606" s="137"/>
      <c r="O606" s="137"/>
    </row>
    <row r="607" spans="1:28" x14ac:dyDescent="0.25">
      <c r="A607" s="26">
        <v>44475</v>
      </c>
      <c r="B607" s="47">
        <v>18505</v>
      </c>
      <c r="C607" s="47" t="s">
        <v>288</v>
      </c>
      <c r="D607" s="47">
        <v>10000</v>
      </c>
      <c r="E607" s="23">
        <v>0.95</v>
      </c>
      <c r="F607" s="23">
        <f t="shared" ref="F607" si="274">D607*E607</f>
        <v>9500</v>
      </c>
      <c r="G607" s="23">
        <f>F607*0.025%</f>
        <v>2.375</v>
      </c>
      <c r="H607" s="23">
        <f>F607*0.005%</f>
        <v>0.47500000000000003</v>
      </c>
      <c r="I607" s="23">
        <v>1.99</v>
      </c>
      <c r="J607" s="23">
        <f t="shared" ref="J607" si="275">I607*6.5%</f>
        <v>0.12934999999999999</v>
      </c>
      <c r="K607" s="23"/>
      <c r="L607" s="23">
        <f>F607+G607+H607+I607+J607</f>
        <v>9504.9693499999994</v>
      </c>
      <c r="N607" s="137">
        <f t="shared" si="238"/>
        <v>2.5000000000000001E-4</v>
      </c>
      <c r="O607" s="137">
        <f t="shared" si="239"/>
        <v>5.0000000000000002E-5</v>
      </c>
    </row>
    <row r="608" spans="1:28" x14ac:dyDescent="0.25">
      <c r="N608" s="137"/>
      <c r="O608" s="137"/>
    </row>
    <row r="609" spans="1:28" x14ac:dyDescent="0.25">
      <c r="A609" s="26">
        <v>44488</v>
      </c>
      <c r="B609" s="47">
        <v>65095</v>
      </c>
      <c r="C609" s="47" t="s">
        <v>354</v>
      </c>
      <c r="D609" s="47">
        <v>200</v>
      </c>
      <c r="E609" s="23">
        <v>64.5</v>
      </c>
      <c r="F609" s="23">
        <f t="shared" ref="F609" si="276">D609*E609</f>
        <v>12900</v>
      </c>
      <c r="G609" s="23">
        <f>F609*0.025%</f>
        <v>3.2250000000000001</v>
      </c>
      <c r="H609" s="23">
        <f>F609*0.005%</f>
        <v>0.64500000000000002</v>
      </c>
      <c r="I609" s="23">
        <v>1.99</v>
      </c>
      <c r="J609" s="23">
        <f t="shared" ref="J609" si="277">I609*6.5%</f>
        <v>0.12934999999999999</v>
      </c>
      <c r="K609" s="23"/>
      <c r="L609" s="23">
        <f>F609+G609+H609+I609+J609</f>
        <v>12905.98935</v>
      </c>
      <c r="N609" s="137">
        <f t="shared" si="238"/>
        <v>2.5000000000000001E-4</v>
      </c>
      <c r="O609" s="137">
        <f t="shared" si="239"/>
        <v>5.0000000000000002E-5</v>
      </c>
    </row>
    <row r="610" spans="1:28" x14ac:dyDescent="0.25">
      <c r="N610" s="137"/>
      <c r="O610" s="137"/>
    </row>
    <row r="611" spans="1:28" x14ac:dyDescent="0.25">
      <c r="A611" s="26">
        <v>44490</v>
      </c>
      <c r="B611" s="47">
        <v>78174</v>
      </c>
      <c r="C611" s="47" t="s">
        <v>340</v>
      </c>
      <c r="D611" s="47">
        <v>200</v>
      </c>
      <c r="E611" s="23">
        <v>73.5</v>
      </c>
      <c r="F611" s="23">
        <f t="shared" ref="F611" si="278">D611*E611</f>
        <v>14700</v>
      </c>
      <c r="G611" s="23">
        <f>F611*0.025%</f>
        <v>3.6750000000000003</v>
      </c>
      <c r="H611" s="23">
        <f>F611*0.005%</f>
        <v>0.73499999999999999</v>
      </c>
      <c r="I611" s="23">
        <v>1.99</v>
      </c>
      <c r="J611" s="23">
        <f t="shared" ref="J611" si="279">I611*6.5%</f>
        <v>0.12934999999999999</v>
      </c>
      <c r="K611" s="23"/>
      <c r="L611" s="23">
        <f>F611+G611+H611+I611+J611</f>
        <v>14706.529349999999</v>
      </c>
      <c r="N611" s="137">
        <f t="shared" si="238"/>
        <v>2.5000000000000001E-4</v>
      </c>
      <c r="O611" s="137">
        <f t="shared" si="239"/>
        <v>5.0000000000000002E-5</v>
      </c>
    </row>
    <row r="612" spans="1:28" x14ac:dyDescent="0.25">
      <c r="N612" s="137"/>
      <c r="O612" s="137"/>
    </row>
    <row r="613" spans="1:28" x14ac:dyDescent="0.25">
      <c r="A613" s="26">
        <v>44491</v>
      </c>
      <c r="B613" s="47">
        <v>85060</v>
      </c>
      <c r="C613" s="47" t="s">
        <v>336</v>
      </c>
      <c r="D613" s="47">
        <v>400</v>
      </c>
      <c r="E613" s="23">
        <v>27.5</v>
      </c>
      <c r="F613" s="23">
        <f t="shared" ref="F613:F614" si="280">D613*E613</f>
        <v>11000</v>
      </c>
      <c r="G613" s="23">
        <f>F613*0.025%</f>
        <v>2.75</v>
      </c>
      <c r="H613" s="23">
        <f>F613*0.005%</f>
        <v>0.55000000000000004</v>
      </c>
      <c r="I613" s="23">
        <v>1.99</v>
      </c>
      <c r="J613" s="23">
        <f t="shared" ref="J613:J614" si="281">I613*6.5%</f>
        <v>0.12934999999999999</v>
      </c>
      <c r="K613" s="23"/>
      <c r="L613" s="23">
        <f>F613+G613+H613+I613+J613</f>
        <v>11005.419349999998</v>
      </c>
      <c r="N613" s="137">
        <f t="shared" si="238"/>
        <v>2.5000000000000001E-4</v>
      </c>
      <c r="O613" s="137">
        <f t="shared" si="239"/>
        <v>5.0000000000000002E-5</v>
      </c>
    </row>
    <row r="614" spans="1:28" x14ac:dyDescent="0.25">
      <c r="A614" s="26">
        <v>44491</v>
      </c>
      <c r="B614" s="47">
        <v>85060</v>
      </c>
      <c r="C614" s="47" t="s">
        <v>331</v>
      </c>
      <c r="D614" s="47">
        <v>500</v>
      </c>
      <c r="E614" s="23">
        <v>23.2</v>
      </c>
      <c r="F614" s="23">
        <f t="shared" si="280"/>
        <v>11600</v>
      </c>
      <c r="G614" s="23">
        <f>F614*0.025%</f>
        <v>2.9</v>
      </c>
      <c r="H614" s="23">
        <f>F614*0.005%</f>
        <v>0.58000000000000007</v>
      </c>
      <c r="I614" s="23">
        <v>1.99</v>
      </c>
      <c r="J614" s="23">
        <f t="shared" si="281"/>
        <v>0.12934999999999999</v>
      </c>
      <c r="K614" s="23"/>
      <c r="L614" s="23">
        <f>F614+G614+H614+I614+J614</f>
        <v>11605.599349999999</v>
      </c>
      <c r="N614" s="137">
        <f t="shared" si="238"/>
        <v>2.5000000000000001E-4</v>
      </c>
      <c r="O614" s="137">
        <f t="shared" si="239"/>
        <v>5.0000000000000009E-5</v>
      </c>
    </row>
    <row r="615" spans="1:28" s="47" customFormat="1" x14ac:dyDescent="0.25">
      <c r="A615" s="26"/>
      <c r="E615" s="23"/>
      <c r="F615" s="19">
        <f>SUM(F613:F614)</f>
        <v>22600</v>
      </c>
      <c r="G615" s="19">
        <f t="shared" ref="G615" si="282">SUM(G613:G614)</f>
        <v>5.65</v>
      </c>
      <c r="H615" s="19">
        <f t="shared" ref="H615" si="283">SUM(H613:H614)</f>
        <v>1.1300000000000001</v>
      </c>
      <c r="I615" s="19">
        <f t="shared" ref="I615" si="284">SUM(I613:I614)</f>
        <v>3.98</v>
      </c>
      <c r="J615" s="19">
        <f t="shared" ref="J615" si="285">SUM(J613:J614)</f>
        <v>0.25869999999999999</v>
      </c>
      <c r="K615" s="19">
        <f t="shared" ref="K615" si="286">SUM(K613:K614)</f>
        <v>0</v>
      </c>
      <c r="L615" s="19">
        <f t="shared" ref="L615" si="287">SUM(L613:L614)</f>
        <v>22611.018699999997</v>
      </c>
      <c r="M615" s="70"/>
      <c r="N615" s="137"/>
      <c r="R615" s="23"/>
      <c r="S615" s="23"/>
      <c r="T615" s="23"/>
      <c r="U615" s="23"/>
      <c r="V615" s="23"/>
      <c r="W615" s="23"/>
      <c r="X615" s="23"/>
      <c r="Y615" s="23"/>
      <c r="Z615" s="23"/>
      <c r="AA615" s="23"/>
      <c r="AB615" s="23"/>
    </row>
  </sheetData>
  <sortState xmlns:xlrd2="http://schemas.microsoft.com/office/spreadsheetml/2017/richdata2" ref="A2:L256">
    <sortCondition ref="A1"/>
  </sortState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D195"/>
  <sheetViews>
    <sheetView workbookViewId="0">
      <pane ySplit="1" topLeftCell="A49" activePane="bottomLeft" state="frozen"/>
      <selection activeCell="Q108" sqref="Q108"/>
      <selection pane="bottomLeft" activeCell="K52" sqref="K52"/>
    </sheetView>
  </sheetViews>
  <sheetFormatPr defaultColWidth="9.140625" defaultRowHeight="15" x14ac:dyDescent="0.25"/>
  <cols>
    <col min="1" max="1" width="11.28515625" bestFit="1" customWidth="1"/>
    <col min="2" max="2" width="9" bestFit="1" customWidth="1"/>
    <col min="3" max="3" width="8.7109375" bestFit="1" customWidth="1"/>
    <col min="4" max="4" width="10" bestFit="1" customWidth="1"/>
    <col min="5" max="5" width="10" style="22" bestFit="1" customWidth="1"/>
    <col min="6" max="6" width="11.5703125" style="22" bestFit="1" customWidth="1"/>
    <col min="7" max="7" width="17.28515625" style="22" bestFit="1" customWidth="1"/>
    <col min="8" max="8" width="13" style="22" bestFit="1" customWidth="1"/>
    <col min="9" max="9" width="11.140625" style="22" bestFit="1" customWidth="1"/>
    <col min="10" max="10" width="7" style="22" bestFit="1" customWidth="1"/>
    <col min="11" max="11" width="11.5703125" style="22" bestFit="1" customWidth="1"/>
    <col min="12" max="12" width="3.140625" style="12" customWidth="1"/>
    <col min="13" max="13" width="11.28515625" customWidth="1"/>
    <col min="14" max="14" width="9" bestFit="1" customWidth="1"/>
    <col min="15" max="15" width="8.85546875" bestFit="1" customWidth="1"/>
    <col min="16" max="16" width="9" bestFit="1" customWidth="1"/>
    <col min="17" max="17" width="10" style="22" bestFit="1" customWidth="1"/>
    <col min="18" max="18" width="11.5703125" style="22" bestFit="1" customWidth="1"/>
    <col min="19" max="19" width="17.28515625" style="22" bestFit="1" customWidth="1"/>
    <col min="20" max="20" width="13" style="22" bestFit="1" customWidth="1"/>
    <col min="21" max="21" width="11.140625" style="22" bestFit="1" customWidth="1"/>
    <col min="22" max="23" width="7" style="22" bestFit="1" customWidth="1"/>
    <col min="24" max="24" width="11.5703125" style="22" bestFit="1" customWidth="1"/>
    <col min="25" max="25" width="12.28515625" style="22" bestFit="1" customWidth="1"/>
    <col min="26" max="26" width="2.7109375" style="22" bestFit="1" customWidth="1"/>
    <col min="27" max="27" width="26.140625" style="22" bestFit="1" customWidth="1"/>
    <col min="28" max="28" width="21.85546875" bestFit="1" customWidth="1"/>
    <col min="29" max="29" width="16.42578125" bestFit="1" customWidth="1"/>
    <col min="30" max="30" width="12.42578125" bestFit="1" customWidth="1"/>
  </cols>
  <sheetData>
    <row r="1" spans="1:28" x14ac:dyDescent="0.25">
      <c r="A1" t="s">
        <v>255</v>
      </c>
      <c r="B1" t="s">
        <v>256</v>
      </c>
      <c r="C1" t="s">
        <v>257</v>
      </c>
      <c r="D1" t="s">
        <v>258</v>
      </c>
      <c r="E1" s="22" t="s">
        <v>259</v>
      </c>
      <c r="F1" s="22" t="s">
        <v>260</v>
      </c>
      <c r="G1" s="22" t="s">
        <v>261</v>
      </c>
      <c r="H1" s="22" t="s">
        <v>262</v>
      </c>
      <c r="I1" s="22" t="s">
        <v>263</v>
      </c>
      <c r="J1" s="22" t="s">
        <v>264</v>
      </c>
      <c r="K1" s="22" t="s">
        <v>266</v>
      </c>
      <c r="M1" t="s">
        <v>255</v>
      </c>
      <c r="N1" t="s">
        <v>256</v>
      </c>
      <c r="O1" t="s">
        <v>257</v>
      </c>
      <c r="P1" t="s">
        <v>258</v>
      </c>
      <c r="Q1" s="22" t="s">
        <v>259</v>
      </c>
      <c r="R1" s="22" t="s">
        <v>260</v>
      </c>
      <c r="S1" s="22" t="s">
        <v>261</v>
      </c>
      <c r="T1" s="22" t="s">
        <v>262</v>
      </c>
      <c r="U1" s="22" t="s">
        <v>263</v>
      </c>
      <c r="V1" s="22" t="s">
        <v>264</v>
      </c>
      <c r="W1" s="22" t="s">
        <v>265</v>
      </c>
      <c r="X1" s="22" t="s">
        <v>266</v>
      </c>
      <c r="Y1" s="22" t="s">
        <v>355</v>
      </c>
      <c r="AB1" s="13"/>
    </row>
    <row r="2" spans="1:28" x14ac:dyDescent="0.25">
      <c r="A2" s="10">
        <v>39757</v>
      </c>
      <c r="B2">
        <v>1662</v>
      </c>
      <c r="C2" t="s">
        <v>267</v>
      </c>
      <c r="D2">
        <v>100</v>
      </c>
      <c r="E2" s="22">
        <v>15.34</v>
      </c>
      <c r="F2" s="22">
        <f>D2*E2</f>
        <v>1534</v>
      </c>
      <c r="G2" s="22">
        <f>0.74*(F2/SUM(F2:F4))</f>
        <v>0.12177215189873417</v>
      </c>
      <c r="H2" s="22">
        <f>2.51*(F2/SUM(F2:F4))</f>
        <v>0.41303797468354425</v>
      </c>
      <c r="I2" s="22">
        <v>15.99</v>
      </c>
      <c r="J2" s="22">
        <v>0.8</v>
      </c>
      <c r="K2" s="22">
        <f t="shared" ref="K2:K33" si="0">F2+G2+H2+I2</f>
        <v>1550.5248101265822</v>
      </c>
      <c r="M2" s="10">
        <v>39853</v>
      </c>
      <c r="N2">
        <v>1362</v>
      </c>
      <c r="O2" t="s">
        <v>267</v>
      </c>
      <c r="P2">
        <v>100</v>
      </c>
      <c r="Q2" s="22">
        <v>17.7</v>
      </c>
      <c r="R2" s="22">
        <f>P2*Q2</f>
        <v>1770</v>
      </c>
      <c r="S2" s="22">
        <v>0.14000000000000001</v>
      </c>
      <c r="T2" s="22">
        <v>0.47</v>
      </c>
      <c r="U2" s="22">
        <v>15.99</v>
      </c>
      <c r="V2" s="22">
        <v>0.8</v>
      </c>
      <c r="W2" s="22">
        <v>0</v>
      </c>
      <c r="X2" s="22">
        <f t="shared" ref="X2:X33" si="1">R2-S2-T2-U2-W2</f>
        <v>1753.3999999999999</v>
      </c>
      <c r="Y2" s="22">
        <f>X2-K2+W2</f>
        <v>202.87518987341764</v>
      </c>
    </row>
    <row r="3" spans="1:28" x14ac:dyDescent="0.25">
      <c r="A3" s="10">
        <v>39757</v>
      </c>
      <c r="B3">
        <v>1662</v>
      </c>
      <c r="C3" t="s">
        <v>268</v>
      </c>
      <c r="D3">
        <v>200</v>
      </c>
      <c r="E3" s="22">
        <v>25.19</v>
      </c>
      <c r="F3" s="22">
        <f t="shared" ref="F3:F67" si="2">D3*E3</f>
        <v>5038</v>
      </c>
      <c r="G3" s="22">
        <f>0.74*(F3/SUM(F2:F4))</f>
        <v>0.39992705428019737</v>
      </c>
      <c r="H3" s="22">
        <f>2.51*(F3/SUM(F2:F4))</f>
        <v>1.3565093327612099</v>
      </c>
      <c r="I3" s="22">
        <v>15.99</v>
      </c>
      <c r="J3" s="22">
        <v>0.8</v>
      </c>
      <c r="K3" s="22">
        <f t="shared" si="0"/>
        <v>5055.7464363870413</v>
      </c>
      <c r="M3" s="10">
        <v>39869</v>
      </c>
      <c r="N3">
        <v>903</v>
      </c>
      <c r="O3" t="s">
        <v>268</v>
      </c>
      <c r="P3">
        <v>200</v>
      </c>
      <c r="Q3" s="22">
        <v>26.1</v>
      </c>
      <c r="R3" s="22">
        <f t="shared" ref="R3:R67" si="3">P3*Q3</f>
        <v>5220</v>
      </c>
      <c r="S3" s="22">
        <f>0.82*(R3/SUM(F10,F11,R3))</f>
        <v>0.33094170403587442</v>
      </c>
      <c r="T3" s="22">
        <f>2.65*(R3/SUM(F10,F11,R3))</f>
        <v>1.069506726457399</v>
      </c>
      <c r="U3" s="22">
        <v>15.99</v>
      </c>
      <c r="V3" s="22">
        <v>0.8</v>
      </c>
      <c r="W3" s="22">
        <v>0</v>
      </c>
      <c r="X3" s="22">
        <f t="shared" si="1"/>
        <v>5202.6095515695069</v>
      </c>
      <c r="Y3" s="22">
        <f t="shared" ref="Y3:Y61" si="4">X3-K3+W3</f>
        <v>146.86311518246566</v>
      </c>
    </row>
    <row r="4" spans="1:28" x14ac:dyDescent="0.25">
      <c r="A4" s="10">
        <v>39757</v>
      </c>
      <c r="B4">
        <v>1662</v>
      </c>
      <c r="C4" t="s">
        <v>269</v>
      </c>
      <c r="D4">
        <v>100</v>
      </c>
      <c r="E4" s="22">
        <v>27.5</v>
      </c>
      <c r="F4" s="22">
        <f t="shared" si="2"/>
        <v>2750</v>
      </c>
      <c r="G4" s="22">
        <f>0.74*(F4/SUM(F2:F4))</f>
        <v>0.21830079382106843</v>
      </c>
      <c r="H4" s="22">
        <f>2.51*(F4/SUM(F2:F4))</f>
        <v>0.74045269255524548</v>
      </c>
      <c r="I4" s="22">
        <v>15.99</v>
      </c>
      <c r="J4" s="22">
        <v>0.8</v>
      </c>
      <c r="K4" s="22">
        <f t="shared" si="0"/>
        <v>2766.9487534863761</v>
      </c>
      <c r="M4" s="10">
        <v>39849</v>
      </c>
      <c r="N4">
        <v>1319</v>
      </c>
      <c r="O4" t="s">
        <v>269</v>
      </c>
      <c r="P4">
        <v>100</v>
      </c>
      <c r="Q4" s="22">
        <v>31.5</v>
      </c>
      <c r="R4" s="22">
        <f t="shared" si="3"/>
        <v>3150</v>
      </c>
      <c r="S4" s="22">
        <v>0.25</v>
      </c>
      <c r="T4" s="22">
        <v>0.85</v>
      </c>
      <c r="U4" s="22">
        <v>15.99</v>
      </c>
      <c r="V4" s="22">
        <v>0.8</v>
      </c>
      <c r="W4" s="22">
        <v>0</v>
      </c>
      <c r="X4" s="22">
        <f t="shared" si="1"/>
        <v>3132.9100000000003</v>
      </c>
      <c r="Y4" s="22">
        <f t="shared" si="4"/>
        <v>365.96124651362425</v>
      </c>
    </row>
    <row r="5" spans="1:28" x14ac:dyDescent="0.25">
      <c r="A5" s="10">
        <v>39758</v>
      </c>
      <c r="B5">
        <v>1344</v>
      </c>
      <c r="C5" t="s">
        <v>270</v>
      </c>
      <c r="D5">
        <v>100</v>
      </c>
      <c r="E5" s="22">
        <v>2.68</v>
      </c>
      <c r="F5" s="22">
        <f t="shared" si="2"/>
        <v>268</v>
      </c>
      <c r="G5" s="22">
        <f>0.2*(F5/SUM(F5:F7))</f>
        <v>2.0962064919827925E-2</v>
      </c>
      <c r="H5" s="22">
        <f>0.69*(F5/SUM(F5:F7))</f>
        <v>7.2319123973406341E-2</v>
      </c>
      <c r="I5" s="22">
        <v>15.99</v>
      </c>
      <c r="J5" s="22">
        <v>0.8</v>
      </c>
      <c r="K5" s="22">
        <f t="shared" si="0"/>
        <v>284.08328118889324</v>
      </c>
      <c r="M5" s="10">
        <v>39938</v>
      </c>
      <c r="N5">
        <v>1648</v>
      </c>
      <c r="O5" t="s">
        <v>270</v>
      </c>
      <c r="P5">
        <v>100</v>
      </c>
      <c r="Q5" s="22">
        <v>3.03</v>
      </c>
      <c r="R5" s="22">
        <f t="shared" si="3"/>
        <v>303</v>
      </c>
      <c r="S5" s="22">
        <v>0.01</v>
      </c>
      <c r="T5" s="22">
        <v>0.08</v>
      </c>
      <c r="U5" s="22">
        <v>15.99</v>
      </c>
      <c r="V5" s="22">
        <v>0.8</v>
      </c>
      <c r="W5" s="22">
        <v>0.01</v>
      </c>
      <c r="X5" s="22">
        <f t="shared" si="1"/>
        <v>286.91000000000003</v>
      </c>
      <c r="Y5" s="22">
        <f t="shared" si="4"/>
        <v>2.8367188111067865</v>
      </c>
    </row>
    <row r="6" spans="1:28" x14ac:dyDescent="0.25">
      <c r="A6" s="10">
        <v>39758</v>
      </c>
      <c r="B6">
        <v>1344</v>
      </c>
      <c r="C6" t="s">
        <v>271</v>
      </c>
      <c r="D6">
        <v>100</v>
      </c>
      <c r="E6" s="22">
        <v>15.2</v>
      </c>
      <c r="F6" s="22">
        <f t="shared" si="2"/>
        <v>1520</v>
      </c>
      <c r="G6" s="22">
        <f>0.2*(F6/SUM(F5:F7))</f>
        <v>0.11888932342588972</v>
      </c>
      <c r="H6" s="22">
        <f>0.69*(F6/SUM(F5:F7))</f>
        <v>0.41016816581931947</v>
      </c>
      <c r="I6" s="22">
        <v>15.99</v>
      </c>
      <c r="J6" s="22">
        <v>0.8</v>
      </c>
      <c r="K6" s="22">
        <f t="shared" si="0"/>
        <v>1536.5190574892454</v>
      </c>
      <c r="M6" s="10">
        <v>39905</v>
      </c>
      <c r="N6">
        <v>1782</v>
      </c>
      <c r="O6" t="s">
        <v>271</v>
      </c>
      <c r="P6">
        <v>100</v>
      </c>
      <c r="Q6" s="22">
        <v>18.600000000000001</v>
      </c>
      <c r="R6" s="22">
        <f t="shared" si="3"/>
        <v>1860.0000000000002</v>
      </c>
      <c r="S6" s="22">
        <v>0.14000000000000001</v>
      </c>
      <c r="T6" s="22">
        <v>0.5</v>
      </c>
      <c r="U6" s="22">
        <v>15.99</v>
      </c>
      <c r="V6" s="22">
        <v>0.8</v>
      </c>
      <c r="W6" s="22">
        <v>0</v>
      </c>
      <c r="X6" s="22">
        <f t="shared" si="1"/>
        <v>1843.3700000000001</v>
      </c>
      <c r="Y6" s="22">
        <f t="shared" si="4"/>
        <v>306.85094251075475</v>
      </c>
    </row>
    <row r="7" spans="1:28" x14ac:dyDescent="0.25">
      <c r="A7" s="10">
        <v>39758</v>
      </c>
      <c r="B7">
        <v>1344</v>
      </c>
      <c r="C7" t="s">
        <v>272</v>
      </c>
      <c r="D7">
        <v>100</v>
      </c>
      <c r="E7" s="22">
        <v>7.69</v>
      </c>
      <c r="F7" s="22">
        <f t="shared" si="2"/>
        <v>769</v>
      </c>
      <c r="G7" s="22">
        <f>0.2*(F7/SUM(F5:F7))</f>
        <v>6.0148611654282362E-2</v>
      </c>
      <c r="H7" s="22">
        <f>0.69*(F7/SUM(F5:F7))</f>
        <v>0.20751271020727413</v>
      </c>
      <c r="I7" s="22">
        <v>15.99</v>
      </c>
      <c r="J7" s="22">
        <v>0.8</v>
      </c>
      <c r="K7" s="22">
        <f t="shared" si="0"/>
        <v>785.25766132186163</v>
      </c>
      <c r="M7" s="10">
        <v>39933</v>
      </c>
      <c r="N7">
        <v>1461</v>
      </c>
      <c r="O7" t="s">
        <v>272</v>
      </c>
      <c r="P7">
        <v>100</v>
      </c>
      <c r="Q7" s="22">
        <v>9.23</v>
      </c>
      <c r="R7" s="22">
        <f t="shared" si="3"/>
        <v>923</v>
      </c>
      <c r="S7" s="22">
        <v>7.0000000000000007E-2</v>
      </c>
      <c r="T7" s="22">
        <v>0.24</v>
      </c>
      <c r="U7" s="22">
        <v>15.99</v>
      </c>
      <c r="V7" s="22">
        <v>0.8</v>
      </c>
      <c r="W7" s="22">
        <v>0</v>
      </c>
      <c r="X7" s="22">
        <f t="shared" si="1"/>
        <v>906.69999999999993</v>
      </c>
      <c r="Y7" s="22">
        <f t="shared" si="4"/>
        <v>121.4423386781383</v>
      </c>
    </row>
    <row r="8" spans="1:28" x14ac:dyDescent="0.25">
      <c r="A8" s="10">
        <v>39854</v>
      </c>
      <c r="B8">
        <v>1368</v>
      </c>
      <c r="C8" t="s">
        <v>273</v>
      </c>
      <c r="D8">
        <v>500</v>
      </c>
      <c r="E8" s="22">
        <v>7.23</v>
      </c>
      <c r="F8" s="22">
        <f t="shared" si="2"/>
        <v>3615</v>
      </c>
      <c r="G8" s="22">
        <f>0.38*(F8/SUM(F8:F9))</f>
        <v>0.28660546630502814</v>
      </c>
      <c r="H8" s="22">
        <f>1.29*(F8/SUM(F8:F9))</f>
        <v>0.97295013561443777</v>
      </c>
      <c r="I8" s="22">
        <v>15.99</v>
      </c>
      <c r="J8" s="22">
        <v>0.8</v>
      </c>
      <c r="K8" s="22">
        <f t="shared" si="0"/>
        <v>3632.2495556019194</v>
      </c>
      <c r="M8" s="10">
        <v>39912</v>
      </c>
      <c r="N8">
        <v>1401</v>
      </c>
      <c r="O8" t="s">
        <v>273</v>
      </c>
      <c r="P8">
        <v>500</v>
      </c>
      <c r="Q8" s="22">
        <v>8.58</v>
      </c>
      <c r="R8" s="22">
        <f t="shared" si="3"/>
        <v>4290</v>
      </c>
      <c r="S8" s="22">
        <v>0.28999999999999998</v>
      </c>
      <c r="T8" s="22">
        <v>0.97</v>
      </c>
      <c r="U8" s="22">
        <v>15.99</v>
      </c>
      <c r="V8" s="22">
        <v>0.8</v>
      </c>
      <c r="W8" s="22">
        <v>0</v>
      </c>
      <c r="X8" s="22">
        <f t="shared" si="1"/>
        <v>4272.75</v>
      </c>
      <c r="Y8" s="22">
        <f t="shared" si="4"/>
        <v>640.50044439808062</v>
      </c>
    </row>
    <row r="9" spans="1:28" x14ac:dyDescent="0.25">
      <c r="A9" s="10">
        <v>39854</v>
      </c>
      <c r="B9">
        <v>1368</v>
      </c>
      <c r="C9" t="s">
        <v>274</v>
      </c>
      <c r="D9">
        <v>200</v>
      </c>
      <c r="E9" s="22">
        <v>5.89</v>
      </c>
      <c r="F9" s="22">
        <f t="shared" si="2"/>
        <v>1178</v>
      </c>
      <c r="G9" s="22">
        <f>0.38*(F9/SUM(F8:F9))</f>
        <v>9.3394533694971832E-2</v>
      </c>
      <c r="H9" s="22">
        <f>1.29*(F9/SUM(F8:F9))</f>
        <v>0.31704986438556226</v>
      </c>
      <c r="I9" s="22">
        <v>15.99</v>
      </c>
      <c r="J9" s="22">
        <v>0.8</v>
      </c>
      <c r="K9" s="22">
        <f t="shared" si="0"/>
        <v>1194.4004443980805</v>
      </c>
      <c r="M9" s="10">
        <v>39885</v>
      </c>
      <c r="N9">
        <v>1104</v>
      </c>
      <c r="O9" t="s">
        <v>274</v>
      </c>
      <c r="P9">
        <v>200</v>
      </c>
      <c r="Q9" s="22">
        <v>6.6</v>
      </c>
      <c r="R9" s="22">
        <f t="shared" si="3"/>
        <v>1320</v>
      </c>
      <c r="S9" s="22">
        <v>0.1</v>
      </c>
      <c r="T9" s="22">
        <v>0.35</v>
      </c>
      <c r="U9" s="22">
        <v>15.99</v>
      </c>
      <c r="V9" s="22">
        <v>0.8</v>
      </c>
      <c r="W9" s="22">
        <v>0</v>
      </c>
      <c r="X9" s="22">
        <f t="shared" si="1"/>
        <v>1303.5600000000002</v>
      </c>
      <c r="Y9" s="22">
        <f t="shared" si="4"/>
        <v>109.15955560191969</v>
      </c>
    </row>
    <row r="10" spans="1:28" x14ac:dyDescent="0.25">
      <c r="A10" s="10">
        <v>39869</v>
      </c>
      <c r="B10">
        <v>903</v>
      </c>
      <c r="C10" t="s">
        <v>267</v>
      </c>
      <c r="D10">
        <v>200</v>
      </c>
      <c r="E10" s="22">
        <v>12.47</v>
      </c>
      <c r="F10" s="22">
        <f t="shared" si="2"/>
        <v>2494</v>
      </c>
      <c r="G10" s="22">
        <f>0.82*(F10/SUM(F10,F11,R3))</f>
        <v>0.15811659192825112</v>
      </c>
      <c r="H10" s="22">
        <f>2.65*(F10/SUM(F10,F11,R3))</f>
        <v>0.51098654708520175</v>
      </c>
      <c r="I10" s="22">
        <v>15.99</v>
      </c>
      <c r="J10" s="22">
        <v>0.8</v>
      </c>
      <c r="K10" s="22">
        <f t="shared" si="0"/>
        <v>2510.6591031390135</v>
      </c>
      <c r="M10" s="10">
        <v>39912</v>
      </c>
      <c r="N10">
        <v>1401</v>
      </c>
      <c r="O10" t="s">
        <v>267</v>
      </c>
      <c r="P10">
        <v>200</v>
      </c>
      <c r="Q10" s="22">
        <v>14.54</v>
      </c>
      <c r="R10" s="22">
        <f t="shared" si="3"/>
        <v>2908</v>
      </c>
      <c r="S10" s="22">
        <v>0.28999999999999998</v>
      </c>
      <c r="T10" s="22">
        <v>0.97</v>
      </c>
      <c r="U10" s="22">
        <v>15.99</v>
      </c>
      <c r="V10" s="22">
        <v>0.8</v>
      </c>
      <c r="W10" s="22">
        <v>0</v>
      </c>
      <c r="X10" s="22">
        <f t="shared" si="1"/>
        <v>2890.7500000000005</v>
      </c>
      <c r="Y10" s="22">
        <f t="shared" si="4"/>
        <v>380.09089686098696</v>
      </c>
    </row>
    <row r="11" spans="1:28" x14ac:dyDescent="0.25">
      <c r="A11" s="10">
        <v>39869</v>
      </c>
      <c r="B11">
        <v>903</v>
      </c>
      <c r="C11" t="s">
        <v>268</v>
      </c>
      <c r="D11">
        <v>200</v>
      </c>
      <c r="E11" s="22">
        <v>26.1</v>
      </c>
      <c r="F11" s="22">
        <f t="shared" si="2"/>
        <v>5220</v>
      </c>
      <c r="G11" s="22">
        <f>0.82*(F11/SUM(F10,F11,R3))</f>
        <v>0.33094170403587442</v>
      </c>
      <c r="H11" s="22">
        <f>2.65*(F11/SUM(F10,F11,R3))</f>
        <v>1.069506726457399</v>
      </c>
      <c r="I11" s="22">
        <v>15.99</v>
      </c>
      <c r="J11" s="22">
        <v>0.8</v>
      </c>
      <c r="K11" s="22">
        <f t="shared" si="0"/>
        <v>5237.3904484304931</v>
      </c>
      <c r="M11" s="10">
        <v>39892</v>
      </c>
      <c r="N11">
        <v>1029</v>
      </c>
      <c r="O11" t="s">
        <v>268</v>
      </c>
      <c r="P11">
        <v>200</v>
      </c>
      <c r="Q11" s="22">
        <v>29.61</v>
      </c>
      <c r="R11" s="22">
        <f t="shared" si="3"/>
        <v>5922</v>
      </c>
      <c r="S11" s="22">
        <v>0.47</v>
      </c>
      <c r="T11" s="22">
        <v>1.59</v>
      </c>
      <c r="U11" s="22">
        <v>15.99</v>
      </c>
      <c r="V11" s="22">
        <v>0.8</v>
      </c>
      <c r="W11" s="22">
        <v>0</v>
      </c>
      <c r="X11" s="22">
        <f t="shared" si="1"/>
        <v>5903.95</v>
      </c>
      <c r="Y11" s="22">
        <f t="shared" si="4"/>
        <v>666.55955156950677</v>
      </c>
    </row>
    <row r="12" spans="1:28" x14ac:dyDescent="0.25">
      <c r="A12" s="10">
        <v>39904</v>
      </c>
      <c r="B12">
        <v>1112</v>
      </c>
      <c r="C12" t="s">
        <v>275</v>
      </c>
      <c r="D12">
        <v>100</v>
      </c>
      <c r="E12" s="22">
        <v>25.67</v>
      </c>
      <c r="F12" s="22">
        <f t="shared" si="2"/>
        <v>2567</v>
      </c>
      <c r="G12" s="22">
        <v>0.2</v>
      </c>
      <c r="H12" s="22">
        <v>0.69</v>
      </c>
      <c r="I12" s="22">
        <v>15.99</v>
      </c>
      <c r="J12" s="22">
        <v>0.8</v>
      </c>
      <c r="K12" s="22">
        <f t="shared" si="0"/>
        <v>2583.8799999999997</v>
      </c>
      <c r="M12" s="10">
        <v>39927</v>
      </c>
      <c r="N12">
        <v>1455</v>
      </c>
      <c r="O12" t="s">
        <v>275</v>
      </c>
      <c r="P12">
        <v>100</v>
      </c>
      <c r="Q12" s="22">
        <v>29</v>
      </c>
      <c r="R12" s="22">
        <f t="shared" si="3"/>
        <v>2900</v>
      </c>
      <c r="S12" s="22">
        <v>0.35</v>
      </c>
      <c r="T12" s="22">
        <v>1.19</v>
      </c>
      <c r="U12" s="22">
        <v>15.99</v>
      </c>
      <c r="V12" s="22">
        <v>0.8</v>
      </c>
      <c r="W12" s="22">
        <v>0</v>
      </c>
      <c r="X12" s="22">
        <f t="shared" si="1"/>
        <v>2882.4700000000003</v>
      </c>
      <c r="Y12" s="22">
        <f t="shared" si="4"/>
        <v>298.5900000000006</v>
      </c>
    </row>
    <row r="13" spans="1:28" x14ac:dyDescent="0.25">
      <c r="A13" s="10">
        <v>39927</v>
      </c>
      <c r="B13">
        <v>1455</v>
      </c>
      <c r="C13" t="s">
        <v>268</v>
      </c>
      <c r="D13">
        <v>200</v>
      </c>
      <c r="E13" s="22">
        <v>29.5</v>
      </c>
      <c r="F13" s="22">
        <f t="shared" si="2"/>
        <v>5900</v>
      </c>
      <c r="G13" s="22">
        <v>0.35</v>
      </c>
      <c r="H13" s="22">
        <v>1.19</v>
      </c>
      <c r="I13" s="22">
        <v>15.99</v>
      </c>
      <c r="J13" s="22">
        <v>0.8</v>
      </c>
      <c r="K13" s="22">
        <f t="shared" si="0"/>
        <v>5917.53</v>
      </c>
      <c r="M13" s="10">
        <v>39960</v>
      </c>
      <c r="N13">
        <v>1681</v>
      </c>
      <c r="O13" t="s">
        <v>268</v>
      </c>
      <c r="P13">
        <v>200</v>
      </c>
      <c r="Q13" s="22">
        <v>34.04</v>
      </c>
      <c r="R13" s="22">
        <f t="shared" si="3"/>
        <v>6808</v>
      </c>
      <c r="S13" s="22">
        <v>0.4</v>
      </c>
      <c r="T13" s="22">
        <v>1.94</v>
      </c>
      <c r="U13" s="22">
        <v>15.99</v>
      </c>
      <c r="V13" s="22">
        <v>0.8</v>
      </c>
      <c r="W13" s="22">
        <v>0.34</v>
      </c>
      <c r="X13" s="22">
        <f t="shared" si="1"/>
        <v>6789.3300000000008</v>
      </c>
      <c r="Y13" s="22">
        <f t="shared" si="4"/>
        <v>872.14000000000112</v>
      </c>
    </row>
    <row r="14" spans="1:28" x14ac:dyDescent="0.25">
      <c r="A14" s="10">
        <v>39930</v>
      </c>
      <c r="B14">
        <v>1443</v>
      </c>
      <c r="C14" t="s">
        <v>269</v>
      </c>
      <c r="D14">
        <v>200</v>
      </c>
      <c r="E14" s="22">
        <v>29.7</v>
      </c>
      <c r="F14" s="22">
        <f t="shared" si="2"/>
        <v>5940</v>
      </c>
      <c r="G14" s="22">
        <v>0.47</v>
      </c>
      <c r="H14" s="22">
        <v>1.6</v>
      </c>
      <c r="I14" s="22">
        <v>15.99</v>
      </c>
      <c r="J14" s="22">
        <v>0.8</v>
      </c>
      <c r="K14" s="22">
        <f t="shared" si="0"/>
        <v>5958.06</v>
      </c>
      <c r="M14" s="10">
        <v>39937</v>
      </c>
      <c r="N14">
        <v>2060</v>
      </c>
      <c r="O14" t="s">
        <v>269</v>
      </c>
      <c r="P14">
        <v>200</v>
      </c>
      <c r="Q14" s="22">
        <v>33.15</v>
      </c>
      <c r="R14" s="22">
        <f t="shared" si="3"/>
        <v>6630</v>
      </c>
      <c r="S14" s="22">
        <v>0.35</v>
      </c>
      <c r="T14" s="22">
        <v>1.68</v>
      </c>
      <c r="U14" s="22">
        <v>15.99</v>
      </c>
      <c r="V14" s="22">
        <v>0.8</v>
      </c>
      <c r="W14" s="22">
        <v>0.28999999999999998</v>
      </c>
      <c r="X14" s="22">
        <f t="shared" si="1"/>
        <v>6611.69</v>
      </c>
      <c r="Y14" s="22">
        <f t="shared" si="4"/>
        <v>653.91999999999916</v>
      </c>
    </row>
    <row r="15" spans="1:28" x14ac:dyDescent="0.25">
      <c r="A15" s="10">
        <v>39931</v>
      </c>
      <c r="B15">
        <v>1411</v>
      </c>
      <c r="C15" t="s">
        <v>267</v>
      </c>
      <c r="D15">
        <v>300</v>
      </c>
      <c r="E15" s="22">
        <v>14.5</v>
      </c>
      <c r="F15" s="22">
        <f t="shared" si="2"/>
        <v>4350</v>
      </c>
      <c r="G15" s="22">
        <v>0.34</v>
      </c>
      <c r="H15" s="22">
        <v>1.17</v>
      </c>
      <c r="I15" s="22">
        <v>15.99</v>
      </c>
      <c r="J15" s="22">
        <v>0.8</v>
      </c>
      <c r="K15" s="22">
        <f t="shared" si="0"/>
        <v>4367.5</v>
      </c>
      <c r="M15" s="10">
        <v>39937</v>
      </c>
      <c r="N15">
        <v>2060</v>
      </c>
      <c r="O15" t="s">
        <v>267</v>
      </c>
      <c r="P15">
        <v>300</v>
      </c>
      <c r="Q15" s="22">
        <v>17.100000000000001</v>
      </c>
      <c r="R15" s="22">
        <f t="shared" si="3"/>
        <v>5130</v>
      </c>
      <c r="S15" s="22">
        <v>0.35</v>
      </c>
      <c r="T15" s="22">
        <v>1.68</v>
      </c>
      <c r="U15" s="22">
        <v>15.99</v>
      </c>
      <c r="V15" s="22">
        <v>0.8</v>
      </c>
      <c r="W15" s="22">
        <v>0.28999999999999998</v>
      </c>
      <c r="X15" s="22">
        <f t="shared" si="1"/>
        <v>5111.6899999999996</v>
      </c>
      <c r="Y15" s="22">
        <f t="shared" si="4"/>
        <v>744.47999999999956</v>
      </c>
    </row>
    <row r="16" spans="1:28" x14ac:dyDescent="0.25">
      <c r="A16" s="10">
        <v>39944</v>
      </c>
      <c r="B16">
        <v>1315</v>
      </c>
      <c r="C16" t="s">
        <v>269</v>
      </c>
      <c r="D16">
        <v>200</v>
      </c>
      <c r="E16" s="22">
        <v>32</v>
      </c>
      <c r="F16" s="22">
        <f t="shared" si="2"/>
        <v>6400</v>
      </c>
      <c r="G16" s="22">
        <v>0.38</v>
      </c>
      <c r="H16" s="22">
        <v>1.82</v>
      </c>
      <c r="I16" s="22">
        <v>15.99</v>
      </c>
      <c r="J16" s="22">
        <v>0.8</v>
      </c>
      <c r="K16" s="22">
        <f t="shared" si="0"/>
        <v>6418.19</v>
      </c>
      <c r="M16" s="10">
        <v>40073</v>
      </c>
      <c r="N16">
        <v>1462</v>
      </c>
      <c r="O16" t="s">
        <v>269</v>
      </c>
      <c r="P16">
        <v>200</v>
      </c>
      <c r="Q16" s="22">
        <v>35.15</v>
      </c>
      <c r="R16" s="22">
        <f t="shared" si="3"/>
        <v>7030</v>
      </c>
      <c r="S16" s="22">
        <v>0.39</v>
      </c>
      <c r="T16" s="22">
        <v>1.84</v>
      </c>
      <c r="U16" s="22">
        <v>15.99</v>
      </c>
      <c r="V16" s="22">
        <v>0.8</v>
      </c>
      <c r="W16" s="22">
        <v>0</v>
      </c>
      <c r="X16" s="22">
        <f t="shared" si="1"/>
        <v>7011.78</v>
      </c>
      <c r="Y16" s="22">
        <f t="shared" si="4"/>
        <v>593.59000000000015</v>
      </c>
    </row>
    <row r="17" spans="1:25" x14ac:dyDescent="0.25">
      <c r="A17" s="10">
        <v>39946</v>
      </c>
      <c r="B17">
        <v>1581</v>
      </c>
      <c r="C17" t="s">
        <v>270</v>
      </c>
      <c r="D17">
        <v>1000</v>
      </c>
      <c r="E17" s="22">
        <v>3</v>
      </c>
      <c r="F17" s="22">
        <f t="shared" si="2"/>
        <v>3000</v>
      </c>
      <c r="G17" s="22">
        <v>0.22</v>
      </c>
      <c r="H17" s="22">
        <v>1.03</v>
      </c>
      <c r="I17" s="22">
        <v>15.99</v>
      </c>
      <c r="J17" s="22">
        <v>0.8</v>
      </c>
      <c r="K17" s="22">
        <f t="shared" si="0"/>
        <v>3017.24</v>
      </c>
      <c r="M17" s="10">
        <v>40022</v>
      </c>
      <c r="N17">
        <v>1240</v>
      </c>
      <c r="O17" t="s">
        <v>270</v>
      </c>
      <c r="P17">
        <v>1000</v>
      </c>
      <c r="Q17" s="22">
        <v>3.5</v>
      </c>
      <c r="R17" s="22">
        <f t="shared" si="3"/>
        <v>3500</v>
      </c>
      <c r="S17" s="22">
        <v>0.21</v>
      </c>
      <c r="T17" s="22">
        <v>0.99</v>
      </c>
      <c r="U17" s="22">
        <v>15.99</v>
      </c>
      <c r="V17" s="22">
        <v>0.8</v>
      </c>
      <c r="W17" s="22">
        <v>0</v>
      </c>
      <c r="X17" s="22">
        <f t="shared" si="1"/>
        <v>3482.8100000000004</v>
      </c>
      <c r="Y17" s="22">
        <f t="shared" si="4"/>
        <v>465.57000000000062</v>
      </c>
    </row>
    <row r="18" spans="1:25" x14ac:dyDescent="0.25">
      <c r="A18" s="10">
        <v>39946</v>
      </c>
      <c r="B18">
        <v>1581</v>
      </c>
      <c r="C18" t="s">
        <v>276</v>
      </c>
      <c r="D18">
        <v>200</v>
      </c>
      <c r="E18" s="22">
        <v>21.3</v>
      </c>
      <c r="F18" s="22">
        <f t="shared" si="2"/>
        <v>4260</v>
      </c>
      <c r="G18" s="22">
        <v>0.22</v>
      </c>
      <c r="H18" s="22">
        <v>1.03</v>
      </c>
      <c r="I18" s="22">
        <v>15.99</v>
      </c>
      <c r="J18" s="22">
        <v>0.8</v>
      </c>
      <c r="K18" s="22">
        <f t="shared" si="0"/>
        <v>4277.24</v>
      </c>
      <c r="M18" s="10">
        <v>39959</v>
      </c>
      <c r="N18">
        <v>1430</v>
      </c>
      <c r="O18" t="s">
        <v>276</v>
      </c>
      <c r="P18">
        <v>200</v>
      </c>
      <c r="Q18" s="22">
        <v>23.4</v>
      </c>
      <c r="R18" s="22">
        <f t="shared" si="3"/>
        <v>4680</v>
      </c>
      <c r="S18" s="22">
        <v>0.28000000000000003</v>
      </c>
      <c r="T18" s="22">
        <v>1.33</v>
      </c>
      <c r="U18" s="22">
        <v>15.99</v>
      </c>
      <c r="V18" s="22">
        <v>0.8</v>
      </c>
      <c r="W18" s="22">
        <v>0.23</v>
      </c>
      <c r="X18" s="22">
        <f t="shared" si="1"/>
        <v>4662.170000000001</v>
      </c>
      <c r="Y18" s="22">
        <f t="shared" si="4"/>
        <v>385.16000000000122</v>
      </c>
    </row>
    <row r="19" spans="1:25" x14ac:dyDescent="0.25">
      <c r="A19" s="10">
        <v>39961</v>
      </c>
      <c r="B19">
        <v>1246</v>
      </c>
      <c r="C19" t="s">
        <v>277</v>
      </c>
      <c r="D19">
        <v>1000</v>
      </c>
      <c r="E19" s="22">
        <v>3.31</v>
      </c>
      <c r="F19" s="22">
        <f t="shared" si="2"/>
        <v>3310</v>
      </c>
      <c r="G19" s="22">
        <v>0.19</v>
      </c>
      <c r="H19" s="22">
        <v>0.94</v>
      </c>
      <c r="I19" s="22">
        <v>15.99</v>
      </c>
      <c r="J19" s="22">
        <v>0.8</v>
      </c>
      <c r="K19" s="22">
        <f t="shared" si="0"/>
        <v>3327.12</v>
      </c>
      <c r="M19" s="10">
        <v>40030</v>
      </c>
      <c r="N19">
        <v>1305</v>
      </c>
      <c r="O19" t="s">
        <v>277</v>
      </c>
      <c r="P19">
        <v>1000</v>
      </c>
      <c r="Q19" s="22">
        <v>3.77</v>
      </c>
      <c r="R19" s="22">
        <f t="shared" si="3"/>
        <v>3770</v>
      </c>
      <c r="S19" s="22">
        <v>0.22</v>
      </c>
      <c r="T19" s="22">
        <v>1.07</v>
      </c>
      <c r="U19" s="22">
        <v>15.99</v>
      </c>
      <c r="V19" s="22">
        <v>0.8</v>
      </c>
      <c r="W19" s="22">
        <v>0</v>
      </c>
      <c r="X19" s="22">
        <f t="shared" si="1"/>
        <v>3752.7200000000003</v>
      </c>
      <c r="Y19" s="22">
        <f t="shared" si="4"/>
        <v>425.60000000000036</v>
      </c>
    </row>
    <row r="20" spans="1:25" x14ac:dyDescent="0.25">
      <c r="A20" s="10">
        <v>39962</v>
      </c>
      <c r="B20">
        <v>1525</v>
      </c>
      <c r="C20" t="s">
        <v>278</v>
      </c>
      <c r="D20">
        <v>100</v>
      </c>
      <c r="E20" s="22">
        <v>25</v>
      </c>
      <c r="F20" s="22">
        <f t="shared" si="2"/>
        <v>2500</v>
      </c>
      <c r="G20" s="22">
        <v>0.24</v>
      </c>
      <c r="H20" s="22">
        <v>1.1399999999999999</v>
      </c>
      <c r="I20" s="22">
        <v>15.99</v>
      </c>
      <c r="J20" s="22">
        <v>0.8</v>
      </c>
      <c r="K20" s="22">
        <f t="shared" si="0"/>
        <v>2517.3699999999994</v>
      </c>
      <c r="M20" s="10">
        <v>40010</v>
      </c>
      <c r="N20">
        <v>1298</v>
      </c>
      <c r="O20" t="s">
        <v>278</v>
      </c>
      <c r="P20">
        <v>100</v>
      </c>
      <c r="Q20" s="22">
        <v>28.31</v>
      </c>
      <c r="R20" s="22">
        <f t="shared" si="3"/>
        <v>2831</v>
      </c>
      <c r="S20" s="22">
        <v>0.16</v>
      </c>
      <c r="T20" s="22">
        <v>0.8</v>
      </c>
      <c r="U20" s="22">
        <v>15.99</v>
      </c>
      <c r="V20" s="22">
        <v>0.8</v>
      </c>
      <c r="W20" s="22">
        <v>0</v>
      </c>
      <c r="X20" s="22">
        <f t="shared" si="1"/>
        <v>2814.05</v>
      </c>
      <c r="Y20" s="22">
        <f t="shared" si="4"/>
        <v>296.68000000000075</v>
      </c>
    </row>
    <row r="21" spans="1:25" x14ac:dyDescent="0.25">
      <c r="A21" s="10">
        <v>39962</v>
      </c>
      <c r="B21">
        <v>1525</v>
      </c>
      <c r="C21" t="s">
        <v>275</v>
      </c>
      <c r="D21">
        <v>200</v>
      </c>
      <c r="E21" s="22">
        <v>27.5</v>
      </c>
      <c r="F21" s="22">
        <f t="shared" si="2"/>
        <v>5500</v>
      </c>
      <c r="G21" s="22">
        <v>0.24</v>
      </c>
      <c r="H21" s="22">
        <v>1.1399999999999999</v>
      </c>
      <c r="I21" s="22">
        <v>15.99</v>
      </c>
      <c r="J21" s="22">
        <v>0.8</v>
      </c>
      <c r="K21" s="22">
        <f t="shared" si="0"/>
        <v>5517.37</v>
      </c>
      <c r="M21" s="10">
        <v>39974</v>
      </c>
      <c r="N21">
        <v>993</v>
      </c>
      <c r="O21" t="s">
        <v>275</v>
      </c>
      <c r="P21">
        <v>200</v>
      </c>
      <c r="Q21" s="22">
        <v>30.75</v>
      </c>
      <c r="R21" s="22">
        <f t="shared" si="3"/>
        <v>6150</v>
      </c>
      <c r="S21" s="22">
        <v>0.36</v>
      </c>
      <c r="T21" s="22">
        <v>1.75</v>
      </c>
      <c r="U21" s="22">
        <v>15.99</v>
      </c>
      <c r="V21" s="22">
        <v>0.8</v>
      </c>
      <c r="W21" s="22">
        <v>0</v>
      </c>
      <c r="X21" s="22">
        <f t="shared" si="1"/>
        <v>6131.9000000000005</v>
      </c>
      <c r="Y21" s="22">
        <f t="shared" si="4"/>
        <v>614.53000000000065</v>
      </c>
    </row>
    <row r="22" spans="1:25" x14ac:dyDescent="0.25">
      <c r="A22" s="10">
        <v>39979</v>
      </c>
      <c r="B22">
        <v>1584</v>
      </c>
      <c r="C22" t="s">
        <v>275</v>
      </c>
      <c r="D22">
        <v>200</v>
      </c>
      <c r="E22" s="22">
        <v>27.5</v>
      </c>
      <c r="F22" s="22">
        <f t="shared" si="2"/>
        <v>5500</v>
      </c>
      <c r="G22" s="22">
        <v>0.33</v>
      </c>
      <c r="H22" s="22">
        <v>1.56</v>
      </c>
      <c r="I22" s="22">
        <v>15.99</v>
      </c>
      <c r="J22" s="22">
        <v>0.8</v>
      </c>
      <c r="K22" s="22">
        <f t="shared" si="0"/>
        <v>5517.88</v>
      </c>
      <c r="M22" s="10">
        <v>39983</v>
      </c>
      <c r="N22">
        <v>1048</v>
      </c>
      <c r="O22" t="s">
        <v>275</v>
      </c>
      <c r="P22">
        <v>200</v>
      </c>
      <c r="Q22" s="22">
        <v>29.8</v>
      </c>
      <c r="R22" s="22">
        <f t="shared" si="3"/>
        <v>5960</v>
      </c>
      <c r="S22" s="22">
        <v>0.37</v>
      </c>
      <c r="T22" s="22">
        <v>1.77</v>
      </c>
      <c r="U22" s="22">
        <v>15.99</v>
      </c>
      <c r="V22" s="22">
        <v>0.8</v>
      </c>
      <c r="W22" s="22">
        <v>0</v>
      </c>
      <c r="X22" s="22">
        <f t="shared" si="1"/>
        <v>5941.87</v>
      </c>
      <c r="Y22" s="22">
        <f t="shared" si="4"/>
        <v>423.98999999999978</v>
      </c>
    </row>
    <row r="23" spans="1:25" x14ac:dyDescent="0.25">
      <c r="A23" s="10">
        <v>39983</v>
      </c>
      <c r="B23">
        <v>1048</v>
      </c>
      <c r="C23" t="s">
        <v>268</v>
      </c>
      <c r="D23">
        <v>200</v>
      </c>
      <c r="E23" s="22">
        <v>32.19</v>
      </c>
      <c r="F23" s="22">
        <f t="shared" si="2"/>
        <v>6438</v>
      </c>
      <c r="G23" s="22">
        <v>0.37</v>
      </c>
      <c r="H23" s="22">
        <v>1.77</v>
      </c>
      <c r="I23" s="22">
        <v>15.99</v>
      </c>
      <c r="J23" s="22">
        <v>0.8</v>
      </c>
      <c r="K23" s="22">
        <f t="shared" si="0"/>
        <v>6456.13</v>
      </c>
      <c r="M23" s="10">
        <v>40073</v>
      </c>
      <c r="N23">
        <v>1462</v>
      </c>
      <c r="O23" t="s">
        <v>268</v>
      </c>
      <c r="P23">
        <v>200</v>
      </c>
      <c r="Q23" s="22">
        <v>34.479999999999997</v>
      </c>
      <c r="R23" s="22">
        <f t="shared" si="3"/>
        <v>6895.9999999999991</v>
      </c>
      <c r="S23" s="22">
        <v>0.39</v>
      </c>
      <c r="T23" s="22">
        <v>1.84</v>
      </c>
      <c r="U23" s="22">
        <v>15.99</v>
      </c>
      <c r="V23" s="22">
        <v>0.8</v>
      </c>
      <c r="W23" s="22">
        <v>0</v>
      </c>
      <c r="X23" s="22">
        <f t="shared" si="1"/>
        <v>6877.7799999999988</v>
      </c>
      <c r="Y23" s="22">
        <f t="shared" si="4"/>
        <v>421.64999999999873</v>
      </c>
    </row>
    <row r="24" spans="1:25" x14ac:dyDescent="0.25">
      <c r="A24" s="10">
        <v>40037</v>
      </c>
      <c r="B24">
        <v>1257</v>
      </c>
      <c r="C24" t="s">
        <v>275</v>
      </c>
      <c r="D24">
        <v>200</v>
      </c>
      <c r="E24" s="22">
        <v>26.4</v>
      </c>
      <c r="F24" s="22">
        <f t="shared" si="2"/>
        <v>5280</v>
      </c>
      <c r="G24" s="22">
        <v>0.31</v>
      </c>
      <c r="H24" s="22">
        <v>1.5</v>
      </c>
      <c r="I24" s="22">
        <v>15.99</v>
      </c>
      <c r="J24" s="22">
        <v>0.8</v>
      </c>
      <c r="K24" s="22">
        <f t="shared" si="0"/>
        <v>5297.8</v>
      </c>
      <c r="M24" s="10">
        <v>40073</v>
      </c>
      <c r="N24">
        <v>1462</v>
      </c>
      <c r="O24" t="s">
        <v>275</v>
      </c>
      <c r="P24">
        <v>200</v>
      </c>
      <c r="Q24" s="22">
        <v>27.45</v>
      </c>
      <c r="R24" s="22">
        <f t="shared" si="3"/>
        <v>5490</v>
      </c>
      <c r="S24" s="22">
        <v>0.39</v>
      </c>
      <c r="T24" s="22">
        <v>1.84</v>
      </c>
      <c r="U24" s="22">
        <v>15.99</v>
      </c>
      <c r="V24" s="22">
        <v>0.8</v>
      </c>
      <c r="W24" s="22">
        <v>0</v>
      </c>
      <c r="X24" s="22">
        <f t="shared" si="1"/>
        <v>5471.78</v>
      </c>
      <c r="Y24" s="22">
        <f t="shared" si="4"/>
        <v>173.97999999999956</v>
      </c>
    </row>
    <row r="25" spans="1:25" x14ac:dyDescent="0.25">
      <c r="A25" s="10">
        <v>40080</v>
      </c>
      <c r="B25">
        <v>1213</v>
      </c>
      <c r="C25" t="s">
        <v>270</v>
      </c>
      <c r="D25">
        <v>6000</v>
      </c>
      <c r="E25" s="22">
        <v>4</v>
      </c>
      <c r="F25" s="22">
        <f t="shared" si="2"/>
        <v>24000</v>
      </c>
      <c r="G25" s="22">
        <v>1.44</v>
      </c>
      <c r="H25" s="22">
        <v>6.84</v>
      </c>
      <c r="I25" s="22">
        <v>15.99</v>
      </c>
      <c r="J25" s="22">
        <v>0.8</v>
      </c>
      <c r="K25" s="22">
        <f t="shared" si="0"/>
        <v>24024.27</v>
      </c>
      <c r="M25" s="10">
        <v>40149</v>
      </c>
      <c r="N25">
        <v>1267</v>
      </c>
      <c r="O25" s="21" t="s">
        <v>279</v>
      </c>
      <c r="P25" s="21">
        <v>809</v>
      </c>
      <c r="Q25" s="22">
        <v>30.5</v>
      </c>
      <c r="R25" s="22">
        <f t="shared" si="3"/>
        <v>24674.5</v>
      </c>
      <c r="S25" s="22">
        <v>1.48</v>
      </c>
      <c r="T25" s="22">
        <v>7.03</v>
      </c>
      <c r="U25" s="22">
        <v>31.98</v>
      </c>
      <c r="V25" s="22">
        <v>1.59</v>
      </c>
      <c r="W25" s="22">
        <v>1.23</v>
      </c>
      <c r="X25" s="22">
        <f t="shared" si="1"/>
        <v>24632.780000000002</v>
      </c>
      <c r="Y25" s="22">
        <f t="shared" si="4"/>
        <v>609.74000000000206</v>
      </c>
    </row>
    <row r="26" spans="1:25" x14ac:dyDescent="0.25">
      <c r="A26" s="10">
        <v>40154</v>
      </c>
      <c r="B26">
        <v>1168</v>
      </c>
      <c r="C26" t="s">
        <v>275</v>
      </c>
      <c r="D26">
        <v>500</v>
      </c>
      <c r="E26" s="22">
        <v>25</v>
      </c>
      <c r="F26" s="22">
        <f t="shared" si="2"/>
        <v>12500</v>
      </c>
      <c r="G26" s="22">
        <v>0.75</v>
      </c>
      <c r="H26" s="22">
        <v>3.56</v>
      </c>
      <c r="I26" s="22">
        <v>15.99</v>
      </c>
      <c r="J26" s="22">
        <v>0.8</v>
      </c>
      <c r="K26" s="22">
        <f t="shared" si="0"/>
        <v>12520.3</v>
      </c>
      <c r="M26" s="10">
        <v>40158</v>
      </c>
      <c r="N26">
        <v>1171</v>
      </c>
      <c r="O26" t="s">
        <v>275</v>
      </c>
      <c r="P26">
        <v>500</v>
      </c>
      <c r="Q26" s="22">
        <v>26.1</v>
      </c>
      <c r="R26" s="22">
        <f t="shared" si="3"/>
        <v>13050</v>
      </c>
      <c r="S26" s="22">
        <v>0.76</v>
      </c>
      <c r="T26" s="22">
        <v>3.59</v>
      </c>
      <c r="U26" s="22">
        <v>15.99</v>
      </c>
      <c r="V26" s="22">
        <v>0.8</v>
      </c>
      <c r="W26" s="22">
        <v>0.63</v>
      </c>
      <c r="X26" s="22">
        <f t="shared" si="1"/>
        <v>13029.03</v>
      </c>
      <c r="Y26" s="22">
        <f t="shared" si="4"/>
        <v>509.36000000000138</v>
      </c>
    </row>
    <row r="27" spans="1:25" x14ac:dyDescent="0.25">
      <c r="A27" s="10">
        <v>40156</v>
      </c>
      <c r="B27">
        <v>1183</v>
      </c>
      <c r="C27" t="s">
        <v>280</v>
      </c>
      <c r="D27">
        <v>1000</v>
      </c>
      <c r="E27" s="22">
        <v>11.9</v>
      </c>
      <c r="F27" s="22">
        <f t="shared" si="2"/>
        <v>11900</v>
      </c>
      <c r="G27" s="22">
        <v>0.71</v>
      </c>
      <c r="H27" s="22">
        <v>3.39</v>
      </c>
      <c r="I27" s="22">
        <v>15.99</v>
      </c>
      <c r="J27" s="22">
        <v>0.8</v>
      </c>
      <c r="K27" s="22">
        <f t="shared" si="0"/>
        <v>11920.089999999998</v>
      </c>
      <c r="M27" s="10">
        <v>40157</v>
      </c>
      <c r="N27">
        <v>1281</v>
      </c>
      <c r="O27" t="s">
        <v>280</v>
      </c>
      <c r="P27">
        <v>1000</v>
      </c>
      <c r="Q27" s="22">
        <v>12.11</v>
      </c>
      <c r="R27" s="22">
        <f t="shared" si="3"/>
        <v>12110</v>
      </c>
      <c r="S27" s="22">
        <v>0.72</v>
      </c>
      <c r="T27" s="22">
        <v>2.2799999999999998</v>
      </c>
      <c r="U27" s="22">
        <v>15.99</v>
      </c>
      <c r="V27" s="22">
        <v>0.8</v>
      </c>
      <c r="W27" s="22">
        <v>0</v>
      </c>
      <c r="X27" s="22">
        <f t="shared" si="1"/>
        <v>12091.01</v>
      </c>
      <c r="Y27" s="22">
        <f t="shared" si="4"/>
        <v>170.92000000000189</v>
      </c>
    </row>
    <row r="28" spans="1:25" x14ac:dyDescent="0.25">
      <c r="A28" s="10">
        <v>40157</v>
      </c>
      <c r="B28">
        <v>1281</v>
      </c>
      <c r="C28" t="s">
        <v>280</v>
      </c>
      <c r="D28">
        <v>1000</v>
      </c>
      <c r="E28" s="22">
        <v>11.9</v>
      </c>
      <c r="F28" s="22">
        <f t="shared" si="2"/>
        <v>11900</v>
      </c>
      <c r="G28" s="22">
        <v>0.72</v>
      </c>
      <c r="H28" s="22">
        <v>2.2799999999999998</v>
      </c>
      <c r="I28" s="22">
        <v>15.99</v>
      </c>
      <c r="J28" s="22">
        <v>0.8</v>
      </c>
      <c r="K28" s="22">
        <f t="shared" si="0"/>
        <v>11918.99</v>
      </c>
      <c r="M28" s="10">
        <v>40158</v>
      </c>
      <c r="N28">
        <v>1171</v>
      </c>
      <c r="O28" t="s">
        <v>280</v>
      </c>
      <c r="P28">
        <v>1000</v>
      </c>
      <c r="Q28" s="22">
        <v>12.12</v>
      </c>
      <c r="R28" s="22">
        <f t="shared" si="3"/>
        <v>12120</v>
      </c>
      <c r="S28" s="22">
        <v>0.76</v>
      </c>
      <c r="T28" s="22">
        <v>3.59</v>
      </c>
      <c r="U28" s="22">
        <v>15.99</v>
      </c>
      <c r="V28" s="22">
        <v>0.8</v>
      </c>
      <c r="W28" s="22">
        <v>0.63</v>
      </c>
      <c r="X28" s="22">
        <f t="shared" si="1"/>
        <v>12099.03</v>
      </c>
      <c r="Y28" s="22">
        <f t="shared" si="4"/>
        <v>180.67000000000087</v>
      </c>
    </row>
    <row r="29" spans="1:25" x14ac:dyDescent="0.25">
      <c r="A29" s="10">
        <v>40161</v>
      </c>
      <c r="B29">
        <v>1082</v>
      </c>
      <c r="C29" t="s">
        <v>281</v>
      </c>
      <c r="D29">
        <v>1800</v>
      </c>
      <c r="E29" s="22">
        <v>4.74</v>
      </c>
      <c r="F29" s="22">
        <f t="shared" si="2"/>
        <v>8532</v>
      </c>
      <c r="G29" s="22">
        <v>0.51</v>
      </c>
      <c r="H29" s="22">
        <v>2.4300000000000002</v>
      </c>
      <c r="I29" s="22">
        <v>15.99</v>
      </c>
      <c r="J29" s="22">
        <v>0.8</v>
      </c>
      <c r="K29" s="22">
        <f t="shared" si="0"/>
        <v>8550.93</v>
      </c>
      <c r="M29" s="26">
        <v>40184</v>
      </c>
      <c r="N29">
        <v>1288</v>
      </c>
      <c r="O29" t="s">
        <v>281</v>
      </c>
      <c r="P29">
        <v>1800</v>
      </c>
      <c r="Q29" s="22">
        <v>4.92</v>
      </c>
      <c r="R29" s="22">
        <f t="shared" si="3"/>
        <v>8856</v>
      </c>
      <c r="S29" s="31"/>
      <c r="T29" s="31"/>
      <c r="U29" s="31">
        <v>15.99</v>
      </c>
      <c r="V29" s="31">
        <v>0.8</v>
      </c>
      <c r="W29" s="22">
        <v>0.44</v>
      </c>
      <c r="X29" s="22">
        <f t="shared" si="1"/>
        <v>8839.57</v>
      </c>
      <c r="Y29" s="22">
        <f t="shared" si="4"/>
        <v>289.07999999999942</v>
      </c>
    </row>
    <row r="30" spans="1:25" x14ac:dyDescent="0.25">
      <c r="A30" s="10">
        <v>40162</v>
      </c>
      <c r="B30">
        <v>1020</v>
      </c>
      <c r="C30" t="s">
        <v>282</v>
      </c>
      <c r="D30">
        <v>1200</v>
      </c>
      <c r="E30" s="22">
        <v>9.6999999999999993</v>
      </c>
      <c r="F30" s="22">
        <f t="shared" si="2"/>
        <v>11640</v>
      </c>
      <c r="G30" s="22">
        <v>0.69</v>
      </c>
      <c r="H30" s="22">
        <v>3.31</v>
      </c>
      <c r="I30" s="22">
        <v>15.99</v>
      </c>
      <c r="J30" s="22">
        <v>0.8</v>
      </c>
      <c r="K30" s="22">
        <f t="shared" si="0"/>
        <v>11659.99</v>
      </c>
      <c r="M30" s="26">
        <v>40192</v>
      </c>
      <c r="N30">
        <v>1256</v>
      </c>
      <c r="O30" t="s">
        <v>282</v>
      </c>
      <c r="P30">
        <v>1200</v>
      </c>
      <c r="Q30" s="22">
        <v>10.33</v>
      </c>
      <c r="R30" s="22">
        <f t="shared" si="3"/>
        <v>12396</v>
      </c>
      <c r="S30" s="31"/>
      <c r="T30" s="31"/>
      <c r="U30" s="31">
        <v>15.99</v>
      </c>
      <c r="V30" s="31">
        <v>0.8</v>
      </c>
      <c r="W30" s="22">
        <v>0.61</v>
      </c>
      <c r="X30" s="22">
        <f t="shared" si="1"/>
        <v>12379.4</v>
      </c>
      <c r="Y30" s="22">
        <f t="shared" si="4"/>
        <v>720.01999999999987</v>
      </c>
    </row>
    <row r="31" spans="1:25" x14ac:dyDescent="0.25">
      <c r="A31" s="10">
        <v>40163</v>
      </c>
      <c r="B31">
        <v>1129</v>
      </c>
      <c r="C31" t="s">
        <v>280</v>
      </c>
      <c r="D31">
        <v>400</v>
      </c>
      <c r="E31" s="22">
        <v>11.9</v>
      </c>
      <c r="F31" s="22">
        <f t="shared" si="2"/>
        <v>4760</v>
      </c>
      <c r="G31" s="22">
        <v>0.28000000000000003</v>
      </c>
      <c r="H31" s="22">
        <v>1.35</v>
      </c>
      <c r="I31" s="22">
        <v>15.99</v>
      </c>
      <c r="J31" s="22">
        <v>0.8</v>
      </c>
      <c r="K31" s="22">
        <f t="shared" si="0"/>
        <v>4777.62</v>
      </c>
      <c r="M31" s="26">
        <v>40177</v>
      </c>
      <c r="N31">
        <v>812</v>
      </c>
      <c r="O31" t="s">
        <v>280</v>
      </c>
      <c r="P31">
        <v>400</v>
      </c>
      <c r="Q31" s="22">
        <v>12.35</v>
      </c>
      <c r="R31" s="22">
        <f t="shared" si="3"/>
        <v>4940</v>
      </c>
      <c r="S31" s="31"/>
      <c r="T31" s="31"/>
      <c r="U31" s="31">
        <v>15.99</v>
      </c>
      <c r="V31" s="31">
        <v>0.8</v>
      </c>
      <c r="W31" s="22">
        <v>0.24</v>
      </c>
      <c r="X31" s="22">
        <f t="shared" si="1"/>
        <v>4923.7700000000004</v>
      </c>
      <c r="Y31" s="22">
        <f t="shared" si="4"/>
        <v>146.39000000000055</v>
      </c>
    </row>
    <row r="32" spans="1:25" x14ac:dyDescent="0.25">
      <c r="A32" s="10">
        <v>40190</v>
      </c>
      <c r="B32">
        <v>1482</v>
      </c>
      <c r="C32" t="s">
        <v>268</v>
      </c>
      <c r="D32">
        <v>500</v>
      </c>
      <c r="E32" s="22">
        <v>36.200000000000003</v>
      </c>
      <c r="F32" s="22">
        <f t="shared" si="2"/>
        <v>18100</v>
      </c>
      <c r="G32" s="22">
        <v>1.08</v>
      </c>
      <c r="H32" s="22">
        <v>5.15</v>
      </c>
      <c r="I32" s="22">
        <v>15.99</v>
      </c>
      <c r="J32" s="22">
        <v>0.8</v>
      </c>
      <c r="K32" s="22">
        <f t="shared" si="0"/>
        <v>18122.220000000005</v>
      </c>
      <c r="M32" s="20"/>
      <c r="N32" s="20"/>
      <c r="O32" s="65" t="s">
        <v>268</v>
      </c>
      <c r="P32" s="65">
        <v>500</v>
      </c>
      <c r="Q32" s="34">
        <v>30.22</v>
      </c>
      <c r="R32" s="34">
        <f t="shared" si="3"/>
        <v>15110</v>
      </c>
      <c r="S32" s="35"/>
      <c r="T32" s="35"/>
      <c r="U32" s="35"/>
      <c r="V32" s="35"/>
      <c r="W32" s="35"/>
      <c r="X32" s="34">
        <f t="shared" si="1"/>
        <v>15110</v>
      </c>
      <c r="Y32" s="34">
        <f t="shared" si="4"/>
        <v>-3012.2200000000048</v>
      </c>
    </row>
    <row r="33" spans="1:25" x14ac:dyDescent="0.25">
      <c r="A33" s="10">
        <v>40193</v>
      </c>
      <c r="B33">
        <v>1239</v>
      </c>
      <c r="C33" t="s">
        <v>283</v>
      </c>
      <c r="D33">
        <v>700</v>
      </c>
      <c r="E33" s="22">
        <v>16.899999999999999</v>
      </c>
      <c r="F33" s="22">
        <f t="shared" si="2"/>
        <v>11829.999999999998</v>
      </c>
      <c r="G33" s="22">
        <v>0.7</v>
      </c>
      <c r="H33" s="22">
        <f>1.94*(F33/SUM(F33:F34))</f>
        <v>0.92578459056070983</v>
      </c>
      <c r="I33" s="22">
        <v>15.99</v>
      </c>
      <c r="J33" s="22">
        <v>0.8</v>
      </c>
      <c r="K33" s="22">
        <f t="shared" si="0"/>
        <v>11847.61578459056</v>
      </c>
      <c r="M33" s="10">
        <v>40205</v>
      </c>
      <c r="N33">
        <v>1165</v>
      </c>
      <c r="O33" t="s">
        <v>283</v>
      </c>
      <c r="P33">
        <v>700</v>
      </c>
      <c r="Q33" s="22">
        <v>17</v>
      </c>
      <c r="R33" s="22">
        <f t="shared" si="3"/>
        <v>11900</v>
      </c>
      <c r="S33" s="22">
        <v>0.71</v>
      </c>
      <c r="T33" s="22">
        <v>3.39</v>
      </c>
      <c r="U33" s="22">
        <v>15.99</v>
      </c>
      <c r="V33" s="22">
        <v>0.8</v>
      </c>
      <c r="W33" s="22">
        <v>0.59</v>
      </c>
      <c r="X33" s="22">
        <f t="shared" si="1"/>
        <v>11879.320000000002</v>
      </c>
      <c r="Y33" s="22">
        <f t="shared" si="4"/>
        <v>32.294215409441534</v>
      </c>
    </row>
    <row r="34" spans="1:25" x14ac:dyDescent="0.25">
      <c r="A34" s="10">
        <v>40210</v>
      </c>
      <c r="B34">
        <v>1039</v>
      </c>
      <c r="C34" t="s">
        <v>277</v>
      </c>
      <c r="D34">
        <v>2700</v>
      </c>
      <c r="E34" s="22">
        <v>4.8</v>
      </c>
      <c r="F34" s="22">
        <f t="shared" si="2"/>
        <v>12960</v>
      </c>
      <c r="G34" s="22">
        <v>0.77</v>
      </c>
      <c r="H34" s="22">
        <f>1.94*(F34/SUM(F33:F34))</f>
        <v>1.0142154094392899</v>
      </c>
      <c r="I34" s="22">
        <v>15.99</v>
      </c>
      <c r="J34" s="22">
        <v>0.8</v>
      </c>
      <c r="K34" s="22">
        <f t="shared" ref="K34:K66" si="5">F34+G34+H34+I34</f>
        <v>12977.774215409439</v>
      </c>
      <c r="M34" s="26">
        <v>40211</v>
      </c>
      <c r="N34">
        <v>1147</v>
      </c>
      <c r="O34" t="s">
        <v>277</v>
      </c>
      <c r="P34">
        <v>2700</v>
      </c>
      <c r="Q34" s="22">
        <v>4.95</v>
      </c>
      <c r="R34" s="22">
        <f t="shared" si="3"/>
        <v>13365</v>
      </c>
      <c r="S34" s="31"/>
      <c r="T34" s="31"/>
      <c r="U34" s="31">
        <v>15.99</v>
      </c>
      <c r="V34" s="31">
        <v>0.8</v>
      </c>
      <c r="W34" s="31"/>
      <c r="X34" s="22">
        <f t="shared" ref="X34:X61" si="6">R34-S34-T34-U34-W34</f>
        <v>13349.01</v>
      </c>
      <c r="Y34" s="22">
        <f t="shared" si="4"/>
        <v>371.2357845905608</v>
      </c>
    </row>
    <row r="35" spans="1:25" x14ac:dyDescent="0.25">
      <c r="A35" s="26">
        <v>40211</v>
      </c>
      <c r="B35">
        <v>1147</v>
      </c>
      <c r="C35" t="s">
        <v>282</v>
      </c>
      <c r="D35">
        <v>500</v>
      </c>
      <c r="E35" s="22">
        <v>9.4</v>
      </c>
      <c r="F35" s="22">
        <f t="shared" si="2"/>
        <v>4700</v>
      </c>
      <c r="G35" s="31"/>
      <c r="H35" s="31"/>
      <c r="I35" s="31">
        <v>15.99</v>
      </c>
      <c r="J35" s="31">
        <v>0.8</v>
      </c>
      <c r="K35" s="22">
        <f t="shared" si="5"/>
        <v>4715.99</v>
      </c>
      <c r="M35" s="27">
        <v>41869</v>
      </c>
      <c r="N35" s="28">
        <v>15765836</v>
      </c>
      <c r="O35" s="28" t="s">
        <v>282</v>
      </c>
      <c r="P35" s="28">
        <v>500</v>
      </c>
      <c r="Q35" s="32">
        <v>10.5</v>
      </c>
      <c r="R35" s="32">
        <f t="shared" si="3"/>
        <v>5250</v>
      </c>
      <c r="S35" s="32"/>
      <c r="T35" s="32"/>
      <c r="U35" s="32">
        <v>15.99</v>
      </c>
      <c r="V35" s="32">
        <v>0.8</v>
      </c>
      <c r="W35" s="32"/>
      <c r="X35" s="32">
        <f t="shared" si="6"/>
        <v>5234.01</v>
      </c>
      <c r="Y35" s="32">
        <f t="shared" si="4"/>
        <v>518.02000000000044</v>
      </c>
    </row>
    <row r="36" spans="1:25" x14ac:dyDescent="0.25">
      <c r="A36" s="26">
        <v>40213</v>
      </c>
      <c r="B36">
        <v>1720</v>
      </c>
      <c r="C36" t="s">
        <v>284</v>
      </c>
      <c r="D36">
        <v>1200</v>
      </c>
      <c r="E36" s="22">
        <v>3.45</v>
      </c>
      <c r="F36" s="22">
        <f t="shared" si="2"/>
        <v>4140</v>
      </c>
      <c r="G36" s="31"/>
      <c r="H36" s="31"/>
      <c r="I36" s="31">
        <v>15.99</v>
      </c>
      <c r="J36" s="31">
        <v>0.8</v>
      </c>
      <c r="K36" s="22">
        <f t="shared" si="5"/>
        <v>4155.99</v>
      </c>
      <c r="M36" s="26">
        <v>40540</v>
      </c>
      <c r="N36">
        <v>617</v>
      </c>
      <c r="O36" t="s">
        <v>284</v>
      </c>
      <c r="P36">
        <v>1200</v>
      </c>
      <c r="Q36" s="22">
        <v>3.47</v>
      </c>
      <c r="R36" s="22">
        <f t="shared" si="3"/>
        <v>4164</v>
      </c>
      <c r="S36" s="31"/>
      <c r="T36" s="31"/>
      <c r="U36" s="31">
        <v>15.99</v>
      </c>
      <c r="V36" s="31">
        <v>0.8</v>
      </c>
      <c r="W36" s="31"/>
      <c r="X36" s="22">
        <f t="shared" si="6"/>
        <v>4148.01</v>
      </c>
      <c r="Y36" s="22">
        <f t="shared" si="4"/>
        <v>-7.9799999999995634</v>
      </c>
    </row>
    <row r="37" spans="1:25" x14ac:dyDescent="0.25">
      <c r="A37" s="26">
        <v>40213</v>
      </c>
      <c r="B37">
        <v>1720</v>
      </c>
      <c r="C37" t="s">
        <v>277</v>
      </c>
      <c r="D37">
        <v>900</v>
      </c>
      <c r="E37" s="22">
        <v>4.8499999999999996</v>
      </c>
      <c r="F37" s="22">
        <f t="shared" si="2"/>
        <v>4365</v>
      </c>
      <c r="G37" s="31"/>
      <c r="H37" s="31">
        <f>2.37*(F37/SUM(F37:F38))</f>
        <v>1.1393226872246696</v>
      </c>
      <c r="I37" s="31">
        <v>15.99</v>
      </c>
      <c r="J37" s="31">
        <v>0.8</v>
      </c>
      <c r="K37" s="22">
        <f t="shared" si="5"/>
        <v>4382.1293226872249</v>
      </c>
      <c r="M37" s="26">
        <v>40246</v>
      </c>
      <c r="N37">
        <v>1286</v>
      </c>
      <c r="O37" t="s">
        <v>277</v>
      </c>
      <c r="P37">
        <v>900</v>
      </c>
      <c r="Q37" s="22">
        <v>5.15</v>
      </c>
      <c r="R37" s="22">
        <f t="shared" si="3"/>
        <v>4635</v>
      </c>
      <c r="S37" s="31"/>
      <c r="T37" s="31"/>
      <c r="U37" s="31">
        <v>15.99</v>
      </c>
      <c r="V37" s="31">
        <v>0.8</v>
      </c>
      <c r="W37" s="31"/>
      <c r="X37" s="22">
        <f t="shared" si="6"/>
        <v>4619.01</v>
      </c>
      <c r="Y37" s="22">
        <f t="shared" si="4"/>
        <v>236.88067731277533</v>
      </c>
    </row>
    <row r="38" spans="1:25" x14ac:dyDescent="0.25">
      <c r="A38" s="26">
        <v>40260</v>
      </c>
      <c r="B38">
        <v>957</v>
      </c>
      <c r="C38" t="s">
        <v>285</v>
      </c>
      <c r="D38">
        <v>4100</v>
      </c>
      <c r="E38" s="22">
        <v>1.1499999999999999</v>
      </c>
      <c r="F38" s="22">
        <f t="shared" si="2"/>
        <v>4715</v>
      </c>
      <c r="G38" s="31"/>
      <c r="H38" s="31">
        <f>2.37*(F38/SUM(F37:F38))</f>
        <v>1.2306773127753303</v>
      </c>
      <c r="I38" s="31">
        <v>15.99</v>
      </c>
      <c r="J38" s="31">
        <v>0.8</v>
      </c>
      <c r="K38" s="22">
        <f t="shared" si="5"/>
        <v>4732.2206773127755</v>
      </c>
      <c r="M38" s="26">
        <v>40472</v>
      </c>
      <c r="N38" s="28">
        <v>8957713</v>
      </c>
      <c r="O38" t="s">
        <v>285</v>
      </c>
      <c r="P38">
        <v>4100</v>
      </c>
      <c r="Q38" s="22">
        <v>1.1599999999999999</v>
      </c>
      <c r="R38" s="22">
        <f t="shared" si="3"/>
        <v>4756</v>
      </c>
      <c r="S38" s="31"/>
      <c r="T38" s="31"/>
      <c r="U38" s="31">
        <v>15.99</v>
      </c>
      <c r="V38" s="31">
        <v>0.8</v>
      </c>
      <c r="W38" s="31"/>
      <c r="X38" s="22">
        <f t="shared" si="6"/>
        <v>4740.01</v>
      </c>
      <c r="Y38" s="22">
        <f t="shared" si="4"/>
        <v>7.7893226872247396</v>
      </c>
    </row>
    <row r="39" spans="1:25" x14ac:dyDescent="0.25">
      <c r="A39" s="10">
        <v>41604</v>
      </c>
      <c r="B39">
        <v>368</v>
      </c>
      <c r="C39" t="s">
        <v>286</v>
      </c>
      <c r="D39">
        <v>1400</v>
      </c>
      <c r="E39" s="22">
        <v>0.47</v>
      </c>
      <c r="F39" s="22">
        <f t="shared" si="2"/>
        <v>658</v>
      </c>
      <c r="G39" s="22">
        <v>0.18</v>
      </c>
      <c r="H39" s="22">
        <v>0.03</v>
      </c>
      <c r="I39" s="22">
        <v>15.99</v>
      </c>
      <c r="J39" s="22">
        <v>0.8</v>
      </c>
      <c r="K39" s="22">
        <f t="shared" si="5"/>
        <v>674.19999999999993</v>
      </c>
      <c r="M39" s="10">
        <v>41634</v>
      </c>
      <c r="N39">
        <v>189</v>
      </c>
      <c r="O39" t="s">
        <v>286</v>
      </c>
      <c r="P39">
        <v>1400</v>
      </c>
      <c r="Q39" s="22">
        <v>0.62</v>
      </c>
      <c r="R39" s="22">
        <f t="shared" si="3"/>
        <v>868</v>
      </c>
      <c r="S39" s="22">
        <v>0.23</v>
      </c>
      <c r="T39" s="22">
        <v>0.04</v>
      </c>
      <c r="U39" s="22">
        <v>15.99</v>
      </c>
      <c r="V39" s="22">
        <v>0.8</v>
      </c>
      <c r="W39" s="22">
        <v>0</v>
      </c>
      <c r="X39" s="22">
        <f t="shared" si="6"/>
        <v>851.74</v>
      </c>
      <c r="Y39" s="22">
        <f t="shared" si="4"/>
        <v>177.54000000000008</v>
      </c>
    </row>
    <row r="40" spans="1:25" x14ac:dyDescent="0.25">
      <c r="A40" s="10">
        <v>41614</v>
      </c>
      <c r="B40">
        <v>228</v>
      </c>
      <c r="C40" t="s">
        <v>287</v>
      </c>
      <c r="D40">
        <v>4500</v>
      </c>
      <c r="E40" s="22">
        <v>0.22</v>
      </c>
      <c r="F40" s="22">
        <f t="shared" si="2"/>
        <v>990</v>
      </c>
      <c r="G40" s="22">
        <v>0.27</v>
      </c>
      <c r="H40" s="22">
        <v>0.04</v>
      </c>
      <c r="I40" s="22">
        <v>15.99</v>
      </c>
      <c r="J40" s="22">
        <v>0.8</v>
      </c>
      <c r="K40" s="22">
        <f t="shared" si="5"/>
        <v>1006.3</v>
      </c>
      <c r="M40" s="10">
        <v>41617</v>
      </c>
      <c r="N40">
        <v>244</v>
      </c>
      <c r="O40" t="s">
        <v>287</v>
      </c>
      <c r="P40">
        <v>4500</v>
      </c>
      <c r="Q40" s="22">
        <v>0.27</v>
      </c>
      <c r="R40" s="22">
        <f t="shared" si="3"/>
        <v>1215</v>
      </c>
      <c r="S40" s="22">
        <v>0.33</v>
      </c>
      <c r="T40" s="22">
        <v>0.06</v>
      </c>
      <c r="U40" s="23">
        <v>20.71</v>
      </c>
      <c r="V40" s="22">
        <v>1.03</v>
      </c>
      <c r="W40" s="22">
        <v>0</v>
      </c>
      <c r="X40" s="22">
        <f t="shared" si="6"/>
        <v>1193.9000000000001</v>
      </c>
      <c r="Y40" s="22">
        <f t="shared" si="4"/>
        <v>187.60000000000014</v>
      </c>
    </row>
    <row r="41" spans="1:25" x14ac:dyDescent="0.25">
      <c r="A41" s="10">
        <v>41619</v>
      </c>
      <c r="B41">
        <v>294</v>
      </c>
      <c r="C41" t="s">
        <v>288</v>
      </c>
      <c r="D41">
        <v>1000</v>
      </c>
      <c r="E41" s="22">
        <v>3.8</v>
      </c>
      <c r="F41" s="22">
        <f t="shared" si="2"/>
        <v>3800</v>
      </c>
      <c r="G41" s="22">
        <v>1.04</v>
      </c>
      <c r="H41" s="22">
        <v>0.19</v>
      </c>
      <c r="I41" s="22">
        <v>15.99</v>
      </c>
      <c r="J41" s="22">
        <v>0.8</v>
      </c>
      <c r="K41" s="22">
        <f t="shared" si="5"/>
        <v>3817.22</v>
      </c>
      <c r="M41" s="10">
        <v>41642</v>
      </c>
      <c r="N41">
        <v>279</v>
      </c>
      <c r="O41" t="s">
        <v>288</v>
      </c>
      <c r="P41">
        <v>1000</v>
      </c>
      <c r="Q41" s="22">
        <v>4</v>
      </c>
      <c r="R41" s="22">
        <f t="shared" si="3"/>
        <v>4000</v>
      </c>
      <c r="S41" s="22">
        <v>0.92</v>
      </c>
      <c r="T41" s="22">
        <v>0.21</v>
      </c>
      <c r="U41" s="22">
        <v>15.99</v>
      </c>
      <c r="V41" s="22">
        <v>0.8</v>
      </c>
      <c r="W41" s="22">
        <v>0</v>
      </c>
      <c r="X41" s="22">
        <f t="shared" si="6"/>
        <v>3982.88</v>
      </c>
      <c r="Y41" s="22">
        <f t="shared" si="4"/>
        <v>165.66000000000031</v>
      </c>
    </row>
    <row r="42" spans="1:25" x14ac:dyDescent="0.25">
      <c r="A42" s="10">
        <v>41625</v>
      </c>
      <c r="B42">
        <v>277</v>
      </c>
      <c r="C42" t="s">
        <v>287</v>
      </c>
      <c r="D42">
        <v>5300</v>
      </c>
      <c r="E42" s="22">
        <v>0.22</v>
      </c>
      <c r="F42" s="22">
        <f t="shared" si="2"/>
        <v>1166</v>
      </c>
      <c r="G42" s="22">
        <v>0.32</v>
      </c>
      <c r="H42" s="22">
        <v>0.05</v>
      </c>
      <c r="I42" s="22">
        <v>15.99</v>
      </c>
      <c r="J42" s="22">
        <v>0.8</v>
      </c>
      <c r="K42" s="22">
        <f t="shared" si="5"/>
        <v>1182.3599999999999</v>
      </c>
      <c r="M42" s="10">
        <v>41645</v>
      </c>
      <c r="N42">
        <v>256</v>
      </c>
      <c r="O42" t="s">
        <v>287</v>
      </c>
      <c r="P42">
        <v>5300</v>
      </c>
      <c r="Q42" s="22">
        <v>0.28000000000000003</v>
      </c>
      <c r="R42" s="22">
        <f t="shared" si="3"/>
        <v>1484.0000000000002</v>
      </c>
      <c r="S42" s="22">
        <v>0.4</v>
      </c>
      <c r="T42" s="22">
        <v>0.1</v>
      </c>
      <c r="U42" s="22">
        <v>15.99</v>
      </c>
      <c r="V42" s="22">
        <v>0.8</v>
      </c>
      <c r="W42" s="22">
        <v>0</v>
      </c>
      <c r="X42" s="22">
        <f t="shared" si="6"/>
        <v>1467.5100000000002</v>
      </c>
      <c r="Y42" s="22">
        <f t="shared" si="4"/>
        <v>285.15000000000032</v>
      </c>
    </row>
    <row r="43" spans="1:25" x14ac:dyDescent="0.25">
      <c r="A43" s="10">
        <v>41628</v>
      </c>
      <c r="B43">
        <v>264</v>
      </c>
      <c r="C43" t="s">
        <v>289</v>
      </c>
      <c r="D43">
        <v>15000000</v>
      </c>
      <c r="E43" s="22">
        <v>6.9999999999999994E-5</v>
      </c>
      <c r="F43" s="22">
        <f t="shared" si="2"/>
        <v>1050</v>
      </c>
      <c r="G43" s="22">
        <v>0.28000000000000003</v>
      </c>
      <c r="H43" s="22">
        <v>0.05</v>
      </c>
      <c r="I43" s="22">
        <v>15.99</v>
      </c>
      <c r="J43" s="22">
        <v>0.8</v>
      </c>
      <c r="K43" s="22">
        <f t="shared" si="5"/>
        <v>1066.32</v>
      </c>
      <c r="M43" s="30">
        <v>41717</v>
      </c>
      <c r="N43" s="28">
        <v>15070144</v>
      </c>
      <c r="O43" t="s">
        <v>289</v>
      </c>
      <c r="P43">
        <v>15000000</v>
      </c>
      <c r="Q43" s="22">
        <v>9.0000000000000006E-5</v>
      </c>
      <c r="R43" s="22">
        <f t="shared" si="3"/>
        <v>1350</v>
      </c>
      <c r="S43" s="31"/>
      <c r="T43" s="31"/>
      <c r="U43" s="31">
        <v>15.99</v>
      </c>
      <c r="V43" s="31">
        <v>0.8</v>
      </c>
      <c r="W43" s="31"/>
      <c r="X43" s="22">
        <f t="shared" si="6"/>
        <v>1334.01</v>
      </c>
      <c r="Y43" s="22">
        <f t="shared" si="4"/>
        <v>267.69000000000005</v>
      </c>
    </row>
    <row r="44" spans="1:25" x14ac:dyDescent="0.25">
      <c r="A44" s="10">
        <v>41641</v>
      </c>
      <c r="B44">
        <v>254</v>
      </c>
      <c r="C44" t="s">
        <v>290</v>
      </c>
      <c r="D44">
        <v>2700</v>
      </c>
      <c r="E44" s="22">
        <v>1.01</v>
      </c>
      <c r="F44" s="22">
        <f t="shared" si="2"/>
        <v>2727</v>
      </c>
      <c r="G44" s="22">
        <v>0.64</v>
      </c>
      <c r="H44" s="22">
        <v>0.12</v>
      </c>
      <c r="I44" s="22">
        <v>15.99</v>
      </c>
      <c r="J44" s="22">
        <v>0.8</v>
      </c>
      <c r="K44" s="22">
        <f t="shared" si="5"/>
        <v>2743.7499999999995</v>
      </c>
      <c r="M44" s="10">
        <v>41642</v>
      </c>
      <c r="N44">
        <v>279</v>
      </c>
      <c r="O44" t="s">
        <v>290</v>
      </c>
      <c r="P44">
        <v>2700</v>
      </c>
      <c r="Q44" s="22">
        <v>1.3</v>
      </c>
      <c r="R44" s="22">
        <f t="shared" si="3"/>
        <v>3510</v>
      </c>
      <c r="S44" s="22">
        <v>0.92</v>
      </c>
      <c r="T44" s="22">
        <v>0.21</v>
      </c>
      <c r="U44" s="22">
        <v>15.99</v>
      </c>
      <c r="V44" s="22">
        <v>0.8</v>
      </c>
      <c r="W44" s="22">
        <v>0</v>
      </c>
      <c r="X44" s="22">
        <f t="shared" si="6"/>
        <v>3492.88</v>
      </c>
      <c r="Y44" s="22">
        <f t="shared" si="4"/>
        <v>749.13000000000056</v>
      </c>
    </row>
    <row r="45" spans="1:25" x14ac:dyDescent="0.25">
      <c r="A45" s="10">
        <v>41641</v>
      </c>
      <c r="B45">
        <v>254</v>
      </c>
      <c r="C45" t="s">
        <v>280</v>
      </c>
      <c r="D45">
        <v>3000</v>
      </c>
      <c r="E45" s="22">
        <v>0.65</v>
      </c>
      <c r="F45" s="22">
        <f t="shared" si="2"/>
        <v>1950</v>
      </c>
      <c r="G45" s="22">
        <v>0.64</v>
      </c>
      <c r="H45" s="22">
        <v>0.12</v>
      </c>
      <c r="I45" s="22">
        <v>15.99</v>
      </c>
      <c r="J45" s="22">
        <v>0.8</v>
      </c>
      <c r="K45" s="22">
        <f t="shared" si="5"/>
        <v>1966.75</v>
      </c>
      <c r="M45" s="10">
        <v>41642</v>
      </c>
      <c r="N45">
        <v>279</v>
      </c>
      <c r="O45" t="s">
        <v>280</v>
      </c>
      <c r="P45">
        <v>3000</v>
      </c>
      <c r="Q45" s="22">
        <v>0.85</v>
      </c>
      <c r="R45" s="22">
        <f t="shared" si="3"/>
        <v>2550</v>
      </c>
      <c r="S45" s="22">
        <v>0.92</v>
      </c>
      <c r="T45" s="22">
        <v>0.21</v>
      </c>
      <c r="U45" s="22">
        <v>15.99</v>
      </c>
      <c r="V45" s="22">
        <v>0.8</v>
      </c>
      <c r="W45" s="22">
        <v>0</v>
      </c>
      <c r="X45" s="22">
        <f t="shared" si="6"/>
        <v>2532.88</v>
      </c>
      <c r="Y45" s="22">
        <f t="shared" si="4"/>
        <v>566.13000000000011</v>
      </c>
    </row>
    <row r="46" spans="1:25" x14ac:dyDescent="0.25">
      <c r="A46" s="29">
        <v>41654</v>
      </c>
      <c r="B46" s="28">
        <v>15104493</v>
      </c>
      <c r="C46" s="28" t="s">
        <v>291</v>
      </c>
      <c r="D46" s="28">
        <v>30000</v>
      </c>
      <c r="E46" s="32">
        <v>0.13</v>
      </c>
      <c r="F46" s="32">
        <f t="shared" si="2"/>
        <v>3900</v>
      </c>
      <c r="G46" s="32"/>
      <c r="H46" s="32"/>
      <c r="I46" s="32">
        <v>15.99</v>
      </c>
      <c r="J46" s="32">
        <v>0.8</v>
      </c>
      <c r="K46" s="32">
        <f t="shared" si="5"/>
        <v>3915.99</v>
      </c>
      <c r="M46" s="10">
        <v>41758</v>
      </c>
      <c r="N46" s="28">
        <v>15273303</v>
      </c>
      <c r="O46" t="s">
        <v>291</v>
      </c>
      <c r="P46">
        <v>30000</v>
      </c>
      <c r="Q46" s="22">
        <v>0.13</v>
      </c>
      <c r="R46" s="22">
        <f t="shared" si="3"/>
        <v>3900</v>
      </c>
      <c r="S46" s="31"/>
      <c r="T46" s="31"/>
      <c r="U46" s="31">
        <v>15.99</v>
      </c>
      <c r="V46" s="31">
        <v>0.8</v>
      </c>
      <c r="W46" s="31"/>
      <c r="X46" s="22">
        <f t="shared" si="6"/>
        <v>3884.01</v>
      </c>
      <c r="Y46" s="22">
        <f t="shared" si="4"/>
        <v>-31.979999999999563</v>
      </c>
    </row>
    <row r="47" spans="1:25" x14ac:dyDescent="0.25">
      <c r="A47" s="29">
        <v>41660</v>
      </c>
      <c r="B47" s="28">
        <v>15114144</v>
      </c>
      <c r="C47" s="28" t="s">
        <v>292</v>
      </c>
      <c r="D47" s="28">
        <v>3000</v>
      </c>
      <c r="E47" s="32">
        <v>1.04</v>
      </c>
      <c r="F47" s="32">
        <f t="shared" si="2"/>
        <v>3120</v>
      </c>
      <c r="G47" s="32"/>
      <c r="H47" s="32">
        <f>3.35*(F47/SUM(F47:F48))</f>
        <v>1.7078431372549019</v>
      </c>
      <c r="I47" s="32">
        <v>15.99</v>
      </c>
      <c r="J47" s="32">
        <v>0.8</v>
      </c>
      <c r="K47" s="32">
        <f t="shared" si="5"/>
        <v>3137.6978431372545</v>
      </c>
      <c r="M47" s="29">
        <v>41660</v>
      </c>
      <c r="N47" s="28">
        <v>15114495</v>
      </c>
      <c r="O47" s="28" t="s">
        <v>292</v>
      </c>
      <c r="P47" s="28">
        <v>3000</v>
      </c>
      <c r="Q47" s="32">
        <v>1.0900000000000001</v>
      </c>
      <c r="R47" s="32">
        <f t="shared" si="3"/>
        <v>3270.0000000000005</v>
      </c>
      <c r="S47" s="32"/>
      <c r="T47" s="32"/>
      <c r="U47" s="32">
        <v>15.99</v>
      </c>
      <c r="V47" s="32">
        <v>0.8</v>
      </c>
      <c r="W47" s="32"/>
      <c r="X47" s="32">
        <f t="shared" si="6"/>
        <v>3254.0100000000007</v>
      </c>
      <c r="Y47" s="32">
        <f t="shared" si="4"/>
        <v>116.31215686274618</v>
      </c>
    </row>
    <row r="48" spans="1:25" x14ac:dyDescent="0.25">
      <c r="A48" s="29">
        <v>41660</v>
      </c>
      <c r="B48" s="28">
        <v>15113971</v>
      </c>
      <c r="C48" s="28" t="s">
        <v>293</v>
      </c>
      <c r="D48" s="28">
        <v>10000</v>
      </c>
      <c r="E48" s="32">
        <v>0.3</v>
      </c>
      <c r="F48" s="32">
        <f t="shared" si="2"/>
        <v>3000</v>
      </c>
      <c r="G48" s="32"/>
      <c r="H48" s="32">
        <f>3.35*(F48/SUM(F47:F48))</f>
        <v>1.642156862745098</v>
      </c>
      <c r="I48" s="32">
        <v>15.99</v>
      </c>
      <c r="J48" s="32">
        <v>0.8</v>
      </c>
      <c r="K48" s="32">
        <f t="shared" si="5"/>
        <v>3017.632156862745</v>
      </c>
      <c r="M48" s="10">
        <v>41814</v>
      </c>
      <c r="N48" s="28">
        <v>15133940</v>
      </c>
      <c r="O48" t="s">
        <v>293</v>
      </c>
      <c r="P48">
        <v>10000</v>
      </c>
      <c r="Q48" s="22">
        <v>0.34</v>
      </c>
      <c r="R48" s="22">
        <f t="shared" si="3"/>
        <v>3400.0000000000005</v>
      </c>
      <c r="S48" s="31"/>
      <c r="T48" s="31"/>
      <c r="U48" s="31">
        <v>15.99</v>
      </c>
      <c r="V48" s="31">
        <v>0.8</v>
      </c>
      <c r="W48" s="31"/>
      <c r="X48" s="22">
        <f t="shared" si="6"/>
        <v>3384.0100000000007</v>
      </c>
      <c r="Y48" s="22">
        <f t="shared" si="4"/>
        <v>366.3778431372557</v>
      </c>
    </row>
    <row r="49" spans="1:26" x14ac:dyDescent="0.25">
      <c r="A49" s="29">
        <v>41660</v>
      </c>
      <c r="B49" s="28">
        <v>15113970</v>
      </c>
      <c r="C49" s="28" t="s">
        <v>294</v>
      </c>
      <c r="D49" s="28">
        <v>100</v>
      </c>
      <c r="E49" s="32">
        <v>27.1</v>
      </c>
      <c r="F49" s="32">
        <f t="shared" si="2"/>
        <v>2710</v>
      </c>
      <c r="G49" s="32"/>
      <c r="H49" s="32"/>
      <c r="I49" s="32">
        <v>15.99</v>
      </c>
      <c r="J49" s="32">
        <v>0.8</v>
      </c>
      <c r="K49" s="32">
        <f t="shared" si="5"/>
        <v>2725.99</v>
      </c>
      <c r="M49" s="10">
        <v>43028</v>
      </c>
      <c r="N49">
        <v>202271</v>
      </c>
      <c r="O49" t="s">
        <v>294</v>
      </c>
      <c r="P49">
        <v>100</v>
      </c>
      <c r="Q49" s="22">
        <v>30.5</v>
      </c>
      <c r="R49" s="22">
        <f t="shared" si="3"/>
        <v>3050</v>
      </c>
      <c r="S49" s="22">
        <f t="shared" ref="S49" si="7">R49*0.0275%</f>
        <v>0.83875</v>
      </c>
      <c r="T49" s="22">
        <f t="shared" ref="T49" si="8">R49*0.005%</f>
        <v>0.1525</v>
      </c>
      <c r="U49" s="88">
        <v>2.4900000000000002</v>
      </c>
      <c r="V49" s="22">
        <f t="shared" ref="V49" si="9">U49*5%</f>
        <v>0.12450000000000001</v>
      </c>
      <c r="W49" s="22">
        <v>0</v>
      </c>
      <c r="X49" s="22">
        <f t="shared" si="6"/>
        <v>3046.5187500000002</v>
      </c>
      <c r="Y49" s="22">
        <f t="shared" si="4"/>
        <v>320.5287500000004</v>
      </c>
    </row>
    <row r="50" spans="1:26" x14ac:dyDescent="0.25">
      <c r="A50" s="29">
        <v>41660</v>
      </c>
      <c r="B50" s="28">
        <v>15114241</v>
      </c>
      <c r="C50" s="28" t="s">
        <v>280</v>
      </c>
      <c r="D50" s="28">
        <v>4000</v>
      </c>
      <c r="E50" s="32">
        <v>0.66</v>
      </c>
      <c r="F50" s="32">
        <f t="shared" si="2"/>
        <v>2640</v>
      </c>
      <c r="G50" s="32"/>
      <c r="H50" s="32"/>
      <c r="I50" s="32">
        <v>15.99</v>
      </c>
      <c r="J50" s="32">
        <v>0.8</v>
      </c>
      <c r="K50" s="32">
        <f t="shared" si="5"/>
        <v>2655.99</v>
      </c>
      <c r="M50" s="20"/>
      <c r="N50" s="20"/>
      <c r="O50" s="65" t="s">
        <v>280</v>
      </c>
      <c r="P50" s="21">
        <v>27</v>
      </c>
      <c r="Q50" s="34">
        <v>14</v>
      </c>
      <c r="R50" s="34">
        <f t="shared" si="3"/>
        <v>378</v>
      </c>
      <c r="S50" s="35"/>
      <c r="T50" s="35"/>
      <c r="U50" s="35"/>
      <c r="V50" s="35"/>
      <c r="W50" s="35"/>
      <c r="X50" s="34">
        <f t="shared" si="6"/>
        <v>378</v>
      </c>
      <c r="Y50" s="34">
        <f t="shared" si="4"/>
        <v>-2277.9899999999998</v>
      </c>
    </row>
    <row r="51" spans="1:26" x14ac:dyDescent="0.25">
      <c r="A51" s="29">
        <v>41660</v>
      </c>
      <c r="B51" s="28">
        <v>15114218</v>
      </c>
      <c r="C51" s="28" t="s">
        <v>286</v>
      </c>
      <c r="D51" s="28">
        <v>6000</v>
      </c>
      <c r="E51" s="32">
        <v>0.74</v>
      </c>
      <c r="F51" s="32">
        <f t="shared" si="2"/>
        <v>4440</v>
      </c>
      <c r="G51" s="32"/>
      <c r="H51" s="32"/>
      <c r="I51" s="32">
        <v>15.99</v>
      </c>
      <c r="J51" s="32">
        <v>0.8</v>
      </c>
      <c r="K51" s="32">
        <f t="shared" si="5"/>
        <v>4455.99</v>
      </c>
      <c r="L51" s="104"/>
      <c r="M51" s="29">
        <v>41660</v>
      </c>
      <c r="N51" s="28">
        <v>15116461</v>
      </c>
      <c r="O51" s="28" t="s">
        <v>286</v>
      </c>
      <c r="P51" s="28">
        <v>6000</v>
      </c>
      <c r="Q51" s="32">
        <v>0.79</v>
      </c>
      <c r="R51" s="32">
        <f t="shared" si="3"/>
        <v>4740</v>
      </c>
      <c r="S51" s="32"/>
      <c r="T51" s="32"/>
      <c r="U51" s="32">
        <v>15.99</v>
      </c>
      <c r="V51" s="32">
        <v>0.8</v>
      </c>
      <c r="W51" s="32"/>
      <c r="X51" s="32">
        <f t="shared" si="6"/>
        <v>4724.01</v>
      </c>
      <c r="Y51" s="32">
        <f t="shared" si="4"/>
        <v>268.02000000000044</v>
      </c>
    </row>
    <row r="52" spans="1:26" x14ac:dyDescent="0.25">
      <c r="A52" s="121">
        <v>41660</v>
      </c>
      <c r="B52" s="91">
        <v>15114284</v>
      </c>
      <c r="C52" s="91" t="s">
        <v>295</v>
      </c>
      <c r="D52" s="91">
        <v>1200</v>
      </c>
      <c r="E52" s="92">
        <v>3.3</v>
      </c>
      <c r="F52" s="92">
        <f t="shared" si="2"/>
        <v>3960</v>
      </c>
      <c r="G52" s="92"/>
      <c r="H52" s="92"/>
      <c r="I52" s="92">
        <v>15.99</v>
      </c>
      <c r="J52" s="92">
        <v>0.8</v>
      </c>
      <c r="K52" s="92">
        <f t="shared" si="5"/>
        <v>3975.99</v>
      </c>
      <c r="L52" s="45"/>
      <c r="M52" s="93"/>
      <c r="N52" s="93"/>
      <c r="O52" s="94" t="s">
        <v>356</v>
      </c>
      <c r="P52" s="94">
        <v>132</v>
      </c>
      <c r="Q52" s="95">
        <v>22.99</v>
      </c>
      <c r="R52" s="95">
        <f t="shared" si="3"/>
        <v>3034.68</v>
      </c>
      <c r="S52" s="96"/>
      <c r="T52" s="96"/>
      <c r="U52" s="96"/>
      <c r="V52" s="96"/>
      <c r="W52" s="96"/>
      <c r="X52" s="95">
        <f t="shared" si="6"/>
        <v>3034.68</v>
      </c>
      <c r="Y52" s="95">
        <f>X52-K52*0.936</f>
        <v>-686.84664000000021</v>
      </c>
    </row>
    <row r="53" spans="1:26" x14ac:dyDescent="0.25">
      <c r="A53" s="112"/>
      <c r="B53" s="112"/>
      <c r="C53" s="112"/>
      <c r="D53" s="112"/>
      <c r="E53" s="64"/>
      <c r="F53" s="64"/>
      <c r="G53" s="64"/>
      <c r="H53" s="64"/>
      <c r="I53" s="64"/>
      <c r="J53" s="64"/>
      <c r="K53" s="64"/>
      <c r="L53" s="104"/>
      <c r="M53" s="20"/>
      <c r="N53" s="20"/>
      <c r="O53" s="21" t="s">
        <v>339</v>
      </c>
      <c r="P53" s="21">
        <v>3</v>
      </c>
      <c r="Q53" s="34">
        <v>56.76</v>
      </c>
      <c r="R53" s="34">
        <f t="shared" ref="R53" si="10">P53*Q53</f>
        <v>170.28</v>
      </c>
      <c r="S53" s="35"/>
      <c r="T53" s="35"/>
      <c r="U53" s="35"/>
      <c r="V53" s="35"/>
      <c r="W53" s="35"/>
      <c r="X53" s="34">
        <f t="shared" ref="X53" si="11">R53-S53-T53-U53-W53</f>
        <v>170.28</v>
      </c>
      <c r="Y53" s="34">
        <f>X53-K52*0.064</f>
        <v>-84.183359999999993</v>
      </c>
    </row>
    <row r="54" spans="1:26" x14ac:dyDescent="0.25">
      <c r="A54" s="29">
        <v>41667</v>
      </c>
      <c r="B54" s="91">
        <v>15129144</v>
      </c>
      <c r="C54" s="91" t="s">
        <v>287</v>
      </c>
      <c r="D54" s="91">
        <v>11100</v>
      </c>
      <c r="E54" s="92">
        <v>0.28999999999999998</v>
      </c>
      <c r="F54" s="92">
        <f t="shared" si="2"/>
        <v>3219</v>
      </c>
      <c r="G54" s="92"/>
      <c r="H54" s="92"/>
      <c r="I54" s="92">
        <v>15.99</v>
      </c>
      <c r="J54" s="92">
        <v>0.8</v>
      </c>
      <c r="K54" s="92">
        <f t="shared" si="5"/>
        <v>3234.99</v>
      </c>
      <c r="L54" s="45"/>
      <c r="M54" s="93"/>
      <c r="N54" s="93"/>
      <c r="O54" s="94" t="s">
        <v>357</v>
      </c>
      <c r="P54" s="94">
        <v>11</v>
      </c>
      <c r="Q54" s="95">
        <v>0.77</v>
      </c>
      <c r="R54" s="95">
        <f t="shared" si="3"/>
        <v>8.4700000000000006</v>
      </c>
      <c r="S54" s="96"/>
      <c r="T54" s="96"/>
      <c r="U54" s="96"/>
      <c r="V54" s="96"/>
      <c r="W54" s="96"/>
      <c r="X54" s="95">
        <f t="shared" si="6"/>
        <v>8.4700000000000006</v>
      </c>
      <c r="Y54" s="95">
        <f t="shared" si="4"/>
        <v>-3226.52</v>
      </c>
    </row>
    <row r="55" spans="1:26" x14ac:dyDescent="0.25">
      <c r="A55" s="29">
        <v>41668</v>
      </c>
      <c r="B55" s="28">
        <v>15132609</v>
      </c>
      <c r="C55" s="28" t="s">
        <v>296</v>
      </c>
      <c r="D55" s="28">
        <v>600</v>
      </c>
      <c r="E55" s="32">
        <v>5.2</v>
      </c>
      <c r="F55" s="32">
        <f t="shared" si="2"/>
        <v>3120</v>
      </c>
      <c r="G55" s="32"/>
      <c r="H55" s="32"/>
      <c r="I55" s="32">
        <v>15.99</v>
      </c>
      <c r="J55" s="32">
        <v>0.8</v>
      </c>
      <c r="K55" s="32">
        <f t="shared" si="5"/>
        <v>3135.99</v>
      </c>
      <c r="M55" s="10">
        <v>41718</v>
      </c>
      <c r="N55" s="28">
        <v>15133831</v>
      </c>
      <c r="O55" t="s">
        <v>296</v>
      </c>
      <c r="P55">
        <v>600</v>
      </c>
      <c r="Q55" s="22">
        <v>6.05</v>
      </c>
      <c r="R55" s="22">
        <f t="shared" si="3"/>
        <v>3630</v>
      </c>
      <c r="S55" s="31"/>
      <c r="T55" s="31"/>
      <c r="U55" s="31">
        <v>15.99</v>
      </c>
      <c r="V55" s="31">
        <v>0.8</v>
      </c>
      <c r="W55" s="31"/>
      <c r="X55" s="22">
        <f t="shared" si="6"/>
        <v>3614.01</v>
      </c>
      <c r="Y55" s="22">
        <f t="shared" si="4"/>
        <v>478.02000000000044</v>
      </c>
    </row>
    <row r="56" spans="1:26" x14ac:dyDescent="0.25">
      <c r="A56" s="29">
        <v>41669</v>
      </c>
      <c r="B56" s="28">
        <v>15135063</v>
      </c>
      <c r="C56" s="28" t="s">
        <v>290</v>
      </c>
      <c r="D56" s="28">
        <v>4200</v>
      </c>
      <c r="E56" s="32">
        <v>0.95</v>
      </c>
      <c r="F56" s="32">
        <f t="shared" si="2"/>
        <v>3990</v>
      </c>
      <c r="G56" s="32"/>
      <c r="H56" s="32">
        <f>2.06*(F56/SUM(F56:F57))</f>
        <v>0.97849999999999993</v>
      </c>
      <c r="I56" s="32">
        <v>15.99</v>
      </c>
      <c r="J56" s="32">
        <v>0.8</v>
      </c>
      <c r="K56" s="32">
        <f t="shared" si="5"/>
        <v>4006.9684999999999</v>
      </c>
      <c r="M56" s="10">
        <v>41726</v>
      </c>
      <c r="N56" s="28">
        <v>15135613</v>
      </c>
      <c r="O56" t="s">
        <v>290</v>
      </c>
      <c r="P56">
        <v>4200</v>
      </c>
      <c r="Q56" s="22">
        <v>1.05</v>
      </c>
      <c r="R56" s="22">
        <f t="shared" si="3"/>
        <v>4410</v>
      </c>
      <c r="S56" s="31"/>
      <c r="T56" s="31"/>
      <c r="U56" s="31">
        <v>15.99</v>
      </c>
      <c r="V56" s="31">
        <v>0.8</v>
      </c>
      <c r="W56" s="31"/>
      <c r="X56" s="22">
        <f t="shared" si="6"/>
        <v>4394.01</v>
      </c>
      <c r="Y56" s="22">
        <f t="shared" si="4"/>
        <v>387.04150000000027</v>
      </c>
    </row>
    <row r="57" spans="1:26" x14ac:dyDescent="0.25">
      <c r="A57" s="29">
        <v>41669</v>
      </c>
      <c r="B57" s="28">
        <v>15135061</v>
      </c>
      <c r="C57" s="28" t="s">
        <v>268</v>
      </c>
      <c r="D57" s="28">
        <v>300</v>
      </c>
      <c r="E57" s="32">
        <v>14.7</v>
      </c>
      <c r="F57" s="32">
        <f t="shared" si="2"/>
        <v>4410</v>
      </c>
      <c r="G57" s="32"/>
      <c r="H57" s="32">
        <f>2.06*(F57/SUM(F56:F57))</f>
        <v>1.0815000000000001</v>
      </c>
      <c r="I57" s="32">
        <v>15.99</v>
      </c>
      <c r="J57" s="32">
        <v>0.8</v>
      </c>
      <c r="K57" s="32">
        <f t="shared" si="5"/>
        <v>4427.0715</v>
      </c>
      <c r="M57" s="10">
        <v>41761</v>
      </c>
      <c r="N57" s="28">
        <v>15291158</v>
      </c>
      <c r="O57" t="s">
        <v>268</v>
      </c>
      <c r="P57">
        <v>300</v>
      </c>
      <c r="Q57" s="22">
        <v>17.7</v>
      </c>
      <c r="R57" s="22">
        <f t="shared" si="3"/>
        <v>5310</v>
      </c>
      <c r="S57" s="31"/>
      <c r="T57" s="31"/>
      <c r="U57" s="31">
        <v>15.99</v>
      </c>
      <c r="V57" s="31">
        <v>0.8</v>
      </c>
      <c r="W57" s="31"/>
      <c r="X57" s="22">
        <f t="shared" si="6"/>
        <v>5294.01</v>
      </c>
      <c r="Y57" s="22">
        <f t="shared" si="4"/>
        <v>866.9385000000002</v>
      </c>
    </row>
    <row r="58" spans="1:26" x14ac:dyDescent="0.25">
      <c r="A58" s="29">
        <v>41680</v>
      </c>
      <c r="B58" s="28">
        <v>15160387</v>
      </c>
      <c r="C58" s="28" t="s">
        <v>286</v>
      </c>
      <c r="D58" s="28">
        <v>7000</v>
      </c>
      <c r="E58" s="32">
        <v>0.67</v>
      </c>
      <c r="F58" s="32">
        <f t="shared" si="2"/>
        <v>4690</v>
      </c>
      <c r="G58" s="32"/>
      <c r="H58" s="32"/>
      <c r="I58" s="32">
        <v>15.99</v>
      </c>
      <c r="J58" s="32">
        <v>0.8</v>
      </c>
      <c r="K58" s="32">
        <f t="shared" si="5"/>
        <v>4705.99</v>
      </c>
      <c r="M58" s="20"/>
      <c r="N58" s="20"/>
      <c r="O58" s="65" t="s">
        <v>286</v>
      </c>
      <c r="P58" s="21">
        <v>70</v>
      </c>
      <c r="Q58" s="34">
        <v>7.5</v>
      </c>
      <c r="R58" s="34">
        <f t="shared" si="3"/>
        <v>525</v>
      </c>
      <c r="S58" s="35"/>
      <c r="T58" s="35"/>
      <c r="U58" s="35"/>
      <c r="V58" s="35"/>
      <c r="W58" s="35"/>
      <c r="X58" s="34">
        <f t="shared" si="6"/>
        <v>525</v>
      </c>
      <c r="Y58" s="34">
        <f t="shared" si="4"/>
        <v>-4180.99</v>
      </c>
    </row>
    <row r="59" spans="1:26" x14ac:dyDescent="0.25">
      <c r="A59" s="10">
        <v>41725</v>
      </c>
      <c r="B59" s="28">
        <v>15254837</v>
      </c>
      <c r="C59" t="s">
        <v>288</v>
      </c>
      <c r="D59">
        <v>1500</v>
      </c>
      <c r="E59" s="22">
        <v>3.29</v>
      </c>
      <c r="F59" s="22">
        <f t="shared" si="2"/>
        <v>4935</v>
      </c>
      <c r="G59" s="31"/>
      <c r="H59" s="31"/>
      <c r="I59" s="31">
        <v>15.99</v>
      </c>
      <c r="J59" s="31">
        <v>0.8</v>
      </c>
      <c r="K59" s="22">
        <f t="shared" si="5"/>
        <v>4950.99</v>
      </c>
      <c r="M59" s="20"/>
      <c r="N59" s="20"/>
      <c r="O59" s="65" t="s">
        <v>288</v>
      </c>
      <c r="P59" s="21">
        <v>150</v>
      </c>
      <c r="Q59" s="34">
        <v>0.98</v>
      </c>
      <c r="R59" s="34">
        <f t="shared" si="3"/>
        <v>147</v>
      </c>
      <c r="S59" s="35"/>
      <c r="T59" s="35"/>
      <c r="U59" s="35"/>
      <c r="V59" s="35"/>
      <c r="W59" s="35"/>
      <c r="X59" s="34">
        <f t="shared" si="6"/>
        <v>147</v>
      </c>
      <c r="Y59" s="34">
        <f t="shared" si="4"/>
        <v>-4803.99</v>
      </c>
    </row>
    <row r="60" spans="1:26" x14ac:dyDescent="0.25">
      <c r="A60" s="10">
        <v>41768</v>
      </c>
      <c r="B60" s="28">
        <v>15422960</v>
      </c>
      <c r="C60" t="s">
        <v>289</v>
      </c>
      <c r="D60">
        <v>50000000</v>
      </c>
      <c r="E60" s="39">
        <v>8.0000000000000007E-5</v>
      </c>
      <c r="F60" s="22">
        <f t="shared" si="2"/>
        <v>4000.0000000000005</v>
      </c>
      <c r="G60" s="31"/>
      <c r="H60" s="31"/>
      <c r="I60" s="31">
        <v>15.99</v>
      </c>
      <c r="J60" s="31">
        <v>0.8</v>
      </c>
      <c r="K60" s="22">
        <f t="shared" si="5"/>
        <v>4015.9900000000002</v>
      </c>
      <c r="M60" s="10">
        <v>41806</v>
      </c>
      <c r="N60" s="28">
        <v>15450856</v>
      </c>
      <c r="O60" t="s">
        <v>289</v>
      </c>
      <c r="P60">
        <v>50000000</v>
      </c>
      <c r="Q60" s="39">
        <v>9.0000000000000006E-5</v>
      </c>
      <c r="R60" s="22">
        <f t="shared" si="3"/>
        <v>4500</v>
      </c>
      <c r="S60" s="31"/>
      <c r="T60" s="31"/>
      <c r="U60" s="31">
        <v>15.99</v>
      </c>
      <c r="V60" s="31">
        <v>0.8</v>
      </c>
      <c r="W60" s="31"/>
      <c r="X60" s="22">
        <f t="shared" si="6"/>
        <v>4484.01</v>
      </c>
      <c r="Y60" s="22">
        <f t="shared" si="4"/>
        <v>468.02</v>
      </c>
    </row>
    <row r="61" spans="1:26" x14ac:dyDescent="0.25">
      <c r="A61" s="10">
        <v>41773</v>
      </c>
      <c r="B61" s="28">
        <v>15424067</v>
      </c>
      <c r="C61" t="s">
        <v>297</v>
      </c>
      <c r="D61">
        <v>12800</v>
      </c>
      <c r="E61" s="22">
        <v>0.25</v>
      </c>
      <c r="F61" s="22">
        <f t="shared" si="2"/>
        <v>3200</v>
      </c>
      <c r="G61" s="31"/>
      <c r="H61" s="31"/>
      <c r="I61" s="31">
        <v>15.99</v>
      </c>
      <c r="J61" s="31">
        <v>0.8</v>
      </c>
      <c r="K61" s="22">
        <f t="shared" si="5"/>
        <v>3215.99</v>
      </c>
      <c r="L61" s="104"/>
      <c r="M61" s="10">
        <v>41796</v>
      </c>
      <c r="N61" s="28">
        <v>15488529</v>
      </c>
      <c r="O61" t="s">
        <v>297</v>
      </c>
      <c r="P61">
        <v>12800</v>
      </c>
      <c r="Q61" s="22">
        <v>0.3</v>
      </c>
      <c r="R61" s="22">
        <f t="shared" si="3"/>
        <v>3840</v>
      </c>
      <c r="S61" s="31"/>
      <c r="T61" s="31"/>
      <c r="U61" s="31">
        <v>15.99</v>
      </c>
      <c r="V61" s="31">
        <v>0.8</v>
      </c>
      <c r="W61" s="31"/>
      <c r="X61" s="22">
        <f t="shared" si="6"/>
        <v>3824.01</v>
      </c>
      <c r="Y61" s="22">
        <f t="shared" si="4"/>
        <v>608.02000000000044</v>
      </c>
    </row>
    <row r="62" spans="1:26" x14ac:dyDescent="0.25">
      <c r="A62" s="42">
        <v>41815</v>
      </c>
      <c r="B62" s="91">
        <v>15488903</v>
      </c>
      <c r="C62" s="43" t="s">
        <v>298</v>
      </c>
      <c r="D62" s="43">
        <v>23000</v>
      </c>
      <c r="E62" s="109">
        <v>1.7000000000000001E-4</v>
      </c>
      <c r="F62" s="44">
        <f t="shared" si="2"/>
        <v>3.91</v>
      </c>
      <c r="G62" s="110"/>
      <c r="H62" s="110"/>
      <c r="I62" s="110">
        <v>0</v>
      </c>
      <c r="J62" s="110">
        <v>0</v>
      </c>
      <c r="K62" s="44">
        <f t="shared" si="5"/>
        <v>3.91</v>
      </c>
      <c r="L62" s="45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</row>
    <row r="63" spans="1:26" x14ac:dyDescent="0.25">
      <c r="A63" s="10">
        <v>41831</v>
      </c>
      <c r="B63" s="28">
        <v>15488903</v>
      </c>
      <c r="C63" t="s">
        <v>298</v>
      </c>
      <c r="D63">
        <v>500000</v>
      </c>
      <c r="E63" s="39">
        <v>1.7000000000000001E-4</v>
      </c>
      <c r="F63" s="22">
        <f t="shared" si="2"/>
        <v>85</v>
      </c>
      <c r="G63" s="31"/>
      <c r="H63" s="31"/>
      <c r="I63" s="31">
        <v>0</v>
      </c>
      <c r="J63" s="31">
        <v>0</v>
      </c>
      <c r="K63" s="22">
        <f t="shared" si="5"/>
        <v>85</v>
      </c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</row>
    <row r="64" spans="1:26" x14ac:dyDescent="0.25">
      <c r="A64" s="10">
        <v>41836</v>
      </c>
      <c r="B64" s="28">
        <v>15488903</v>
      </c>
      <c r="C64" t="s">
        <v>298</v>
      </c>
      <c r="D64">
        <v>3477000</v>
      </c>
      <c r="E64" s="39">
        <v>1.7000000000000001E-4</v>
      </c>
      <c r="F64" s="22">
        <f t="shared" si="2"/>
        <v>591.09</v>
      </c>
      <c r="G64" s="31"/>
      <c r="H64" s="31"/>
      <c r="I64" s="31">
        <v>15.99</v>
      </c>
      <c r="J64" s="31">
        <v>0.8</v>
      </c>
      <c r="K64" s="22">
        <f t="shared" si="5"/>
        <v>607.08000000000004</v>
      </c>
      <c r="M64" s="29">
        <v>41837</v>
      </c>
      <c r="N64" s="28">
        <v>15664559</v>
      </c>
      <c r="O64" s="28" t="s">
        <v>298</v>
      </c>
      <c r="P64" s="28">
        <v>4000000</v>
      </c>
      <c r="Q64" s="40">
        <v>2.4000000000000001E-4</v>
      </c>
      <c r="R64" s="32">
        <f t="shared" si="3"/>
        <v>960</v>
      </c>
      <c r="S64" s="32"/>
      <c r="T64" s="32"/>
      <c r="U64" s="32">
        <v>15.99</v>
      </c>
      <c r="V64" s="32">
        <v>0.8</v>
      </c>
      <c r="W64" s="32"/>
      <c r="X64" s="32">
        <f>R64-S64-T64-U64-W64</f>
        <v>944.01</v>
      </c>
      <c r="Y64" s="32">
        <f>X64-SUM(K62:K64)+W64</f>
        <v>248.01999999999998</v>
      </c>
    </row>
    <row r="65" spans="1:30" x14ac:dyDescent="0.25">
      <c r="A65" s="101">
        <v>41823</v>
      </c>
      <c r="B65" s="114">
        <v>15626146</v>
      </c>
      <c r="C65" s="102" t="s">
        <v>299</v>
      </c>
      <c r="D65" s="102">
        <v>25</v>
      </c>
      <c r="E65" s="113">
        <v>2.5000000000000001E-4</v>
      </c>
      <c r="F65" s="63">
        <f t="shared" si="2"/>
        <v>6.2500000000000003E-3</v>
      </c>
      <c r="G65" s="115"/>
      <c r="H65" s="115"/>
      <c r="I65" s="115">
        <v>0</v>
      </c>
      <c r="J65" s="115">
        <v>0</v>
      </c>
      <c r="K65" s="63">
        <f t="shared" si="5"/>
        <v>6.2500000000000003E-3</v>
      </c>
      <c r="L65" s="104"/>
      <c r="M65" s="64"/>
      <c r="N65" s="64"/>
      <c r="O65" s="64"/>
      <c r="P65" s="64"/>
      <c r="Q65" s="64"/>
      <c r="R65" s="64"/>
      <c r="S65" s="64"/>
      <c r="T65" s="64"/>
      <c r="U65" s="64"/>
      <c r="V65" s="64"/>
      <c r="W65" s="64"/>
      <c r="X65" s="64"/>
      <c r="Y65" s="64"/>
    </row>
    <row r="66" spans="1:30" x14ac:dyDescent="0.25">
      <c r="A66" s="29">
        <v>41848</v>
      </c>
      <c r="B66" s="28">
        <v>15701852</v>
      </c>
      <c r="C66" s="28" t="s">
        <v>300</v>
      </c>
      <c r="D66" s="28">
        <v>1900</v>
      </c>
      <c r="E66" s="32">
        <v>1.39</v>
      </c>
      <c r="F66" s="32">
        <f t="shared" si="2"/>
        <v>2641</v>
      </c>
      <c r="G66" s="32"/>
      <c r="H66" s="32">
        <f>2.28*(F66/SUM(F66:F67))</f>
        <v>1.1667273784150356</v>
      </c>
      <c r="I66" s="32">
        <v>15.99</v>
      </c>
      <c r="J66" s="32">
        <v>0.8</v>
      </c>
      <c r="K66" s="32">
        <f t="shared" si="5"/>
        <v>2658.1567273784149</v>
      </c>
      <c r="L66" s="45"/>
      <c r="M66" s="20"/>
      <c r="N66" s="20"/>
      <c r="O66" s="65" t="s">
        <v>300</v>
      </c>
      <c r="P66" s="21">
        <v>3</v>
      </c>
      <c r="Q66" s="34">
        <v>1.62</v>
      </c>
      <c r="R66" s="34">
        <f t="shared" si="3"/>
        <v>4.8600000000000003</v>
      </c>
      <c r="S66" s="35"/>
      <c r="T66" s="35"/>
      <c r="U66" s="35"/>
      <c r="V66" s="35"/>
      <c r="W66" s="35"/>
      <c r="X66" s="34">
        <f t="shared" ref="X66:X74" si="12">R66-S66-T66-U66-W66</f>
        <v>4.8600000000000003</v>
      </c>
      <c r="Y66" s="34">
        <f t="shared" ref="Y66:Y74" si="13">X66-K66+W66</f>
        <v>-2653.2967273784147</v>
      </c>
    </row>
    <row r="67" spans="1:30" x14ac:dyDescent="0.25">
      <c r="A67" s="42">
        <v>41848</v>
      </c>
      <c r="B67" s="91">
        <v>15046492</v>
      </c>
      <c r="C67" s="43" t="s">
        <v>301</v>
      </c>
      <c r="D67" s="43">
        <v>252000000</v>
      </c>
      <c r="E67" s="109">
        <v>1.0000000000000001E-5</v>
      </c>
      <c r="F67" s="44">
        <f t="shared" si="2"/>
        <v>2520</v>
      </c>
      <c r="G67" s="110"/>
      <c r="H67" s="110">
        <f>2.28*(F67/SUM(F66:F67))</f>
        <v>1.113272621584964</v>
      </c>
      <c r="I67" s="110">
        <v>15.99</v>
      </c>
      <c r="J67" s="110">
        <v>0.8</v>
      </c>
      <c r="K67" s="44">
        <f t="shared" ref="K67:K84" si="14">F67+G67+H67+I67</f>
        <v>2537.1032726215849</v>
      </c>
      <c r="L67" s="45"/>
      <c r="M67" s="93"/>
      <c r="N67" s="93"/>
      <c r="O67" s="108" t="s">
        <v>301</v>
      </c>
      <c r="P67" s="94">
        <v>252</v>
      </c>
      <c r="Q67" s="95">
        <v>2.5</v>
      </c>
      <c r="R67" s="95">
        <f t="shared" si="3"/>
        <v>630</v>
      </c>
      <c r="S67" s="96"/>
      <c r="T67" s="96"/>
      <c r="U67" s="96"/>
      <c r="V67" s="96"/>
      <c r="W67" s="96"/>
      <c r="X67" s="95">
        <f t="shared" si="12"/>
        <v>630</v>
      </c>
      <c r="Y67" s="95">
        <f t="shared" si="13"/>
        <v>-1907.1032726215849</v>
      </c>
    </row>
    <row r="68" spans="1:30" x14ac:dyDescent="0.25">
      <c r="A68" s="112"/>
      <c r="B68" s="112"/>
      <c r="C68" s="112"/>
      <c r="D68" s="112"/>
      <c r="E68" s="64"/>
      <c r="F68" s="64"/>
      <c r="G68" s="64"/>
      <c r="H68" s="64"/>
      <c r="I68" s="64"/>
      <c r="J68" s="64"/>
      <c r="K68" s="64"/>
      <c r="L68" s="104"/>
      <c r="M68" s="101">
        <v>43112</v>
      </c>
      <c r="N68" s="102">
        <v>300342</v>
      </c>
      <c r="O68" s="102" t="s">
        <v>345</v>
      </c>
      <c r="P68" s="102">
        <v>1100</v>
      </c>
      <c r="Q68" s="63">
        <v>0.05</v>
      </c>
      <c r="R68" s="63">
        <f>P68*Q68</f>
        <v>55</v>
      </c>
      <c r="S68" s="63">
        <f>R68*0.0275%</f>
        <v>1.5125000000000001E-2</v>
      </c>
      <c r="T68" s="63">
        <f>R68*0.005%</f>
        <v>2.7500000000000003E-3</v>
      </c>
      <c r="U68" s="103">
        <v>2.4900000000000002</v>
      </c>
      <c r="V68" s="63">
        <f>U68*5%</f>
        <v>0.12450000000000001</v>
      </c>
      <c r="W68" s="63">
        <v>0</v>
      </c>
      <c r="X68" s="63">
        <f>R68-S68-T68-U68-W68</f>
        <v>52.492125000000001</v>
      </c>
      <c r="Y68" s="63">
        <f t="shared" ref="Y68" si="15">X68-K68+W68</f>
        <v>52.492125000000001</v>
      </c>
    </row>
    <row r="69" spans="1:30" x14ac:dyDescent="0.25">
      <c r="A69" s="42">
        <v>41850</v>
      </c>
      <c r="B69" s="91">
        <v>15701805</v>
      </c>
      <c r="C69" s="43" t="s">
        <v>302</v>
      </c>
      <c r="D69" s="43">
        <v>4800</v>
      </c>
      <c r="E69" s="44">
        <v>1.05</v>
      </c>
      <c r="F69" s="44">
        <f t="shared" ref="F69:F133" si="16">D69*E69</f>
        <v>5040</v>
      </c>
      <c r="G69" s="110"/>
      <c r="H69" s="110"/>
      <c r="I69" s="110">
        <v>15.99</v>
      </c>
      <c r="J69" s="110">
        <v>0.8</v>
      </c>
      <c r="K69" s="44">
        <f t="shared" si="14"/>
        <v>5055.99</v>
      </c>
      <c r="L69" s="45"/>
      <c r="M69" s="42">
        <v>42978</v>
      </c>
      <c r="N69" s="43">
        <v>153852</v>
      </c>
      <c r="O69" s="43" t="s">
        <v>337</v>
      </c>
      <c r="P69" s="43">
        <v>40</v>
      </c>
      <c r="Q69" s="44">
        <v>11.5</v>
      </c>
      <c r="R69" s="44">
        <f t="shared" ref="R69:R132" si="17">P69*Q69</f>
        <v>460</v>
      </c>
      <c r="S69" s="44">
        <f t="shared" ref="S69" si="18">R69*0.0275%</f>
        <v>0.1265</v>
      </c>
      <c r="T69" s="44">
        <f t="shared" ref="T69" si="19">R69*0.005%</f>
        <v>2.3E-2</v>
      </c>
      <c r="U69" s="44">
        <v>2.4900000000000002</v>
      </c>
      <c r="V69" s="44">
        <f>U69*5%</f>
        <v>0.12450000000000001</v>
      </c>
      <c r="W69" s="44">
        <v>0</v>
      </c>
      <c r="X69" s="44">
        <f t="shared" si="12"/>
        <v>457.36049999999994</v>
      </c>
      <c r="Y69" s="44">
        <f>X69-(K69/4800*400)+W69</f>
        <v>36.027999999999906</v>
      </c>
    </row>
    <row r="70" spans="1:30" x14ac:dyDescent="0.25">
      <c r="A70" s="24"/>
      <c r="B70" s="25"/>
      <c r="C70" s="25"/>
      <c r="D70" s="25"/>
      <c r="E70" s="33"/>
      <c r="F70" s="33"/>
      <c r="G70" s="33"/>
      <c r="H70" s="33"/>
      <c r="I70" s="33"/>
      <c r="J70" s="33"/>
      <c r="K70" s="33"/>
      <c r="M70" s="10">
        <v>42984</v>
      </c>
      <c r="N70">
        <v>158634</v>
      </c>
      <c r="O70" t="s">
        <v>337</v>
      </c>
      <c r="P70">
        <v>40</v>
      </c>
      <c r="Q70" s="22">
        <v>11.5</v>
      </c>
      <c r="R70" s="22">
        <f t="shared" ref="R70:R71" si="20">P70*Q70</f>
        <v>460</v>
      </c>
      <c r="S70" s="22">
        <f t="shared" ref="S70:S71" si="21">R70*0.0275%</f>
        <v>0.1265</v>
      </c>
      <c r="T70" s="22">
        <f t="shared" ref="T70:T71" si="22">R70*0.005%</f>
        <v>2.3E-2</v>
      </c>
      <c r="U70" s="22">
        <v>2.4900000000000002</v>
      </c>
      <c r="V70" s="22">
        <f>U70*5%</f>
        <v>0.12450000000000001</v>
      </c>
      <c r="W70" s="22">
        <v>0</v>
      </c>
      <c r="X70" s="22">
        <f t="shared" ref="X70:X71" si="23">R70-S70-T70-U70-W70</f>
        <v>457.36049999999994</v>
      </c>
      <c r="Y70" s="22">
        <f>X70-(K69/4800*400)+W70</f>
        <v>36.027999999999906</v>
      </c>
    </row>
    <row r="71" spans="1:30" x14ac:dyDescent="0.25">
      <c r="A71" s="111"/>
      <c r="B71" s="112"/>
      <c r="C71" s="112"/>
      <c r="D71" s="112"/>
      <c r="E71" s="64"/>
      <c r="F71" s="64"/>
      <c r="G71" s="64"/>
      <c r="H71" s="64"/>
      <c r="I71" s="64"/>
      <c r="J71" s="64"/>
      <c r="K71" s="64"/>
      <c r="L71" s="104"/>
      <c r="M71" s="101">
        <v>42984</v>
      </c>
      <c r="N71" s="102">
        <v>158634</v>
      </c>
      <c r="O71" s="102" t="s">
        <v>302</v>
      </c>
      <c r="P71" s="102">
        <v>400</v>
      </c>
      <c r="Q71" s="63">
        <v>11.5</v>
      </c>
      <c r="R71" s="63">
        <f t="shared" si="20"/>
        <v>4600</v>
      </c>
      <c r="S71" s="63">
        <f t="shared" si="21"/>
        <v>1.2650000000000001</v>
      </c>
      <c r="T71" s="63">
        <f t="shared" si="22"/>
        <v>0.23</v>
      </c>
      <c r="U71" s="63">
        <v>2.4900000000000002</v>
      </c>
      <c r="V71" s="63">
        <f>U71*5%</f>
        <v>0.12450000000000001</v>
      </c>
      <c r="W71" s="63">
        <v>0</v>
      </c>
      <c r="X71" s="63">
        <f t="shared" si="23"/>
        <v>4596.0150000000003</v>
      </c>
      <c r="Y71" s="63">
        <f>X71-(K69/4800*4000)+W71</f>
        <v>382.69000000000051</v>
      </c>
    </row>
    <row r="72" spans="1:30" x14ac:dyDescent="0.25">
      <c r="A72" s="10">
        <v>41851</v>
      </c>
      <c r="B72" s="28">
        <v>15701580</v>
      </c>
      <c r="C72" t="s">
        <v>297</v>
      </c>
      <c r="D72">
        <v>13600</v>
      </c>
      <c r="E72" s="22">
        <v>0.26</v>
      </c>
      <c r="F72" s="22">
        <f t="shared" si="16"/>
        <v>3536</v>
      </c>
      <c r="G72" s="31"/>
      <c r="H72" s="31"/>
      <c r="I72" s="31">
        <v>15.99</v>
      </c>
      <c r="J72" s="31">
        <v>0.8</v>
      </c>
      <c r="K72" s="22">
        <f t="shared" si="14"/>
        <v>3551.99</v>
      </c>
      <c r="L72" s="45"/>
      <c r="M72" s="10">
        <v>41943</v>
      </c>
      <c r="N72">
        <v>236409</v>
      </c>
      <c r="O72" t="s">
        <v>297</v>
      </c>
      <c r="P72">
        <v>13600</v>
      </c>
      <c r="Q72" s="22">
        <v>0.3</v>
      </c>
      <c r="R72" s="22">
        <f t="shared" si="17"/>
        <v>4080</v>
      </c>
      <c r="S72" s="22">
        <v>1.1200000000000001</v>
      </c>
      <c r="T72" s="22">
        <v>0.2</v>
      </c>
      <c r="U72" s="22">
        <v>15.99</v>
      </c>
      <c r="V72" s="22">
        <v>0.79</v>
      </c>
      <c r="W72" s="22">
        <v>0</v>
      </c>
      <c r="X72" s="22">
        <f t="shared" si="12"/>
        <v>4062.6900000000005</v>
      </c>
      <c r="Y72" s="22">
        <f t="shared" si="13"/>
        <v>510.70000000000073</v>
      </c>
    </row>
    <row r="73" spans="1:30" x14ac:dyDescent="0.25">
      <c r="A73" s="10">
        <v>41851</v>
      </c>
      <c r="B73" s="28">
        <v>15701731</v>
      </c>
      <c r="C73" t="s">
        <v>303</v>
      </c>
      <c r="D73">
        <v>13800</v>
      </c>
      <c r="E73" s="22">
        <v>0.18</v>
      </c>
      <c r="F73" s="22">
        <f t="shared" si="16"/>
        <v>2484</v>
      </c>
      <c r="G73" s="31"/>
      <c r="H73" s="31"/>
      <c r="I73" s="31">
        <v>15.99</v>
      </c>
      <c r="J73" s="31">
        <v>0.8</v>
      </c>
      <c r="K73" s="22">
        <f t="shared" si="14"/>
        <v>2499.9899999999998</v>
      </c>
      <c r="M73" s="10">
        <v>42961</v>
      </c>
      <c r="N73">
        <v>142215</v>
      </c>
      <c r="O73" t="s">
        <v>334</v>
      </c>
      <c r="P73">
        <v>138</v>
      </c>
      <c r="Q73" s="22">
        <v>18.149999999999999</v>
      </c>
      <c r="R73" s="22">
        <f t="shared" si="17"/>
        <v>2504.6999999999998</v>
      </c>
      <c r="S73" s="22">
        <f t="shared" ref="S73" si="24">R73*0.0275%</f>
        <v>0.68879250000000003</v>
      </c>
      <c r="T73" s="22">
        <f t="shared" ref="T73" si="25">R73*0.005%</f>
        <v>0.12523499999999999</v>
      </c>
      <c r="U73" s="22">
        <v>4</v>
      </c>
      <c r="V73" s="22">
        <f t="shared" ref="V73" si="26">U73*5%</f>
        <v>0.2</v>
      </c>
      <c r="W73" s="22">
        <v>0</v>
      </c>
      <c r="X73" s="22">
        <f t="shared" si="12"/>
        <v>2499.8859724999998</v>
      </c>
      <c r="Y73" s="22">
        <f t="shared" si="13"/>
        <v>-0.10402750000002925</v>
      </c>
    </row>
    <row r="74" spans="1:30" x14ac:dyDescent="0.25">
      <c r="A74" s="29">
        <v>41880</v>
      </c>
      <c r="B74" s="28">
        <v>15799889</v>
      </c>
      <c r="C74" s="28" t="s">
        <v>269</v>
      </c>
      <c r="D74" s="28">
        <v>200</v>
      </c>
      <c r="E74" s="32">
        <v>26</v>
      </c>
      <c r="F74" s="32">
        <f t="shared" si="16"/>
        <v>5200</v>
      </c>
      <c r="G74" s="32"/>
      <c r="H74" s="32"/>
      <c r="I74" s="32">
        <v>15.99</v>
      </c>
      <c r="J74" s="32">
        <v>0.8</v>
      </c>
      <c r="K74" s="32">
        <f t="shared" si="14"/>
        <v>5215.99</v>
      </c>
      <c r="L74" s="104"/>
      <c r="M74" s="10">
        <v>42753</v>
      </c>
      <c r="N74">
        <v>65063</v>
      </c>
      <c r="O74" t="s">
        <v>269</v>
      </c>
      <c r="P74">
        <v>200</v>
      </c>
      <c r="Q74" s="22">
        <v>29.6</v>
      </c>
      <c r="R74" s="22">
        <f t="shared" si="17"/>
        <v>5920</v>
      </c>
      <c r="S74" s="22">
        <v>2.46</v>
      </c>
      <c r="T74" s="22">
        <v>0.45</v>
      </c>
      <c r="U74" s="22">
        <v>8.99</v>
      </c>
      <c r="V74" s="22">
        <v>0.45</v>
      </c>
      <c r="W74" s="22">
        <v>0</v>
      </c>
      <c r="X74" s="22">
        <f t="shared" si="12"/>
        <v>5908.1</v>
      </c>
      <c r="Y74" s="22">
        <f t="shared" si="13"/>
        <v>692.11000000000058</v>
      </c>
    </row>
    <row r="75" spans="1:30" x14ac:dyDescent="0.25">
      <c r="A75" s="42">
        <v>41904</v>
      </c>
      <c r="B75" s="43">
        <v>186587</v>
      </c>
      <c r="C75" s="43" t="s">
        <v>303</v>
      </c>
      <c r="D75" s="43">
        <v>1</v>
      </c>
      <c r="E75" s="44">
        <v>0.13</v>
      </c>
      <c r="F75" s="44">
        <f t="shared" si="16"/>
        <v>0.13</v>
      </c>
      <c r="G75" s="44">
        <v>0</v>
      </c>
      <c r="H75" s="44">
        <v>0</v>
      </c>
      <c r="I75" s="44">
        <v>7.99</v>
      </c>
      <c r="J75" s="44">
        <v>0.39</v>
      </c>
      <c r="K75" s="44">
        <f t="shared" si="14"/>
        <v>8.120000000000001</v>
      </c>
      <c r="L75" s="45"/>
      <c r="M75" s="116"/>
      <c r="N75" s="116"/>
      <c r="O75" s="116"/>
      <c r="P75" s="116"/>
      <c r="Q75" s="116"/>
      <c r="R75" s="116"/>
      <c r="S75" s="116"/>
      <c r="T75" s="116"/>
      <c r="U75" s="116"/>
      <c r="V75" s="116"/>
      <c r="W75" s="116"/>
      <c r="X75" s="116"/>
      <c r="Y75" s="116"/>
    </row>
    <row r="76" spans="1:30" x14ac:dyDescent="0.25">
      <c r="A76" s="10">
        <v>41905</v>
      </c>
      <c r="B76">
        <v>188169</v>
      </c>
      <c r="C76" t="s">
        <v>303</v>
      </c>
      <c r="D76">
        <v>3001</v>
      </c>
      <c r="E76" s="22">
        <v>0.13</v>
      </c>
      <c r="F76" s="22">
        <f t="shared" si="16"/>
        <v>390.13</v>
      </c>
      <c r="G76" s="22">
        <v>0.1</v>
      </c>
      <c r="H76" s="22">
        <v>0.01</v>
      </c>
      <c r="I76" s="22">
        <v>0</v>
      </c>
      <c r="J76" s="22">
        <v>0</v>
      </c>
      <c r="K76" s="22">
        <f t="shared" si="14"/>
        <v>390.24</v>
      </c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</row>
    <row r="77" spans="1:30" x14ac:dyDescent="0.25">
      <c r="A77" s="10">
        <v>41906</v>
      </c>
      <c r="B77">
        <v>189482</v>
      </c>
      <c r="C77" t="s">
        <v>303</v>
      </c>
      <c r="D77">
        <v>1</v>
      </c>
      <c r="E77" s="22">
        <v>0.13</v>
      </c>
      <c r="F77" s="22">
        <f t="shared" si="16"/>
        <v>0.13</v>
      </c>
      <c r="G77" s="22">
        <v>0</v>
      </c>
      <c r="H77" s="22">
        <f>3.53*(F77/SUM(F77:F78))</f>
        <v>1.7649999999999999</v>
      </c>
      <c r="I77" s="22">
        <v>0</v>
      </c>
      <c r="J77" s="22">
        <v>0</v>
      </c>
      <c r="K77" s="22">
        <f t="shared" si="14"/>
        <v>1.895</v>
      </c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</row>
    <row r="78" spans="1:30" x14ac:dyDescent="0.25">
      <c r="A78" s="10">
        <v>41907</v>
      </c>
      <c r="B78">
        <v>190711</v>
      </c>
      <c r="C78" t="s">
        <v>303</v>
      </c>
      <c r="D78">
        <v>1</v>
      </c>
      <c r="E78" s="22">
        <v>0.13</v>
      </c>
      <c r="F78" s="22">
        <f t="shared" si="16"/>
        <v>0.13</v>
      </c>
      <c r="G78" s="22">
        <v>0</v>
      </c>
      <c r="H78" s="22">
        <f>3.53*(F78/SUM(F77:F78))</f>
        <v>1.7649999999999999</v>
      </c>
      <c r="I78" s="22">
        <v>0</v>
      </c>
      <c r="J78" s="22">
        <v>0</v>
      </c>
      <c r="K78" s="22">
        <f t="shared" si="14"/>
        <v>1.895</v>
      </c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</row>
    <row r="79" spans="1:30" x14ac:dyDescent="0.25">
      <c r="A79" s="10">
        <v>41908</v>
      </c>
      <c r="B79">
        <v>192007</v>
      </c>
      <c r="C79" t="s">
        <v>303</v>
      </c>
      <c r="D79">
        <v>12996</v>
      </c>
      <c r="E79" s="22">
        <v>0.13</v>
      </c>
      <c r="F79" s="22">
        <f t="shared" si="16"/>
        <v>1689.48</v>
      </c>
      <c r="G79" s="22">
        <v>0.46</v>
      </c>
      <c r="H79" s="22">
        <v>0.08</v>
      </c>
      <c r="I79" s="22">
        <v>0</v>
      </c>
      <c r="J79" s="22">
        <v>0</v>
      </c>
      <c r="K79" s="22">
        <f t="shared" si="14"/>
        <v>1690.02</v>
      </c>
      <c r="M79" s="10">
        <v>42961</v>
      </c>
      <c r="N79">
        <v>142215</v>
      </c>
      <c r="O79" t="s">
        <v>334</v>
      </c>
      <c r="P79">
        <v>160</v>
      </c>
      <c r="Q79" s="22">
        <v>18.149999999999999</v>
      </c>
      <c r="R79" s="22">
        <f t="shared" si="17"/>
        <v>2904</v>
      </c>
      <c r="S79" s="22">
        <f t="shared" ref="S79" si="27">R79*0.0275%</f>
        <v>0.79860000000000009</v>
      </c>
      <c r="T79" s="22">
        <f t="shared" ref="T79" si="28">R79*0.005%</f>
        <v>0.1452</v>
      </c>
      <c r="U79" s="22">
        <v>4</v>
      </c>
      <c r="V79" s="22">
        <f t="shared" ref="V79" si="29">U79*5%</f>
        <v>0.2</v>
      </c>
      <c r="W79" s="22">
        <v>0</v>
      </c>
      <c r="X79" s="22">
        <f t="shared" ref="X79:X132" si="30">R79-S79-T79-U79-W79</f>
        <v>2899.0562</v>
      </c>
      <c r="Y79" s="22">
        <f>X79-SUM(K75:K79)+W79</f>
        <v>806.88619999999992</v>
      </c>
      <c r="AA79" s="38" t="s">
        <v>358</v>
      </c>
      <c r="AB79" s="38">
        <f>AB80+AB82</f>
        <v>20834.720000000019</v>
      </c>
      <c r="AC79" s="41" t="s">
        <v>359</v>
      </c>
      <c r="AD79" s="38">
        <f>AD80+AD82</f>
        <v>-22069.269162500008</v>
      </c>
    </row>
    <row r="80" spans="1:30" x14ac:dyDescent="0.25">
      <c r="A80" s="42">
        <v>41915</v>
      </c>
      <c r="B80" s="43">
        <v>200360</v>
      </c>
      <c r="C80" s="43" t="s">
        <v>304</v>
      </c>
      <c r="D80" s="43">
        <v>200000000</v>
      </c>
      <c r="E80" s="109">
        <v>1.0000000000000001E-5</v>
      </c>
      <c r="F80" s="44">
        <f t="shared" si="16"/>
        <v>2000.0000000000002</v>
      </c>
      <c r="G80" s="44">
        <v>0.55000000000000004</v>
      </c>
      <c r="H80" s="44">
        <v>0.1</v>
      </c>
      <c r="I80" s="44">
        <v>15.99</v>
      </c>
      <c r="J80" s="44">
        <v>0.79</v>
      </c>
      <c r="K80" s="44">
        <f t="shared" si="14"/>
        <v>2016.64</v>
      </c>
      <c r="L80" s="45"/>
      <c r="M80" s="93"/>
      <c r="N80" s="93"/>
      <c r="O80" s="108" t="s">
        <v>304</v>
      </c>
      <c r="P80" s="94">
        <v>200</v>
      </c>
      <c r="Q80" s="95">
        <v>3.15</v>
      </c>
      <c r="R80" s="95">
        <f t="shared" si="17"/>
        <v>630</v>
      </c>
      <c r="S80" s="96"/>
      <c r="T80" s="96"/>
      <c r="U80" s="96"/>
      <c r="V80" s="96"/>
      <c r="W80" s="96"/>
      <c r="X80" s="95">
        <f t="shared" si="30"/>
        <v>630</v>
      </c>
      <c r="Y80" s="95">
        <f t="shared" ref="Y80:Y83" si="31">X80-K80+W80</f>
        <v>-1386.64</v>
      </c>
      <c r="AA80" s="46" t="s">
        <v>360</v>
      </c>
      <c r="AB80" s="22">
        <f>Y2+Y3+Y4+Y5+Y6+Y7+Y8+Y9+Y10+Y11+Y12+Y13+Y14+Y15+Y16+Y17+Y18+Y19+Y20+Y21+Y22+Y23+Y24+Y25+Y26+Y27+Y28+Y29+Y30+Y31+Y33+Y34+Y35+Y37+Y38+Y39+Y40+Y41+Y42+Y43+Y44+Y45+Y47+Y48+Y51+Y55+Y56+Y57+Y60+Y61+Y64+Y72+Y74+Y85</f>
        <v>20874.680000000018</v>
      </c>
      <c r="AC80" s="46" t="s">
        <v>360</v>
      </c>
      <c r="AD80" s="22">
        <f>Y83</f>
        <v>598.56780500000059</v>
      </c>
    </row>
    <row r="81" spans="1:30" x14ac:dyDescent="0.25">
      <c r="A81" s="111"/>
      <c r="B81" s="112"/>
      <c r="C81" s="112"/>
      <c r="D81" s="112"/>
      <c r="E81" s="64"/>
      <c r="F81" s="64"/>
      <c r="G81" s="64"/>
      <c r="H81" s="64"/>
      <c r="I81" s="64"/>
      <c r="J81" s="64"/>
      <c r="K81" s="64"/>
      <c r="L81" s="104"/>
      <c r="M81" s="101">
        <v>43112</v>
      </c>
      <c r="N81" s="102">
        <v>300342</v>
      </c>
      <c r="O81" s="102" t="s">
        <v>344</v>
      </c>
      <c r="P81" s="102">
        <v>900</v>
      </c>
      <c r="Q81" s="63">
        <v>0.05</v>
      </c>
      <c r="R81" s="63">
        <f>P81*Q81</f>
        <v>45</v>
      </c>
      <c r="S81" s="63">
        <f>R81*0.0275%</f>
        <v>1.2375000000000001E-2</v>
      </c>
      <c r="T81" s="63">
        <f>R81*0.005%</f>
        <v>2.2500000000000003E-3</v>
      </c>
      <c r="U81" s="103">
        <v>2.4900000000000002</v>
      </c>
      <c r="V81" s="63">
        <f>U81*5%</f>
        <v>0.12450000000000001</v>
      </c>
      <c r="W81" s="63">
        <v>0</v>
      </c>
      <c r="X81" s="63">
        <f>R81-S81-T81-U81-W81</f>
        <v>42.495375000000003</v>
      </c>
      <c r="Y81" s="63">
        <f>X81-K81+W81</f>
        <v>42.495375000000003</v>
      </c>
    </row>
    <row r="82" spans="1:30" x14ac:dyDescent="0.25">
      <c r="A82" s="10">
        <v>41939</v>
      </c>
      <c r="B82">
        <v>228968</v>
      </c>
      <c r="C82" t="s">
        <v>289</v>
      </c>
      <c r="D82">
        <v>32600000</v>
      </c>
      <c r="E82" s="39">
        <v>6.9999999999999994E-5</v>
      </c>
      <c r="F82" s="22">
        <f t="shared" si="16"/>
        <v>2282</v>
      </c>
      <c r="G82" s="22">
        <f t="shared" ref="G82" si="32">F82*0.0275%</f>
        <v>0.62755000000000005</v>
      </c>
      <c r="H82" s="22">
        <f>F82*0.005%</f>
        <v>0.11410000000000001</v>
      </c>
      <c r="I82" s="22">
        <v>15.99</v>
      </c>
      <c r="J82" s="22">
        <v>0.79</v>
      </c>
      <c r="K82" s="22">
        <f t="shared" si="14"/>
        <v>2298.7316499999997</v>
      </c>
      <c r="M82" s="10">
        <v>42902</v>
      </c>
      <c r="N82">
        <v>115692</v>
      </c>
      <c r="O82" t="s">
        <v>289</v>
      </c>
      <c r="P82">
        <v>32600000</v>
      </c>
      <c r="Q82" s="39">
        <v>8.0000000000000007E-5</v>
      </c>
      <c r="R82" s="22">
        <f t="shared" si="17"/>
        <v>2608</v>
      </c>
      <c r="S82" s="22">
        <f t="shared" ref="S82" si="33">R82*0.0275%</f>
        <v>0.71720000000000006</v>
      </c>
      <c r="T82" s="22">
        <f>R82*0.005%</f>
        <v>0.13040000000000002</v>
      </c>
      <c r="U82" s="22">
        <v>4</v>
      </c>
      <c r="V82" s="22">
        <v>0.2</v>
      </c>
      <c r="W82" s="22">
        <v>0</v>
      </c>
      <c r="X82" s="22">
        <f t="shared" si="30"/>
        <v>2603.1523999999999</v>
      </c>
      <c r="Y82" s="22">
        <f t="shared" si="31"/>
        <v>304.42075000000023</v>
      </c>
      <c r="AA82" s="46" t="s">
        <v>361</v>
      </c>
      <c r="AB82" s="23">
        <f>Y36+Y46</f>
        <v>-39.959999999999127</v>
      </c>
      <c r="AC82" s="46" t="s">
        <v>361</v>
      </c>
      <c r="AD82" s="22">
        <f>Y32+Y49+Y50+Y52+Y54+Y58+Y59+Y66+Y67+Y69+Y73+Y79+Y80+Y82</f>
        <v>-22667.836967500007</v>
      </c>
    </row>
    <row r="83" spans="1:30" x14ac:dyDescent="0.25">
      <c r="A83" s="10">
        <v>41954</v>
      </c>
      <c r="B83">
        <v>247516</v>
      </c>
      <c r="C83" t="s">
        <v>268</v>
      </c>
      <c r="D83">
        <v>300</v>
      </c>
      <c r="E83" s="22">
        <v>13.7</v>
      </c>
      <c r="F83" s="22">
        <f t="shared" si="16"/>
        <v>4110</v>
      </c>
      <c r="G83" s="22">
        <v>0.69</v>
      </c>
      <c r="H83" s="22">
        <v>0.12</v>
      </c>
      <c r="I83" s="22">
        <v>15.99</v>
      </c>
      <c r="J83" s="22">
        <v>0.8</v>
      </c>
      <c r="K83" s="22">
        <f t="shared" si="14"/>
        <v>4126.7999999999993</v>
      </c>
      <c r="M83" s="10">
        <v>42870</v>
      </c>
      <c r="N83">
        <v>101925</v>
      </c>
      <c r="O83" t="s">
        <v>268</v>
      </c>
      <c r="P83">
        <v>300</v>
      </c>
      <c r="Q83" s="22">
        <v>15.77</v>
      </c>
      <c r="R83" s="22">
        <f t="shared" si="17"/>
        <v>4731</v>
      </c>
      <c r="S83" s="22">
        <f t="shared" ref="S83" si="34">R83*0.0275%</f>
        <v>1.3010250000000001</v>
      </c>
      <c r="T83" s="22">
        <f>R83*0.007%</f>
        <v>0.33117000000000002</v>
      </c>
      <c r="U83" s="22">
        <v>4</v>
      </c>
      <c r="V83" s="22">
        <v>0.2</v>
      </c>
      <c r="W83" s="22">
        <v>0</v>
      </c>
      <c r="X83" s="22">
        <f t="shared" si="30"/>
        <v>4725.3678049999999</v>
      </c>
      <c r="Y83" s="22">
        <f t="shared" si="31"/>
        <v>598.56780500000059</v>
      </c>
      <c r="AA83" s="38"/>
      <c r="AB83" s="41"/>
    </row>
    <row r="84" spans="1:30" x14ac:dyDescent="0.25">
      <c r="A84" s="42">
        <v>41954</v>
      </c>
      <c r="B84" s="43">
        <v>247516</v>
      </c>
      <c r="C84" s="43" t="s">
        <v>298</v>
      </c>
      <c r="D84" s="43">
        <v>5540000</v>
      </c>
      <c r="E84" s="109">
        <v>1.7000000000000001E-4</v>
      </c>
      <c r="F84" s="44">
        <f t="shared" si="16"/>
        <v>941.80000000000007</v>
      </c>
      <c r="G84" s="44">
        <v>0.69</v>
      </c>
      <c r="H84" s="44">
        <v>0.12</v>
      </c>
      <c r="I84" s="44">
        <v>15.99</v>
      </c>
      <c r="J84" s="44">
        <v>0.8</v>
      </c>
      <c r="K84" s="44">
        <f t="shared" si="14"/>
        <v>958.60000000000014</v>
      </c>
      <c r="L84" s="45"/>
      <c r="M84" s="42">
        <v>42241</v>
      </c>
      <c r="N84" s="43">
        <v>284689</v>
      </c>
      <c r="O84" s="43" t="s">
        <v>298</v>
      </c>
      <c r="P84" s="43">
        <v>1900000</v>
      </c>
      <c r="Q84" s="109">
        <v>2.4000000000000001E-4</v>
      </c>
      <c r="R84" s="44">
        <f t="shared" si="17"/>
        <v>456</v>
      </c>
      <c r="S84" s="44">
        <v>0.12</v>
      </c>
      <c r="T84" s="44">
        <v>0.02</v>
      </c>
      <c r="U84" s="44">
        <v>9.8000000000000007</v>
      </c>
      <c r="V84" s="44">
        <v>0.51</v>
      </c>
      <c r="W84" s="44">
        <v>0</v>
      </c>
      <c r="X84" s="44">
        <f t="shared" si="30"/>
        <v>446.06</v>
      </c>
      <c r="Y84" s="44"/>
      <c r="AA84" s="38" t="s">
        <v>362</v>
      </c>
    </row>
    <row r="85" spans="1:30" x14ac:dyDescent="0.25">
      <c r="A85" s="111"/>
      <c r="B85" s="112"/>
      <c r="C85" s="112"/>
      <c r="D85" s="112"/>
      <c r="E85" s="64"/>
      <c r="F85" s="64"/>
      <c r="G85" s="64"/>
      <c r="H85" s="64"/>
      <c r="I85" s="64"/>
      <c r="J85" s="64"/>
      <c r="K85" s="64"/>
      <c r="L85" s="104"/>
      <c r="M85" s="101">
        <v>42242</v>
      </c>
      <c r="N85" s="102">
        <v>286196</v>
      </c>
      <c r="O85" s="102" t="s">
        <v>298</v>
      </c>
      <c r="P85" s="102">
        <v>3640000</v>
      </c>
      <c r="Q85" s="113">
        <v>2.4000000000000001E-4</v>
      </c>
      <c r="R85" s="63">
        <f t="shared" si="17"/>
        <v>873.6</v>
      </c>
      <c r="S85" s="63">
        <v>0.24</v>
      </c>
      <c r="T85" s="63">
        <v>0.04</v>
      </c>
      <c r="U85" s="63">
        <v>0</v>
      </c>
      <c r="V85" s="63">
        <v>0</v>
      </c>
      <c r="W85" s="63">
        <v>0</v>
      </c>
      <c r="X85" s="63">
        <f t="shared" si="30"/>
        <v>873.32</v>
      </c>
      <c r="Y85" s="63">
        <f>X84+X85-K84+SUM(W84:W85)</f>
        <v>360.78</v>
      </c>
      <c r="AA85" s="22">
        <f>AB79+AD79</f>
        <v>-1234.5491624999886</v>
      </c>
    </row>
    <row r="86" spans="1:30" s="43" customFormat="1" x14ac:dyDescent="0.25">
      <c r="A86" s="42">
        <v>42692</v>
      </c>
      <c r="B86" s="43">
        <v>51788</v>
      </c>
      <c r="C86" s="43" t="s">
        <v>271</v>
      </c>
      <c r="D86" s="43">
        <v>400</v>
      </c>
      <c r="E86" s="44">
        <v>25.45</v>
      </c>
      <c r="F86" s="22">
        <f t="shared" si="16"/>
        <v>10180</v>
      </c>
      <c r="G86" s="36">
        <f t="shared" ref="G86:G134" si="35">F86*0.0275%</f>
        <v>2.7995000000000001</v>
      </c>
      <c r="H86" s="36">
        <f t="shared" ref="H86:H134" si="36">F86*0.005%</f>
        <v>0.50900000000000001</v>
      </c>
      <c r="I86" s="44">
        <v>8.99</v>
      </c>
      <c r="J86" s="44">
        <v>0.45</v>
      </c>
      <c r="K86" s="22">
        <f t="shared" ref="K86:K106" si="37">F86+G86+H86+I86</f>
        <v>10192.298499999999</v>
      </c>
      <c r="L86" s="45"/>
      <c r="M86" s="42">
        <v>42695</v>
      </c>
      <c r="N86" s="43">
        <v>52111</v>
      </c>
      <c r="O86" s="43" t="s">
        <v>271</v>
      </c>
      <c r="P86" s="43">
        <v>400</v>
      </c>
      <c r="Q86" s="44">
        <v>28.33</v>
      </c>
      <c r="R86" s="22">
        <f t="shared" si="17"/>
        <v>11332</v>
      </c>
      <c r="S86" s="36">
        <f t="shared" ref="S86" si="38">R86*0.0275%</f>
        <v>3.1163000000000003</v>
      </c>
      <c r="T86" s="36">
        <f t="shared" ref="T86" si="39">R86*0.005%</f>
        <v>0.56659999999999999</v>
      </c>
      <c r="U86" s="44">
        <v>8.99</v>
      </c>
      <c r="V86" s="44">
        <v>0.45</v>
      </c>
      <c r="W86" s="44">
        <v>0</v>
      </c>
      <c r="X86" s="22">
        <f t="shared" si="30"/>
        <v>11319.3271</v>
      </c>
      <c r="Y86" s="22">
        <f t="shared" ref="Y86:Y132" si="40">X86-K86+W86</f>
        <v>1127.0286000000015</v>
      </c>
      <c r="Z86" s="44"/>
      <c r="AA86" s="44"/>
    </row>
    <row r="87" spans="1:30" x14ac:dyDescent="0.25">
      <c r="A87" s="10">
        <v>42692</v>
      </c>
      <c r="B87">
        <v>51788</v>
      </c>
      <c r="C87" t="s">
        <v>305</v>
      </c>
      <c r="D87" s="11">
        <v>1000</v>
      </c>
      <c r="E87" s="22">
        <v>7.83</v>
      </c>
      <c r="F87" s="22">
        <f t="shared" si="16"/>
        <v>7830</v>
      </c>
      <c r="G87" s="36">
        <f t="shared" si="35"/>
        <v>2.1532500000000003</v>
      </c>
      <c r="H87" s="36">
        <f t="shared" si="36"/>
        <v>0.39150000000000001</v>
      </c>
      <c r="I87" s="22">
        <v>8.99</v>
      </c>
      <c r="J87" s="22">
        <v>0.45</v>
      </c>
      <c r="K87" s="22">
        <f t="shared" si="37"/>
        <v>7841.5347499999998</v>
      </c>
      <c r="M87" s="10">
        <v>42781</v>
      </c>
      <c r="N87">
        <v>73668</v>
      </c>
      <c r="O87" t="s">
        <v>305</v>
      </c>
      <c r="P87">
        <v>1000</v>
      </c>
      <c r="Q87" s="36">
        <v>9.4</v>
      </c>
      <c r="R87" s="22">
        <f t="shared" si="17"/>
        <v>9400</v>
      </c>
      <c r="S87" s="36">
        <f t="shared" ref="S87:S88" si="41">R87*0.0275%</f>
        <v>2.585</v>
      </c>
      <c r="T87" s="36">
        <f t="shared" ref="T87" si="42">R87*0.005%</f>
        <v>0.47000000000000003</v>
      </c>
      <c r="U87" s="22">
        <v>4</v>
      </c>
      <c r="V87" s="22">
        <v>0.2</v>
      </c>
      <c r="W87" s="22">
        <f>R87*0.005%</f>
        <v>0.47000000000000003</v>
      </c>
      <c r="X87" s="22">
        <f t="shared" si="30"/>
        <v>9392.4750000000022</v>
      </c>
      <c r="Y87" s="22">
        <f t="shared" si="40"/>
        <v>1551.4102500000024</v>
      </c>
    </row>
    <row r="88" spans="1:30" x14ac:dyDescent="0.25">
      <c r="A88" s="10">
        <v>42695</v>
      </c>
      <c r="B88">
        <v>52111</v>
      </c>
      <c r="C88" t="s">
        <v>279</v>
      </c>
      <c r="D88">
        <v>300</v>
      </c>
      <c r="E88" s="22">
        <v>27.85</v>
      </c>
      <c r="F88" s="22">
        <f t="shared" si="16"/>
        <v>8355</v>
      </c>
      <c r="G88" s="36">
        <f t="shared" si="35"/>
        <v>2.297625</v>
      </c>
      <c r="H88" s="36">
        <f t="shared" si="36"/>
        <v>0.41775000000000001</v>
      </c>
      <c r="I88" s="22">
        <v>8.99</v>
      </c>
      <c r="J88" s="22">
        <v>0.45</v>
      </c>
      <c r="K88" s="22">
        <f t="shared" si="37"/>
        <v>8366.7053749999995</v>
      </c>
      <c r="M88" s="10">
        <v>42873</v>
      </c>
      <c r="N88">
        <v>104082</v>
      </c>
      <c r="O88" t="s">
        <v>279</v>
      </c>
      <c r="P88">
        <v>300</v>
      </c>
      <c r="Q88" s="22">
        <v>32.549999999999997</v>
      </c>
      <c r="R88" s="22">
        <f t="shared" si="17"/>
        <v>9765</v>
      </c>
      <c r="S88" s="36">
        <f t="shared" si="41"/>
        <v>2.6853750000000001</v>
      </c>
      <c r="T88" s="36">
        <f>R88*0.007%</f>
        <v>0.6835500000000001</v>
      </c>
      <c r="U88" s="22">
        <v>4</v>
      </c>
      <c r="V88" s="22">
        <v>0.2</v>
      </c>
      <c r="W88" s="22">
        <v>0</v>
      </c>
      <c r="X88" s="22">
        <f t="shared" si="30"/>
        <v>9757.6310750000011</v>
      </c>
      <c r="Y88" s="22">
        <f t="shared" si="40"/>
        <v>1390.9257000000016</v>
      </c>
      <c r="AA88" s="38" t="s">
        <v>363</v>
      </c>
    </row>
    <row r="89" spans="1:30" x14ac:dyDescent="0.25">
      <c r="A89" s="10">
        <v>42696</v>
      </c>
      <c r="B89">
        <v>52477</v>
      </c>
      <c r="C89" t="s">
        <v>306</v>
      </c>
      <c r="D89">
        <v>1000</v>
      </c>
      <c r="E89" s="22">
        <v>13.97</v>
      </c>
      <c r="F89" s="22">
        <f t="shared" si="16"/>
        <v>13970</v>
      </c>
      <c r="G89" s="36">
        <f t="shared" si="35"/>
        <v>3.8417500000000002</v>
      </c>
      <c r="H89" s="36">
        <f t="shared" si="36"/>
        <v>0.69850000000000001</v>
      </c>
      <c r="I89" s="22">
        <v>8.99</v>
      </c>
      <c r="J89" s="22">
        <v>0.45</v>
      </c>
      <c r="K89" s="22">
        <f t="shared" si="37"/>
        <v>13983.53025</v>
      </c>
      <c r="M89" s="10">
        <v>42752</v>
      </c>
      <c r="N89">
        <v>64581</v>
      </c>
      <c r="O89" t="s">
        <v>306</v>
      </c>
      <c r="P89">
        <v>1000</v>
      </c>
      <c r="Q89" s="22">
        <v>15.2</v>
      </c>
      <c r="R89" s="22">
        <f t="shared" si="17"/>
        <v>15200</v>
      </c>
      <c r="S89" s="36">
        <f t="shared" ref="S89" si="43">R89*0.0275%</f>
        <v>4.1800000000000006</v>
      </c>
      <c r="T89" s="36">
        <f t="shared" ref="T89" si="44">R89*0.005%</f>
        <v>0.76</v>
      </c>
      <c r="U89" s="22">
        <v>8.99</v>
      </c>
      <c r="V89" s="22">
        <v>0.45</v>
      </c>
      <c r="W89" s="22">
        <v>0</v>
      </c>
      <c r="X89" s="22">
        <f t="shared" si="30"/>
        <v>15186.07</v>
      </c>
      <c r="Y89" s="22">
        <f t="shared" si="40"/>
        <v>1202.5397499999999</v>
      </c>
      <c r="AA89" s="22">
        <f>X86</f>
        <v>11319.3271</v>
      </c>
    </row>
    <row r="90" spans="1:30" x14ac:dyDescent="0.25">
      <c r="A90" s="10">
        <v>42696</v>
      </c>
      <c r="B90">
        <v>52477</v>
      </c>
      <c r="C90" t="s">
        <v>282</v>
      </c>
      <c r="D90">
        <v>1000</v>
      </c>
      <c r="E90" s="22">
        <v>9.83</v>
      </c>
      <c r="F90" s="22">
        <f t="shared" si="16"/>
        <v>9830</v>
      </c>
      <c r="G90" s="36">
        <f t="shared" si="35"/>
        <v>2.7032500000000002</v>
      </c>
      <c r="H90" s="36">
        <f t="shared" si="36"/>
        <v>0.49150000000000005</v>
      </c>
      <c r="I90" s="22">
        <v>8.99</v>
      </c>
      <c r="J90" s="22">
        <v>0.45</v>
      </c>
      <c r="K90" s="22">
        <f t="shared" si="37"/>
        <v>9842.1847500000003</v>
      </c>
      <c r="M90" s="10">
        <v>42767</v>
      </c>
      <c r="N90">
        <v>69202</v>
      </c>
      <c r="O90" t="s">
        <v>282</v>
      </c>
      <c r="P90">
        <v>1000</v>
      </c>
      <c r="Q90" s="36">
        <v>12.35</v>
      </c>
      <c r="R90" s="22">
        <f t="shared" si="17"/>
        <v>12350</v>
      </c>
      <c r="S90" s="36">
        <f t="shared" ref="S90:S95" si="45">R90*0.0275%</f>
        <v>3.3962500000000002</v>
      </c>
      <c r="T90" s="36">
        <f t="shared" ref="T90:T94" si="46">R90*0.005%</f>
        <v>0.61750000000000005</v>
      </c>
      <c r="U90" s="22">
        <v>8.99</v>
      </c>
      <c r="V90" s="22">
        <v>0.45</v>
      </c>
      <c r="W90" s="22">
        <v>0.54</v>
      </c>
      <c r="X90" s="22">
        <f t="shared" si="30"/>
        <v>12336.456249999999</v>
      </c>
      <c r="Y90" s="22">
        <f t="shared" si="40"/>
        <v>2494.8114999999989</v>
      </c>
      <c r="AA90" s="38" t="s">
        <v>364</v>
      </c>
    </row>
    <row r="91" spans="1:30" x14ac:dyDescent="0.25">
      <c r="A91" s="10">
        <v>42696</v>
      </c>
      <c r="B91">
        <v>52477</v>
      </c>
      <c r="C91" t="s">
        <v>307</v>
      </c>
      <c r="D91">
        <v>400</v>
      </c>
      <c r="E91" s="22">
        <v>18.850000000000001</v>
      </c>
      <c r="F91" s="22">
        <f t="shared" si="16"/>
        <v>7540.0000000000009</v>
      </c>
      <c r="G91" s="36">
        <f t="shared" si="35"/>
        <v>2.0735000000000006</v>
      </c>
      <c r="H91" s="36">
        <f t="shared" si="36"/>
        <v>0.37700000000000006</v>
      </c>
      <c r="I91" s="22">
        <v>8.99</v>
      </c>
      <c r="J91" s="22">
        <v>0.45</v>
      </c>
      <c r="K91" s="22">
        <f t="shared" si="37"/>
        <v>7551.4405000000015</v>
      </c>
      <c r="M91" s="10">
        <v>42737</v>
      </c>
      <c r="N91">
        <v>60519</v>
      </c>
      <c r="O91" t="s">
        <v>307</v>
      </c>
      <c r="P91">
        <v>400</v>
      </c>
      <c r="Q91" s="22">
        <v>20.9</v>
      </c>
      <c r="R91" s="22">
        <f t="shared" si="17"/>
        <v>8360</v>
      </c>
      <c r="S91" s="36">
        <f t="shared" si="45"/>
        <v>2.2989999999999999</v>
      </c>
      <c r="T91" s="36">
        <f t="shared" si="46"/>
        <v>0.41800000000000004</v>
      </c>
      <c r="U91" s="22">
        <v>8.99</v>
      </c>
      <c r="V91" s="22">
        <v>0.44</v>
      </c>
      <c r="W91" s="22">
        <v>0</v>
      </c>
      <c r="X91" s="22">
        <f t="shared" si="30"/>
        <v>8348.2929999999997</v>
      </c>
      <c r="Y91" s="22">
        <f t="shared" si="40"/>
        <v>796.85249999999814</v>
      </c>
      <c r="AA91" s="22">
        <f>X96</f>
        <v>8568.2214999999997</v>
      </c>
    </row>
    <row r="92" spans="1:30" x14ac:dyDescent="0.25">
      <c r="A92" s="10">
        <v>42697</v>
      </c>
      <c r="B92">
        <v>52863</v>
      </c>
      <c r="C92" t="s">
        <v>272</v>
      </c>
      <c r="D92">
        <v>900</v>
      </c>
      <c r="E92" s="22">
        <v>8.75</v>
      </c>
      <c r="F92" s="22">
        <f t="shared" si="16"/>
        <v>7875</v>
      </c>
      <c r="G92" s="36">
        <f t="shared" si="35"/>
        <v>2.1656249999999999</v>
      </c>
      <c r="H92" s="36">
        <f t="shared" si="36"/>
        <v>0.39375000000000004</v>
      </c>
      <c r="I92" s="22">
        <v>8.99</v>
      </c>
      <c r="J92" s="22">
        <v>0.44</v>
      </c>
      <c r="K92" s="22">
        <f t="shared" si="37"/>
        <v>7886.5493749999996</v>
      </c>
      <c r="M92" s="10">
        <v>42769</v>
      </c>
      <c r="N92">
        <v>70079</v>
      </c>
      <c r="O92" t="s">
        <v>272</v>
      </c>
      <c r="P92">
        <v>900</v>
      </c>
      <c r="Q92" s="36">
        <v>9.5</v>
      </c>
      <c r="R92" s="22">
        <f t="shared" si="17"/>
        <v>8550</v>
      </c>
      <c r="S92" s="36">
        <f t="shared" si="45"/>
        <v>2.3512500000000003</v>
      </c>
      <c r="T92" s="36">
        <f t="shared" si="46"/>
        <v>0.42750000000000005</v>
      </c>
      <c r="U92" s="22">
        <v>8.99</v>
      </c>
      <c r="V92" s="22">
        <v>0.44</v>
      </c>
      <c r="W92" s="22">
        <v>0</v>
      </c>
      <c r="X92" s="22">
        <f t="shared" si="30"/>
        <v>8538.2312500000007</v>
      </c>
      <c r="Y92" s="22">
        <f t="shared" si="40"/>
        <v>651.68187500000113</v>
      </c>
      <c r="AA92" s="38" t="s">
        <v>365</v>
      </c>
    </row>
    <row r="93" spans="1:30" x14ac:dyDescent="0.25">
      <c r="A93" s="10">
        <v>42698</v>
      </c>
      <c r="B93">
        <v>53174</v>
      </c>
      <c r="C93" t="s">
        <v>308</v>
      </c>
      <c r="D93">
        <v>3600</v>
      </c>
      <c r="E93" s="22">
        <v>2.1800000000000002</v>
      </c>
      <c r="F93" s="22">
        <f t="shared" si="16"/>
        <v>7848.0000000000009</v>
      </c>
      <c r="G93" s="36">
        <f t="shared" si="35"/>
        <v>2.1582000000000003</v>
      </c>
      <c r="H93" s="36">
        <f t="shared" si="36"/>
        <v>0.39240000000000008</v>
      </c>
      <c r="I93" s="22">
        <v>8.99</v>
      </c>
      <c r="J93" s="22">
        <v>0.44</v>
      </c>
      <c r="K93" s="22">
        <f t="shared" si="37"/>
        <v>7859.5406000000003</v>
      </c>
      <c r="M93" s="10">
        <v>42767</v>
      </c>
      <c r="N93">
        <v>69202</v>
      </c>
      <c r="O93" t="s">
        <v>308</v>
      </c>
      <c r="P93">
        <v>3600</v>
      </c>
      <c r="Q93" s="36">
        <v>2.5499999999999998</v>
      </c>
      <c r="R93" s="22">
        <f t="shared" si="17"/>
        <v>9180</v>
      </c>
      <c r="S93" s="36">
        <f t="shared" si="45"/>
        <v>2.5245000000000002</v>
      </c>
      <c r="T93" s="36">
        <f t="shared" si="46"/>
        <v>0.45900000000000002</v>
      </c>
      <c r="U93" s="22">
        <v>8.99</v>
      </c>
      <c r="V93" s="22">
        <v>0.45</v>
      </c>
      <c r="W93" s="22">
        <v>0.54</v>
      </c>
      <c r="X93" s="22">
        <f t="shared" si="30"/>
        <v>9167.4864999999991</v>
      </c>
      <c r="Y93" s="22">
        <f t="shared" si="40"/>
        <v>1308.4858999999988</v>
      </c>
      <c r="AA93" s="22">
        <f>X89+X91+X99+X100+X101+X105</f>
        <v>53613.612374999997</v>
      </c>
      <c r="AB93" s="22"/>
    </row>
    <row r="94" spans="1:30" x14ac:dyDescent="0.25">
      <c r="A94" s="10">
        <v>42704</v>
      </c>
      <c r="B94">
        <v>54367</v>
      </c>
      <c r="C94" t="s">
        <v>309</v>
      </c>
      <c r="D94">
        <v>1000</v>
      </c>
      <c r="E94" s="22">
        <v>10.85</v>
      </c>
      <c r="F94" s="22">
        <f t="shared" si="16"/>
        <v>10850</v>
      </c>
      <c r="G94" s="36">
        <f t="shared" si="35"/>
        <v>2.9837500000000001</v>
      </c>
      <c r="H94" s="36">
        <f t="shared" si="36"/>
        <v>0.54249999999999998</v>
      </c>
      <c r="I94" s="22">
        <v>8.99</v>
      </c>
      <c r="J94" s="22">
        <v>0.45</v>
      </c>
      <c r="K94" s="22">
        <f t="shared" si="37"/>
        <v>10862.516249999999</v>
      </c>
      <c r="M94" s="10">
        <v>42774</v>
      </c>
      <c r="N94">
        <v>71356</v>
      </c>
      <c r="O94" t="s">
        <v>309</v>
      </c>
      <c r="P94">
        <v>1000</v>
      </c>
      <c r="Q94" s="36">
        <v>13.15</v>
      </c>
      <c r="R94" s="22">
        <f t="shared" si="17"/>
        <v>13150</v>
      </c>
      <c r="S94" s="36">
        <f t="shared" si="45"/>
        <v>3.6162500000000004</v>
      </c>
      <c r="T94" s="36">
        <f t="shared" si="46"/>
        <v>0.65750000000000008</v>
      </c>
      <c r="U94" s="22">
        <v>4</v>
      </c>
      <c r="V94" s="22">
        <v>0.2</v>
      </c>
      <c r="W94" s="22">
        <v>0</v>
      </c>
      <c r="X94" s="22">
        <f t="shared" si="30"/>
        <v>13141.726250000002</v>
      </c>
      <c r="Y94" s="22">
        <f t="shared" si="40"/>
        <v>2279.2100000000028</v>
      </c>
      <c r="AA94" s="38" t="s">
        <v>366</v>
      </c>
    </row>
    <row r="95" spans="1:30" x14ac:dyDescent="0.25">
      <c r="A95" s="10">
        <v>42704</v>
      </c>
      <c r="B95">
        <v>54367</v>
      </c>
      <c r="C95" t="s">
        <v>310</v>
      </c>
      <c r="D95">
        <v>400</v>
      </c>
      <c r="E95" s="22">
        <v>7.35</v>
      </c>
      <c r="F95" s="22">
        <f t="shared" si="16"/>
        <v>2940</v>
      </c>
      <c r="G95" s="36">
        <f t="shared" si="35"/>
        <v>0.8085</v>
      </c>
      <c r="H95" s="36">
        <f t="shared" si="36"/>
        <v>0.14700000000000002</v>
      </c>
      <c r="I95" s="22">
        <v>8.99</v>
      </c>
      <c r="J95" s="22">
        <v>0.45</v>
      </c>
      <c r="K95" s="22">
        <f t="shared" si="37"/>
        <v>2949.9454999999998</v>
      </c>
      <c r="M95" s="30">
        <v>44217</v>
      </c>
      <c r="N95" s="66">
        <v>133833</v>
      </c>
      <c r="O95" s="66" t="s">
        <v>310</v>
      </c>
      <c r="P95" s="66">
        <v>400</v>
      </c>
      <c r="Q95" s="36">
        <v>9.5</v>
      </c>
      <c r="R95" s="36">
        <f t="shared" si="17"/>
        <v>3800</v>
      </c>
      <c r="S95" s="36">
        <f t="shared" si="45"/>
        <v>1.0450000000000002</v>
      </c>
      <c r="T95" s="36">
        <f>R95*0.003%</f>
        <v>0.114</v>
      </c>
      <c r="U95" s="36">
        <f>1.99/3</f>
        <v>0.66333333333333333</v>
      </c>
      <c r="V95" s="36">
        <f>U95*6.5%</f>
        <v>4.3116666666666671E-2</v>
      </c>
      <c r="W95" s="22">
        <v>0</v>
      </c>
      <c r="X95" s="22">
        <f>R95-S95-T95-U95-V95-W95</f>
        <v>3798.1345499999998</v>
      </c>
      <c r="Y95" s="22">
        <f t="shared" si="40"/>
        <v>848.18904999999995</v>
      </c>
      <c r="AA95" s="22">
        <f>X87+X90+X92+X93+X94+X98+X102+X103+X107+X108+X109+X117</f>
        <v>121628.36407500003</v>
      </c>
    </row>
    <row r="96" spans="1:30" x14ac:dyDescent="0.25">
      <c r="A96" s="10">
        <v>42704</v>
      </c>
      <c r="B96">
        <v>54367</v>
      </c>
      <c r="C96" t="s">
        <v>277</v>
      </c>
      <c r="D96">
        <v>3000</v>
      </c>
      <c r="E96" s="22">
        <v>2.75</v>
      </c>
      <c r="F96" s="22">
        <f t="shared" si="16"/>
        <v>8250</v>
      </c>
      <c r="G96" s="36">
        <f t="shared" si="35"/>
        <v>2.2687500000000003</v>
      </c>
      <c r="H96" s="36">
        <f t="shared" si="36"/>
        <v>0.41250000000000003</v>
      </c>
      <c r="I96" s="22">
        <v>8.99</v>
      </c>
      <c r="J96" s="22">
        <v>0.45</v>
      </c>
      <c r="K96" s="22">
        <f t="shared" si="37"/>
        <v>8261.6712499999994</v>
      </c>
      <c r="M96" s="10">
        <v>42733</v>
      </c>
      <c r="N96">
        <v>60314</v>
      </c>
      <c r="O96" t="s">
        <v>277</v>
      </c>
      <c r="P96">
        <v>3000</v>
      </c>
      <c r="Q96" s="22">
        <v>2.86</v>
      </c>
      <c r="R96" s="22">
        <f t="shared" si="17"/>
        <v>8580</v>
      </c>
      <c r="S96" s="36">
        <f t="shared" ref="S96:S97" si="47">R96*0.0275%</f>
        <v>2.3595000000000002</v>
      </c>
      <c r="T96" s="36">
        <f>R96*0.005%</f>
        <v>0.42900000000000005</v>
      </c>
      <c r="U96" s="22">
        <v>8.99</v>
      </c>
      <c r="V96" s="22">
        <v>0.44</v>
      </c>
      <c r="W96" s="22">
        <v>0</v>
      </c>
      <c r="X96" s="22">
        <f t="shared" si="30"/>
        <v>8568.2214999999997</v>
      </c>
      <c r="Y96" s="22">
        <f t="shared" si="40"/>
        <v>306.55025000000023</v>
      </c>
    </row>
    <row r="97" spans="1:30" x14ac:dyDescent="0.25">
      <c r="A97" s="10">
        <v>42705</v>
      </c>
      <c r="B97">
        <v>54780</v>
      </c>
      <c r="C97" t="s">
        <v>310</v>
      </c>
      <c r="D97">
        <v>600</v>
      </c>
      <c r="E97" s="22">
        <v>7.35</v>
      </c>
      <c r="F97" s="22">
        <f t="shared" si="16"/>
        <v>4410</v>
      </c>
      <c r="G97" s="36">
        <f t="shared" si="35"/>
        <v>1.21275</v>
      </c>
      <c r="H97" s="36">
        <f t="shared" si="36"/>
        <v>0.2205</v>
      </c>
      <c r="I97" s="22">
        <v>8.99</v>
      </c>
      <c r="J97" s="22">
        <v>0.45</v>
      </c>
      <c r="K97" s="22">
        <f t="shared" si="37"/>
        <v>4420.4232499999998</v>
      </c>
      <c r="M97" s="30">
        <v>44217</v>
      </c>
      <c r="N97" s="66">
        <v>133833</v>
      </c>
      <c r="O97" s="66" t="s">
        <v>310</v>
      </c>
      <c r="P97" s="66">
        <v>600</v>
      </c>
      <c r="Q97" s="36">
        <v>9.5</v>
      </c>
      <c r="R97" s="36">
        <f t="shared" si="17"/>
        <v>5700</v>
      </c>
      <c r="S97" s="36">
        <f t="shared" si="47"/>
        <v>1.5675000000000001</v>
      </c>
      <c r="T97" s="36">
        <f>R97*0.003%</f>
        <v>0.17100000000000001</v>
      </c>
      <c r="U97" s="36">
        <f>1.99/3</f>
        <v>0.66333333333333333</v>
      </c>
      <c r="V97" s="36">
        <f>U97*6.5%</f>
        <v>4.3116666666666671E-2</v>
      </c>
      <c r="W97" s="22">
        <v>0</v>
      </c>
      <c r="X97" s="22">
        <f>R97-S97-T97-U97-V97-W97</f>
        <v>5697.5550499999999</v>
      </c>
      <c r="Y97" s="22">
        <f t="shared" si="40"/>
        <v>1277.1318000000001</v>
      </c>
    </row>
    <row r="98" spans="1:30" x14ac:dyDescent="0.25">
      <c r="A98" s="10">
        <v>42705</v>
      </c>
      <c r="B98">
        <v>54780</v>
      </c>
      <c r="C98" t="s">
        <v>311</v>
      </c>
      <c r="D98">
        <v>1000</v>
      </c>
      <c r="E98" s="22">
        <v>7.9</v>
      </c>
      <c r="F98" s="22">
        <f t="shared" si="16"/>
        <v>7900</v>
      </c>
      <c r="G98" s="36">
        <f t="shared" si="35"/>
        <v>2.1725000000000003</v>
      </c>
      <c r="H98" s="36">
        <f t="shared" si="36"/>
        <v>0.39500000000000002</v>
      </c>
      <c r="I98" s="22">
        <v>8.99</v>
      </c>
      <c r="J98" s="22">
        <v>0.45</v>
      </c>
      <c r="K98" s="22">
        <f t="shared" si="37"/>
        <v>7911.5574999999999</v>
      </c>
      <c r="M98" s="10">
        <v>42781</v>
      </c>
      <c r="N98">
        <v>73668</v>
      </c>
      <c r="O98" t="s">
        <v>311</v>
      </c>
      <c r="P98">
        <v>1000</v>
      </c>
      <c r="Q98" s="36">
        <v>9.5</v>
      </c>
      <c r="R98" s="22">
        <f t="shared" si="17"/>
        <v>9500</v>
      </c>
      <c r="S98" s="36">
        <f t="shared" ref="S98:S104" si="48">R98*0.0275%</f>
        <v>2.6125000000000003</v>
      </c>
      <c r="T98" s="36">
        <f t="shared" ref="T98:T104" si="49">R98*0.005%</f>
        <v>0.47500000000000003</v>
      </c>
      <c r="U98" s="22">
        <v>4</v>
      </c>
      <c r="V98" s="22">
        <v>0.2</v>
      </c>
      <c r="W98" s="22">
        <f>R98*0.005%</f>
        <v>0.47500000000000003</v>
      </c>
      <c r="X98" s="22">
        <f t="shared" si="30"/>
        <v>9492.4375</v>
      </c>
      <c r="Y98" s="22">
        <f t="shared" si="40"/>
        <v>1581.355</v>
      </c>
    </row>
    <row r="99" spans="1:30" x14ac:dyDescent="0.25">
      <c r="A99" s="10">
        <v>42716</v>
      </c>
      <c r="B99">
        <v>56988</v>
      </c>
      <c r="C99" t="s">
        <v>312</v>
      </c>
      <c r="D99">
        <v>200</v>
      </c>
      <c r="E99" s="22">
        <v>3.85</v>
      </c>
      <c r="F99" s="22">
        <f t="shared" si="16"/>
        <v>770</v>
      </c>
      <c r="G99" s="36">
        <f t="shared" si="35"/>
        <v>0.21175000000000002</v>
      </c>
      <c r="H99" s="36">
        <f t="shared" si="36"/>
        <v>3.85E-2</v>
      </c>
      <c r="I99" s="22">
        <v>8.99</v>
      </c>
      <c r="J99" s="22">
        <v>0.44</v>
      </c>
      <c r="K99" s="22">
        <f t="shared" si="37"/>
        <v>779.24025000000006</v>
      </c>
      <c r="M99" s="10">
        <v>42739</v>
      </c>
      <c r="N99">
        <v>61124</v>
      </c>
      <c r="O99" t="s">
        <v>312</v>
      </c>
      <c r="P99">
        <v>200</v>
      </c>
      <c r="Q99" s="22">
        <v>4.55</v>
      </c>
      <c r="R99" s="22">
        <f t="shared" si="17"/>
        <v>910</v>
      </c>
      <c r="S99" s="36">
        <f t="shared" si="48"/>
        <v>0.25025000000000003</v>
      </c>
      <c r="T99" s="36">
        <f t="shared" si="49"/>
        <v>4.5499999999999999E-2</v>
      </c>
      <c r="U99" s="22">
        <v>8.99</v>
      </c>
      <c r="V99" s="22">
        <v>0.44</v>
      </c>
      <c r="W99" s="22">
        <v>0</v>
      </c>
      <c r="X99" s="22">
        <f t="shared" si="30"/>
        <v>900.71424999999999</v>
      </c>
      <c r="Y99" s="22">
        <f t="shared" si="40"/>
        <v>121.47399999999993</v>
      </c>
    </row>
    <row r="100" spans="1:30" x14ac:dyDescent="0.25">
      <c r="A100" s="10">
        <v>42740</v>
      </c>
      <c r="B100">
        <v>61494</v>
      </c>
      <c r="C100" t="s">
        <v>313</v>
      </c>
      <c r="D100">
        <v>2500</v>
      </c>
      <c r="E100" s="22">
        <v>3.19</v>
      </c>
      <c r="F100" s="22">
        <f t="shared" si="16"/>
        <v>7975</v>
      </c>
      <c r="G100" s="36">
        <f t="shared" si="35"/>
        <v>2.1931250000000002</v>
      </c>
      <c r="H100" s="36">
        <f t="shared" si="36"/>
        <v>0.39874999999999999</v>
      </c>
      <c r="I100" s="22">
        <v>8.99</v>
      </c>
      <c r="J100" s="22">
        <v>0.44</v>
      </c>
      <c r="K100" s="22">
        <f t="shared" si="37"/>
        <v>7986.5818749999999</v>
      </c>
      <c r="M100" s="10">
        <v>42747</v>
      </c>
      <c r="N100">
        <v>63220</v>
      </c>
      <c r="O100" t="s">
        <v>313</v>
      </c>
      <c r="P100">
        <v>2500</v>
      </c>
      <c r="Q100" s="22">
        <v>3.31</v>
      </c>
      <c r="R100" s="22">
        <f t="shared" si="17"/>
        <v>8275</v>
      </c>
      <c r="S100" s="36">
        <f t="shared" si="48"/>
        <v>2.2756250000000002</v>
      </c>
      <c r="T100" s="36">
        <f t="shared" si="49"/>
        <v>0.41375000000000001</v>
      </c>
      <c r="U100" s="22">
        <v>8.99</v>
      </c>
      <c r="V100" s="22">
        <v>0.44</v>
      </c>
      <c r="W100" s="22">
        <v>0</v>
      </c>
      <c r="X100" s="22">
        <f t="shared" si="30"/>
        <v>8263.3206250000003</v>
      </c>
      <c r="Y100" s="22">
        <f t="shared" si="40"/>
        <v>276.73875000000044</v>
      </c>
    </row>
    <row r="101" spans="1:30" x14ac:dyDescent="0.25">
      <c r="A101" s="10">
        <v>42741</v>
      </c>
      <c r="B101">
        <v>61863</v>
      </c>
      <c r="C101" t="s">
        <v>314</v>
      </c>
      <c r="D101">
        <v>7200</v>
      </c>
      <c r="E101" s="22">
        <v>1.4</v>
      </c>
      <c r="F101" s="22">
        <f t="shared" si="16"/>
        <v>10080</v>
      </c>
      <c r="G101" s="36">
        <f t="shared" si="35"/>
        <v>2.7720000000000002</v>
      </c>
      <c r="H101" s="36">
        <f t="shared" si="36"/>
        <v>0.504</v>
      </c>
      <c r="I101" s="22">
        <v>8.99</v>
      </c>
      <c r="J101" s="22">
        <v>0.44</v>
      </c>
      <c r="K101" s="22">
        <f t="shared" si="37"/>
        <v>10092.266000000001</v>
      </c>
      <c r="M101" s="10">
        <v>42751</v>
      </c>
      <c r="N101">
        <v>64125</v>
      </c>
      <c r="O101" t="s">
        <v>314</v>
      </c>
      <c r="P101">
        <v>7200</v>
      </c>
      <c r="Q101" s="22">
        <v>1.45</v>
      </c>
      <c r="R101" s="22">
        <f t="shared" si="17"/>
        <v>10440</v>
      </c>
      <c r="S101" s="36">
        <f t="shared" si="48"/>
        <v>2.871</v>
      </c>
      <c r="T101" s="36">
        <f t="shared" si="49"/>
        <v>0.52200000000000002</v>
      </c>
      <c r="U101" s="22">
        <v>8.99</v>
      </c>
      <c r="V101" s="22">
        <v>0.44</v>
      </c>
      <c r="W101" s="22">
        <v>0</v>
      </c>
      <c r="X101" s="22">
        <f t="shared" si="30"/>
        <v>10427.617</v>
      </c>
      <c r="Y101" s="22">
        <f t="shared" si="40"/>
        <v>335.35099999999875</v>
      </c>
    </row>
    <row r="102" spans="1:30" x14ac:dyDescent="0.25">
      <c r="A102" s="10">
        <v>42752</v>
      </c>
      <c r="B102">
        <v>64581</v>
      </c>
      <c r="C102" t="s">
        <v>313</v>
      </c>
      <c r="D102">
        <v>2600</v>
      </c>
      <c r="E102" s="22">
        <v>3.1</v>
      </c>
      <c r="F102" s="22">
        <f t="shared" si="16"/>
        <v>8060</v>
      </c>
      <c r="G102" s="36">
        <f t="shared" si="35"/>
        <v>2.2164999999999999</v>
      </c>
      <c r="H102" s="36">
        <f t="shared" si="36"/>
        <v>0.40300000000000002</v>
      </c>
      <c r="I102" s="22">
        <v>8.99</v>
      </c>
      <c r="J102" s="22">
        <v>0.45</v>
      </c>
      <c r="K102" s="22">
        <f t="shared" si="37"/>
        <v>8071.6095000000005</v>
      </c>
      <c r="M102" s="10">
        <v>42768</v>
      </c>
      <c r="N102">
        <v>69645</v>
      </c>
      <c r="O102" t="s">
        <v>313</v>
      </c>
      <c r="P102">
        <v>2600</v>
      </c>
      <c r="Q102" s="36">
        <v>3.25</v>
      </c>
      <c r="R102" s="22">
        <f t="shared" si="17"/>
        <v>8450</v>
      </c>
      <c r="S102" s="36">
        <f t="shared" si="48"/>
        <v>2.32375</v>
      </c>
      <c r="T102" s="36">
        <f t="shared" si="49"/>
        <v>0.42250000000000004</v>
      </c>
      <c r="U102" s="22">
        <v>8.99</v>
      </c>
      <c r="V102" s="22">
        <v>0.44</v>
      </c>
      <c r="W102" s="22">
        <v>0</v>
      </c>
      <c r="X102" s="22">
        <f t="shared" si="30"/>
        <v>8438.2637500000001</v>
      </c>
      <c r="Y102" s="22">
        <f t="shared" si="40"/>
        <v>366.65424999999959</v>
      </c>
    </row>
    <row r="103" spans="1:30" x14ac:dyDescent="0.25">
      <c r="A103" s="10">
        <v>42753</v>
      </c>
      <c r="B103">
        <v>65063</v>
      </c>
      <c r="C103" t="s">
        <v>284</v>
      </c>
      <c r="D103">
        <v>2800</v>
      </c>
      <c r="E103" s="22">
        <v>2.4</v>
      </c>
      <c r="F103" s="22">
        <f t="shared" si="16"/>
        <v>6720</v>
      </c>
      <c r="G103" s="36">
        <f t="shared" si="35"/>
        <v>1.8480000000000001</v>
      </c>
      <c r="H103" s="36">
        <f t="shared" si="36"/>
        <v>0.33600000000000002</v>
      </c>
      <c r="I103" s="22">
        <v>8.99</v>
      </c>
      <c r="J103" s="22">
        <v>0.45</v>
      </c>
      <c r="K103" s="22">
        <f t="shared" si="37"/>
        <v>6731.174</v>
      </c>
      <c r="M103" s="10">
        <v>42783</v>
      </c>
      <c r="N103">
        <v>74732</v>
      </c>
      <c r="O103" t="s">
        <v>284</v>
      </c>
      <c r="P103">
        <v>2800</v>
      </c>
      <c r="Q103" s="36">
        <v>2.6</v>
      </c>
      <c r="R103" s="22">
        <f t="shared" si="17"/>
        <v>7280</v>
      </c>
      <c r="S103" s="36">
        <f t="shared" si="48"/>
        <v>2.0020000000000002</v>
      </c>
      <c r="T103" s="36">
        <f t="shared" si="49"/>
        <v>0.36399999999999999</v>
      </c>
      <c r="U103" s="22">
        <v>8.99</v>
      </c>
      <c r="V103" s="22">
        <v>0.45</v>
      </c>
      <c r="W103" s="22">
        <v>0</v>
      </c>
      <c r="X103" s="22">
        <f t="shared" si="30"/>
        <v>7268.6440000000002</v>
      </c>
      <c r="Y103" s="22">
        <f t="shared" si="40"/>
        <v>537.47000000000025</v>
      </c>
    </row>
    <row r="104" spans="1:30" x14ac:dyDescent="0.25">
      <c r="A104" s="10">
        <v>42753</v>
      </c>
      <c r="B104">
        <v>65063</v>
      </c>
      <c r="C104" t="s">
        <v>300</v>
      </c>
      <c r="D104">
        <v>3200</v>
      </c>
      <c r="E104" s="22">
        <v>4.4400000000000004</v>
      </c>
      <c r="F104" s="22">
        <f t="shared" si="16"/>
        <v>14208.000000000002</v>
      </c>
      <c r="G104" s="36">
        <f t="shared" si="35"/>
        <v>3.9072000000000009</v>
      </c>
      <c r="H104" s="36">
        <f t="shared" si="36"/>
        <v>0.71040000000000014</v>
      </c>
      <c r="I104" s="22">
        <v>8.99</v>
      </c>
      <c r="J104" s="22">
        <v>0.45</v>
      </c>
      <c r="K104" s="22">
        <f t="shared" si="37"/>
        <v>14221.607600000001</v>
      </c>
      <c r="M104" s="20"/>
      <c r="N104" s="20"/>
      <c r="O104" s="65" t="s">
        <v>300</v>
      </c>
      <c r="P104" s="21">
        <v>320</v>
      </c>
      <c r="Q104" s="34">
        <v>1.62</v>
      </c>
      <c r="R104" s="34">
        <f t="shared" si="17"/>
        <v>518.40000000000009</v>
      </c>
      <c r="S104" s="34">
        <f t="shared" si="48"/>
        <v>0.14256000000000002</v>
      </c>
      <c r="T104" s="34">
        <f t="shared" si="49"/>
        <v>2.5920000000000006E-2</v>
      </c>
      <c r="U104" s="34">
        <v>4</v>
      </c>
      <c r="V104" s="34">
        <v>0.2</v>
      </c>
      <c r="W104" s="34">
        <v>0</v>
      </c>
      <c r="X104" s="34">
        <f t="shared" si="30"/>
        <v>514.23152000000005</v>
      </c>
      <c r="Y104" s="34">
        <f t="shared" si="40"/>
        <v>-13707.376080000002</v>
      </c>
    </row>
    <row r="105" spans="1:30" x14ac:dyDescent="0.25">
      <c r="A105" s="10">
        <v>42754</v>
      </c>
      <c r="B105">
        <v>65553</v>
      </c>
      <c r="C105" t="s">
        <v>313</v>
      </c>
      <c r="D105">
        <v>3500</v>
      </c>
      <c r="E105" s="22">
        <v>2.9</v>
      </c>
      <c r="F105" s="22">
        <f t="shared" si="16"/>
        <v>10150</v>
      </c>
      <c r="G105" s="36">
        <f t="shared" si="35"/>
        <v>2.7912500000000002</v>
      </c>
      <c r="H105" s="36">
        <f t="shared" si="36"/>
        <v>0.50750000000000006</v>
      </c>
      <c r="I105" s="22">
        <v>8.99</v>
      </c>
      <c r="J105" s="22">
        <v>0.44</v>
      </c>
      <c r="K105" s="22">
        <f t="shared" si="37"/>
        <v>10162.28875</v>
      </c>
      <c r="M105" s="10">
        <v>42755</v>
      </c>
      <c r="N105">
        <v>65971</v>
      </c>
      <c r="O105" t="s">
        <v>313</v>
      </c>
      <c r="P105">
        <v>3500</v>
      </c>
      <c r="Q105" s="22">
        <v>3</v>
      </c>
      <c r="R105" s="22">
        <f t="shared" si="17"/>
        <v>10500</v>
      </c>
      <c r="S105" s="36">
        <f t="shared" ref="S105:S110" si="50">R105*0.0275%</f>
        <v>2.8875000000000002</v>
      </c>
      <c r="T105" s="36">
        <f t="shared" ref="T105:T110" si="51">R105*0.005%</f>
        <v>0.52500000000000002</v>
      </c>
      <c r="U105" s="22">
        <v>8.99</v>
      </c>
      <c r="V105" s="22">
        <v>0.44</v>
      </c>
      <c r="W105" s="22">
        <v>0</v>
      </c>
      <c r="X105" s="22">
        <f t="shared" si="30"/>
        <v>10487.5975</v>
      </c>
      <c r="Y105" s="22">
        <f t="shared" si="40"/>
        <v>325.30875000000015</v>
      </c>
    </row>
    <row r="106" spans="1:30" x14ac:dyDescent="0.25">
      <c r="A106" s="10">
        <v>42758</v>
      </c>
      <c r="B106">
        <v>66431</v>
      </c>
      <c r="C106" t="s">
        <v>277</v>
      </c>
      <c r="D106">
        <v>4000</v>
      </c>
      <c r="E106" s="22">
        <v>2.78</v>
      </c>
      <c r="F106" s="22">
        <f t="shared" si="16"/>
        <v>11120</v>
      </c>
      <c r="G106" s="36">
        <f t="shared" si="35"/>
        <v>3.0580000000000003</v>
      </c>
      <c r="H106" s="36">
        <f t="shared" si="36"/>
        <v>0.55600000000000005</v>
      </c>
      <c r="I106" s="22">
        <v>8.99</v>
      </c>
      <c r="J106" s="22">
        <v>0.44</v>
      </c>
      <c r="K106" s="22">
        <f t="shared" si="37"/>
        <v>11132.604000000001</v>
      </c>
      <c r="M106" s="30">
        <v>42849</v>
      </c>
      <c r="N106" s="66">
        <v>94280</v>
      </c>
      <c r="O106" s="66" t="s">
        <v>277</v>
      </c>
      <c r="P106" s="66">
        <v>4000</v>
      </c>
      <c r="Q106" s="36">
        <v>2.89</v>
      </c>
      <c r="R106" s="22">
        <f t="shared" si="17"/>
        <v>11560</v>
      </c>
      <c r="S106" s="36">
        <f t="shared" si="50"/>
        <v>3.1790000000000003</v>
      </c>
      <c r="T106" s="36">
        <f t="shared" si="51"/>
        <v>0.57800000000000007</v>
      </c>
      <c r="U106" s="23">
        <v>8.99</v>
      </c>
      <c r="V106" s="36">
        <v>0.44</v>
      </c>
      <c r="W106" s="36">
        <v>0</v>
      </c>
      <c r="X106" s="22">
        <f t="shared" si="30"/>
        <v>11547.253000000001</v>
      </c>
      <c r="Y106" s="36">
        <f t="shared" si="40"/>
        <v>414.64899999999943</v>
      </c>
    </row>
    <row r="107" spans="1:30" x14ac:dyDescent="0.25">
      <c r="A107" s="10">
        <v>42772</v>
      </c>
      <c r="B107">
        <v>70524</v>
      </c>
      <c r="C107" t="s">
        <v>314</v>
      </c>
      <c r="D107">
        <v>6200</v>
      </c>
      <c r="E107" s="22">
        <v>1.5</v>
      </c>
      <c r="F107" s="22">
        <f t="shared" si="16"/>
        <v>9300</v>
      </c>
      <c r="G107" s="36">
        <f t="shared" si="35"/>
        <v>2.5575000000000001</v>
      </c>
      <c r="H107" s="36">
        <f t="shared" si="36"/>
        <v>0.46500000000000002</v>
      </c>
      <c r="I107" s="22">
        <v>4</v>
      </c>
      <c r="J107" s="22">
        <v>0.2</v>
      </c>
      <c r="K107" s="22">
        <f>1.25*(F107/SUM(F107:F108))</f>
        <v>0.60233160621761661</v>
      </c>
      <c r="M107" s="10">
        <v>42779</v>
      </c>
      <c r="N107">
        <v>72695</v>
      </c>
      <c r="O107" t="s">
        <v>314</v>
      </c>
      <c r="P107">
        <v>6200</v>
      </c>
      <c r="Q107" s="22">
        <v>1.6</v>
      </c>
      <c r="R107" s="22">
        <f t="shared" si="17"/>
        <v>9920</v>
      </c>
      <c r="S107" s="36">
        <f t="shared" si="50"/>
        <v>2.7280000000000002</v>
      </c>
      <c r="T107" s="36">
        <f t="shared" si="51"/>
        <v>0.496</v>
      </c>
      <c r="U107" s="22">
        <v>8.99</v>
      </c>
      <c r="V107" s="22">
        <v>0.44</v>
      </c>
      <c r="W107" s="22">
        <v>0</v>
      </c>
      <c r="X107" s="22">
        <f t="shared" si="30"/>
        <v>9907.7860000000019</v>
      </c>
      <c r="Y107" s="22">
        <f t="shared" si="40"/>
        <v>9907.1836683937836</v>
      </c>
    </row>
    <row r="108" spans="1:30" x14ac:dyDescent="0.25">
      <c r="A108" s="10">
        <v>42772</v>
      </c>
      <c r="B108">
        <v>70524</v>
      </c>
      <c r="C108" t="s">
        <v>315</v>
      </c>
      <c r="D108">
        <v>1600</v>
      </c>
      <c r="E108" s="22">
        <v>6.25</v>
      </c>
      <c r="F108" s="22">
        <f t="shared" si="16"/>
        <v>10000</v>
      </c>
      <c r="G108" s="36">
        <f t="shared" si="35"/>
        <v>2.75</v>
      </c>
      <c r="H108" s="36">
        <f t="shared" si="36"/>
        <v>0.5</v>
      </c>
      <c r="I108" s="22">
        <v>4</v>
      </c>
      <c r="J108" s="22">
        <v>0.2</v>
      </c>
      <c r="K108" s="22">
        <f>1.25*(F108/SUM(F107:F108))</f>
        <v>0.64766839378238339</v>
      </c>
      <c r="M108" s="10">
        <v>42781</v>
      </c>
      <c r="N108">
        <v>73668</v>
      </c>
      <c r="O108" t="s">
        <v>315</v>
      </c>
      <c r="P108">
        <v>1600</v>
      </c>
      <c r="Q108" s="36">
        <v>7.8</v>
      </c>
      <c r="R108" s="22">
        <f t="shared" si="17"/>
        <v>12480</v>
      </c>
      <c r="S108" s="36">
        <f t="shared" si="50"/>
        <v>3.4320000000000004</v>
      </c>
      <c r="T108" s="36">
        <f t="shared" si="51"/>
        <v>0.624</v>
      </c>
      <c r="U108" s="22">
        <v>4</v>
      </c>
      <c r="V108" s="22">
        <v>0.2</v>
      </c>
      <c r="W108" s="22">
        <f>R108*0.005%</f>
        <v>0.624</v>
      </c>
      <c r="X108" s="22">
        <f t="shared" si="30"/>
        <v>12471.32</v>
      </c>
      <c r="Y108" s="22">
        <f t="shared" si="40"/>
        <v>12471.296331606218</v>
      </c>
    </row>
    <row r="109" spans="1:30" x14ac:dyDescent="0.25">
      <c r="A109" s="10">
        <v>42773</v>
      </c>
      <c r="B109">
        <v>70949</v>
      </c>
      <c r="C109" t="s">
        <v>313</v>
      </c>
      <c r="D109">
        <v>2900</v>
      </c>
      <c r="E109" s="22">
        <v>3.1</v>
      </c>
      <c r="F109" s="22">
        <f t="shared" si="16"/>
        <v>8990</v>
      </c>
      <c r="G109" s="36">
        <f t="shared" si="35"/>
        <v>2.4722500000000003</v>
      </c>
      <c r="H109" s="36">
        <f t="shared" si="36"/>
        <v>0.44950000000000001</v>
      </c>
      <c r="I109" s="23">
        <v>8.99</v>
      </c>
      <c r="J109" s="22">
        <v>0.44</v>
      </c>
      <c r="K109" s="22">
        <f>SUM(K107:K108)</f>
        <v>1.25</v>
      </c>
      <c r="M109" s="10">
        <v>42781</v>
      </c>
      <c r="N109">
        <v>73668</v>
      </c>
      <c r="O109" t="s">
        <v>313</v>
      </c>
      <c r="P109">
        <v>2900</v>
      </c>
      <c r="Q109" s="36">
        <v>3.3</v>
      </c>
      <c r="R109" s="22">
        <f t="shared" si="17"/>
        <v>9570</v>
      </c>
      <c r="S109" s="36">
        <f t="shared" si="50"/>
        <v>2.6317500000000003</v>
      </c>
      <c r="T109" s="36">
        <f t="shared" si="51"/>
        <v>0.47850000000000004</v>
      </c>
      <c r="U109" s="22">
        <v>4</v>
      </c>
      <c r="V109" s="22">
        <v>0.2</v>
      </c>
      <c r="W109" s="22">
        <f>R109*0.005%</f>
        <v>0.47850000000000004</v>
      </c>
      <c r="X109" s="22">
        <f t="shared" si="30"/>
        <v>9562.411250000001</v>
      </c>
      <c r="Y109" s="22">
        <f t="shared" si="40"/>
        <v>9561.6397500000003</v>
      </c>
    </row>
    <row r="110" spans="1:30" x14ac:dyDescent="0.25">
      <c r="A110" s="10">
        <v>42780</v>
      </c>
      <c r="B110">
        <v>73169</v>
      </c>
      <c r="C110" t="s">
        <v>316</v>
      </c>
      <c r="D110">
        <v>700</v>
      </c>
      <c r="E110" s="22">
        <v>14.4</v>
      </c>
      <c r="F110" s="22">
        <f t="shared" si="16"/>
        <v>10080</v>
      </c>
      <c r="G110" s="36">
        <f t="shared" si="35"/>
        <v>2.7720000000000002</v>
      </c>
      <c r="H110" s="36">
        <f t="shared" si="36"/>
        <v>0.504</v>
      </c>
      <c r="I110" s="22">
        <v>4</v>
      </c>
      <c r="J110" s="22">
        <v>0.2</v>
      </c>
      <c r="K110" s="22">
        <f t="shared" ref="K110:K132" si="52">F110+G110+H110+I110</f>
        <v>10087.276000000002</v>
      </c>
      <c r="M110" s="20"/>
      <c r="N110" s="20"/>
      <c r="O110" s="65" t="s">
        <v>316</v>
      </c>
      <c r="P110" s="21">
        <f>700*3</f>
        <v>2100</v>
      </c>
      <c r="Q110" s="34">
        <v>3.76</v>
      </c>
      <c r="R110" s="34">
        <f t="shared" si="17"/>
        <v>7896</v>
      </c>
      <c r="S110" s="34">
        <f t="shared" si="50"/>
        <v>2.1714000000000002</v>
      </c>
      <c r="T110" s="34">
        <f t="shared" si="51"/>
        <v>0.39480000000000004</v>
      </c>
      <c r="U110" s="34">
        <v>4</v>
      </c>
      <c r="V110" s="34">
        <v>0.2</v>
      </c>
      <c r="W110" s="34">
        <v>0</v>
      </c>
      <c r="X110" s="34">
        <f t="shared" si="30"/>
        <v>7889.4337999999998</v>
      </c>
      <c r="Y110" s="37">
        <f t="shared" si="40"/>
        <v>-2197.8422000000019</v>
      </c>
      <c r="AA110" s="38" t="s">
        <v>358</v>
      </c>
      <c r="AB110" s="38">
        <f>AB111+AB112</f>
        <v>48956.86970000001</v>
      </c>
      <c r="AC110" s="41" t="s">
        <v>359</v>
      </c>
      <c r="AD110" s="38">
        <f>AD111+AD112</f>
        <v>-5407.929536499998</v>
      </c>
    </row>
    <row r="111" spans="1:30" x14ac:dyDescent="0.25">
      <c r="A111" s="10">
        <v>42780</v>
      </c>
      <c r="B111">
        <v>73169</v>
      </c>
      <c r="C111" t="s">
        <v>317</v>
      </c>
      <c r="D111">
        <v>700</v>
      </c>
      <c r="E111" s="22">
        <v>18.239999999999998</v>
      </c>
      <c r="F111" s="22">
        <f t="shared" si="16"/>
        <v>12767.999999999998</v>
      </c>
      <c r="G111" s="36">
        <f t="shared" si="35"/>
        <v>3.5111999999999997</v>
      </c>
      <c r="H111" s="36">
        <f t="shared" si="36"/>
        <v>0.63839999999999997</v>
      </c>
      <c r="I111" s="22">
        <v>4</v>
      </c>
      <c r="J111" s="22">
        <v>0.2</v>
      </c>
      <c r="K111" s="22">
        <f t="shared" si="52"/>
        <v>12776.149599999999</v>
      </c>
      <c r="M111" s="10">
        <v>42865</v>
      </c>
      <c r="N111" s="66">
        <v>99834</v>
      </c>
      <c r="O111" t="s">
        <v>317</v>
      </c>
      <c r="P111">
        <v>700</v>
      </c>
      <c r="Q111" s="36">
        <v>19</v>
      </c>
      <c r="R111" s="22">
        <f t="shared" si="17"/>
        <v>13300</v>
      </c>
      <c r="S111" s="36">
        <f t="shared" ref="S111" si="53">R111*0.0275%</f>
        <v>3.6575000000000002</v>
      </c>
      <c r="T111" s="36">
        <f t="shared" ref="T111" si="54">R111*0.005%</f>
        <v>0.66500000000000004</v>
      </c>
      <c r="U111" s="23">
        <v>8.99</v>
      </c>
      <c r="V111" s="23">
        <v>0.44</v>
      </c>
      <c r="W111" s="22">
        <f>R111*0.005%</f>
        <v>0.66500000000000004</v>
      </c>
      <c r="X111" s="22">
        <f t="shared" si="30"/>
        <v>13286.022499999999</v>
      </c>
      <c r="Y111" s="22">
        <f t="shared" si="40"/>
        <v>510.53790000000032</v>
      </c>
      <c r="AA111" s="22" t="s">
        <v>360</v>
      </c>
      <c r="AB111">
        <f>Y86+Y87+Y89+Y90+Y91+Y92+Y93+Y94+Y96+Y98+Y99+Y100+Y101+Y102+Y103+Y105+Y107+Y108+Y109+Y117</f>
        <v>48956.86970000001</v>
      </c>
      <c r="AC111" t="s">
        <v>360</v>
      </c>
      <c r="AD111">
        <f>Y112+Y114+Y119+Y123</f>
        <v>2999.0768185000038</v>
      </c>
    </row>
    <row r="112" spans="1:30" x14ac:dyDescent="0.25">
      <c r="A112" s="10">
        <v>42781</v>
      </c>
      <c r="B112">
        <v>73668</v>
      </c>
      <c r="C112" t="s">
        <v>274</v>
      </c>
      <c r="D112">
        <v>700</v>
      </c>
      <c r="E112" s="22">
        <v>16.399999999999999</v>
      </c>
      <c r="F112" s="22">
        <f t="shared" si="16"/>
        <v>11479.999999999998</v>
      </c>
      <c r="G112" s="36">
        <f t="shared" si="35"/>
        <v>3.1569999999999996</v>
      </c>
      <c r="H112" s="36">
        <f t="shared" si="36"/>
        <v>0.57399999999999995</v>
      </c>
      <c r="I112" s="22">
        <v>4</v>
      </c>
      <c r="J112" s="22">
        <v>0.2</v>
      </c>
      <c r="K112" s="22">
        <f t="shared" si="52"/>
        <v>11487.730999999998</v>
      </c>
      <c r="M112" s="30">
        <v>42823</v>
      </c>
      <c r="N112" s="66">
        <v>87257</v>
      </c>
      <c r="O112" s="66" t="s">
        <v>274</v>
      </c>
      <c r="P112" s="66">
        <v>700</v>
      </c>
      <c r="Q112" s="36">
        <v>16.368600000000001</v>
      </c>
      <c r="R112" s="22">
        <f t="shared" si="17"/>
        <v>11458.02</v>
      </c>
      <c r="S112" s="36">
        <f t="shared" ref="S112:S114" si="55">R112*0.0275%</f>
        <v>3.1509555000000002</v>
      </c>
      <c r="T112" s="36">
        <f t="shared" ref="T112:T114" si="56">R112*0.005%</f>
        <v>0.5729010000000001</v>
      </c>
      <c r="U112" s="36">
        <v>4</v>
      </c>
      <c r="V112" s="36">
        <v>0.2</v>
      </c>
      <c r="W112" s="36">
        <v>0</v>
      </c>
      <c r="X112" s="22">
        <f t="shared" si="30"/>
        <v>11450.296143500002</v>
      </c>
      <c r="Y112" s="36">
        <f t="shared" si="40"/>
        <v>-37.434856499996386</v>
      </c>
      <c r="AA112" s="46" t="s">
        <v>361</v>
      </c>
      <c r="AB112" s="47">
        <v>0</v>
      </c>
      <c r="AC112" s="46" t="s">
        <v>361</v>
      </c>
      <c r="AD112" s="22">
        <f>Y88+Y95+Y97+Y104+Y106+Y110+Y111+Y115+Y116+Y118+Y120+Y121</f>
        <v>-8407.0063550000013</v>
      </c>
    </row>
    <row r="113" spans="1:28" x14ac:dyDescent="0.25">
      <c r="A113" s="10">
        <v>42783</v>
      </c>
      <c r="B113">
        <v>74732</v>
      </c>
      <c r="C113" t="s">
        <v>314</v>
      </c>
      <c r="D113">
        <v>4600</v>
      </c>
      <c r="E113" s="22">
        <v>1.46</v>
      </c>
      <c r="F113" s="22">
        <f t="shared" si="16"/>
        <v>6716</v>
      </c>
      <c r="G113" s="36">
        <f t="shared" si="35"/>
        <v>1.8469000000000002</v>
      </c>
      <c r="H113" s="36">
        <f t="shared" si="36"/>
        <v>0.33580000000000004</v>
      </c>
      <c r="I113" s="22">
        <v>8.99</v>
      </c>
      <c r="J113" s="22">
        <v>0.45</v>
      </c>
      <c r="K113" s="22">
        <f t="shared" si="52"/>
        <v>6727.1726999999992</v>
      </c>
      <c r="M113" s="30">
        <v>44167</v>
      </c>
      <c r="N113" s="66">
        <v>2259372</v>
      </c>
      <c r="O113" s="66" t="s">
        <v>314</v>
      </c>
      <c r="P113" s="66">
        <v>766</v>
      </c>
      <c r="Q113" s="36">
        <v>16.8</v>
      </c>
      <c r="R113" s="36">
        <f t="shared" si="17"/>
        <v>12868.800000000001</v>
      </c>
      <c r="S113" s="36">
        <f t="shared" si="55"/>
        <v>3.5389200000000005</v>
      </c>
      <c r="T113" s="36">
        <f>R113*0.0032%</f>
        <v>0.41180159999999999</v>
      </c>
      <c r="U113" s="36">
        <v>2.4900000000000002</v>
      </c>
      <c r="V113" s="36">
        <f t="shared" ref="V113" si="57">U113*6.5%</f>
        <v>0.16185000000000002</v>
      </c>
      <c r="W113" s="22">
        <v>0</v>
      </c>
      <c r="X113" s="22">
        <f>R113-S113-T113-U113-V113-W113</f>
        <v>12862.197428400001</v>
      </c>
      <c r="Y113" s="22">
        <f t="shared" si="40"/>
        <v>6135.0247284000015</v>
      </c>
    </row>
    <row r="114" spans="1:28" x14ac:dyDescent="0.25">
      <c r="A114" s="10">
        <v>42787</v>
      </c>
      <c r="B114">
        <v>75828</v>
      </c>
      <c r="C114" t="s">
        <v>320</v>
      </c>
      <c r="D114">
        <v>300</v>
      </c>
      <c r="E114" s="22">
        <v>33.700000000000003</v>
      </c>
      <c r="F114" s="22">
        <f t="shared" si="16"/>
        <v>10110</v>
      </c>
      <c r="G114" s="36">
        <f t="shared" si="35"/>
        <v>2.7802500000000001</v>
      </c>
      <c r="H114" s="36">
        <f t="shared" si="36"/>
        <v>0.50550000000000006</v>
      </c>
      <c r="I114" s="22">
        <v>4</v>
      </c>
      <c r="J114" s="22">
        <v>0.2</v>
      </c>
      <c r="K114" s="22">
        <f t="shared" si="52"/>
        <v>10117.285749999999</v>
      </c>
      <c r="M114" s="10">
        <v>42865</v>
      </c>
      <c r="N114" s="66">
        <v>99834</v>
      </c>
      <c r="O114" t="s">
        <v>320</v>
      </c>
      <c r="P114">
        <v>300</v>
      </c>
      <c r="Q114" s="36">
        <v>35</v>
      </c>
      <c r="R114" s="22">
        <f t="shared" si="17"/>
        <v>10500</v>
      </c>
      <c r="S114" s="36">
        <f t="shared" si="55"/>
        <v>2.8875000000000002</v>
      </c>
      <c r="T114" s="36">
        <f t="shared" si="56"/>
        <v>0.52500000000000002</v>
      </c>
      <c r="U114" s="23">
        <v>8.99</v>
      </c>
      <c r="V114" s="23">
        <v>0.44</v>
      </c>
      <c r="W114" s="22">
        <f>R114*0.005%</f>
        <v>0.52500000000000002</v>
      </c>
      <c r="X114" s="22">
        <f t="shared" si="30"/>
        <v>10487.0725</v>
      </c>
      <c r="Y114" s="22">
        <f t="shared" si="40"/>
        <v>370.3117500000011</v>
      </c>
      <c r="AA114" s="38"/>
      <c r="AB114" s="41"/>
    </row>
    <row r="115" spans="1:28" x14ac:dyDescent="0.25">
      <c r="A115" s="10">
        <v>42787</v>
      </c>
      <c r="B115">
        <v>75828</v>
      </c>
      <c r="C115" t="s">
        <v>322</v>
      </c>
      <c r="D115">
        <v>1500</v>
      </c>
      <c r="E115" s="22">
        <v>6.91</v>
      </c>
      <c r="F115" s="22">
        <f t="shared" si="16"/>
        <v>10365</v>
      </c>
      <c r="G115" s="36">
        <f t="shared" si="35"/>
        <v>2.8503750000000001</v>
      </c>
      <c r="H115" s="36">
        <f t="shared" si="36"/>
        <v>0.51824999999999999</v>
      </c>
      <c r="I115" s="22">
        <v>4</v>
      </c>
      <c r="J115" s="22">
        <v>0.2</v>
      </c>
      <c r="K115" s="22">
        <f t="shared" si="52"/>
        <v>10372.368624999999</v>
      </c>
      <c r="M115" s="30">
        <v>42857</v>
      </c>
      <c r="N115" s="66">
        <v>96573</v>
      </c>
      <c r="O115" s="66" t="s">
        <v>322</v>
      </c>
      <c r="P115" s="66">
        <v>1500</v>
      </c>
      <c r="Q115" s="36">
        <v>7.48</v>
      </c>
      <c r="R115" s="22">
        <f t="shared" si="17"/>
        <v>11220</v>
      </c>
      <c r="S115" s="36">
        <f t="shared" ref="S115:S116" si="58">R115*0.0275%</f>
        <v>3.0855000000000001</v>
      </c>
      <c r="T115" s="36">
        <f t="shared" ref="T115:T116" si="59">R115*0.005%</f>
        <v>0.56100000000000005</v>
      </c>
      <c r="U115" s="23">
        <v>8.99</v>
      </c>
      <c r="V115" s="23">
        <v>0.44</v>
      </c>
      <c r="W115" s="36">
        <v>0</v>
      </c>
      <c r="X115" s="22">
        <f t="shared" si="30"/>
        <v>11207.363500000001</v>
      </c>
      <c r="Y115" s="36">
        <f t="shared" si="40"/>
        <v>834.99487500000214</v>
      </c>
      <c r="AA115" s="22" t="s">
        <v>362</v>
      </c>
    </row>
    <row r="116" spans="1:28" x14ac:dyDescent="0.25">
      <c r="A116" s="10">
        <v>42787</v>
      </c>
      <c r="B116">
        <v>75828</v>
      </c>
      <c r="C116" t="s">
        <v>318</v>
      </c>
      <c r="D116">
        <v>900</v>
      </c>
      <c r="E116" s="22">
        <v>11.6</v>
      </c>
      <c r="F116" s="22">
        <f t="shared" si="16"/>
        <v>10440</v>
      </c>
      <c r="G116" s="36">
        <f t="shared" si="35"/>
        <v>2.871</v>
      </c>
      <c r="H116" s="36">
        <f t="shared" si="36"/>
        <v>0.52200000000000002</v>
      </c>
      <c r="I116" s="22">
        <v>4</v>
      </c>
      <c r="J116" s="22">
        <v>0.2</v>
      </c>
      <c r="K116" s="22">
        <f t="shared" si="52"/>
        <v>10447.393</v>
      </c>
      <c r="M116" s="30">
        <v>42916</v>
      </c>
      <c r="N116" s="66">
        <v>121050</v>
      </c>
      <c r="O116" s="66" t="s">
        <v>318</v>
      </c>
      <c r="P116" s="66">
        <v>900</v>
      </c>
      <c r="Q116" s="36">
        <v>12.25</v>
      </c>
      <c r="R116" s="22">
        <f t="shared" si="17"/>
        <v>11025</v>
      </c>
      <c r="S116" s="36">
        <f t="shared" si="58"/>
        <v>3.0318750000000003</v>
      </c>
      <c r="T116" s="36">
        <f t="shared" si="59"/>
        <v>0.55125000000000002</v>
      </c>
      <c r="U116" s="36">
        <v>4</v>
      </c>
      <c r="V116" s="36">
        <v>0.2</v>
      </c>
      <c r="W116" s="36">
        <v>0</v>
      </c>
      <c r="X116" s="22">
        <f t="shared" si="30"/>
        <v>11017.416874999999</v>
      </c>
      <c r="Y116" s="36">
        <f t="shared" si="40"/>
        <v>570.02387499999895</v>
      </c>
      <c r="AA116" s="22">
        <f>AB110+AD110</f>
        <v>43548.94016350001</v>
      </c>
    </row>
    <row r="117" spans="1:28" x14ac:dyDescent="0.25">
      <c r="A117" s="10">
        <v>42787</v>
      </c>
      <c r="B117">
        <v>75828</v>
      </c>
      <c r="C117" t="s">
        <v>319</v>
      </c>
      <c r="D117">
        <v>2900</v>
      </c>
      <c r="E117" s="22">
        <v>3.5</v>
      </c>
      <c r="F117" s="22">
        <f t="shared" si="16"/>
        <v>10150</v>
      </c>
      <c r="G117" s="36">
        <f t="shared" si="35"/>
        <v>2.7912500000000002</v>
      </c>
      <c r="H117" s="36">
        <f t="shared" si="36"/>
        <v>0.50750000000000006</v>
      </c>
      <c r="I117" s="22">
        <v>4</v>
      </c>
      <c r="J117" s="22">
        <v>0.2</v>
      </c>
      <c r="K117" s="22">
        <f t="shared" si="52"/>
        <v>10157.29875</v>
      </c>
      <c r="M117" s="10">
        <v>42788</v>
      </c>
      <c r="N117">
        <v>76432</v>
      </c>
      <c r="O117" t="s">
        <v>319</v>
      </c>
      <c r="P117">
        <v>2900</v>
      </c>
      <c r="Q117" s="36">
        <v>4.1100000000000003</v>
      </c>
      <c r="R117" s="22">
        <f t="shared" si="17"/>
        <v>11919.000000000002</v>
      </c>
      <c r="S117" s="36">
        <f t="shared" ref="S117:S119" si="60">R117*0.0275%</f>
        <v>3.2777250000000007</v>
      </c>
      <c r="T117" s="36">
        <f t="shared" ref="T117:T119" si="61">R117*0.005%</f>
        <v>0.59595000000000009</v>
      </c>
      <c r="U117" s="22">
        <v>4</v>
      </c>
      <c r="V117" s="22">
        <v>0.2</v>
      </c>
      <c r="W117" s="22">
        <v>0</v>
      </c>
      <c r="X117" s="22">
        <f t="shared" si="30"/>
        <v>11911.126325000001</v>
      </c>
      <c r="Y117" s="22">
        <f t="shared" si="40"/>
        <v>1753.8275750000012</v>
      </c>
    </row>
    <row r="118" spans="1:28" x14ac:dyDescent="0.25">
      <c r="A118" s="10">
        <v>42787</v>
      </c>
      <c r="B118">
        <v>75828</v>
      </c>
      <c r="C118" t="s">
        <v>321</v>
      </c>
      <c r="D118">
        <v>400</v>
      </c>
      <c r="E118" s="22">
        <v>27.2</v>
      </c>
      <c r="F118" s="22">
        <f t="shared" si="16"/>
        <v>10880</v>
      </c>
      <c r="G118" s="36">
        <f t="shared" si="35"/>
        <v>2.992</v>
      </c>
      <c r="H118" s="36">
        <f t="shared" si="36"/>
        <v>0.54400000000000004</v>
      </c>
      <c r="I118" s="22">
        <v>4</v>
      </c>
      <c r="J118" s="22">
        <v>0.2</v>
      </c>
      <c r="K118" s="22">
        <f t="shared" si="52"/>
        <v>10887.536</v>
      </c>
      <c r="M118" s="30">
        <v>42811</v>
      </c>
      <c r="N118" s="66">
        <v>83721</v>
      </c>
      <c r="O118" s="66" t="s">
        <v>321</v>
      </c>
      <c r="P118" s="66">
        <v>400</v>
      </c>
      <c r="Q118" s="36">
        <v>29.25</v>
      </c>
      <c r="R118" s="22">
        <f t="shared" si="17"/>
        <v>11700</v>
      </c>
      <c r="S118" s="36">
        <f t="shared" si="60"/>
        <v>3.2175000000000002</v>
      </c>
      <c r="T118" s="36">
        <f t="shared" si="61"/>
        <v>0.58500000000000008</v>
      </c>
      <c r="U118" s="36">
        <v>4</v>
      </c>
      <c r="V118" s="36">
        <v>0.2</v>
      </c>
      <c r="W118" s="36">
        <v>0</v>
      </c>
      <c r="X118" s="22">
        <f t="shared" si="30"/>
        <v>11692.1975</v>
      </c>
      <c r="Y118" s="36">
        <f t="shared" si="40"/>
        <v>804.66150000000016</v>
      </c>
      <c r="AA118" s="38" t="s">
        <v>367</v>
      </c>
    </row>
    <row r="119" spans="1:28" x14ac:dyDescent="0.25">
      <c r="A119" s="10">
        <v>42787</v>
      </c>
      <c r="B119">
        <v>75828</v>
      </c>
      <c r="C119" t="s">
        <v>296</v>
      </c>
      <c r="D119">
        <v>500</v>
      </c>
      <c r="E119" s="22">
        <v>21.2</v>
      </c>
      <c r="F119" s="22">
        <f t="shared" si="16"/>
        <v>10600</v>
      </c>
      <c r="G119" s="36">
        <f t="shared" si="35"/>
        <v>2.915</v>
      </c>
      <c r="H119" s="36">
        <f t="shared" si="36"/>
        <v>0.53</v>
      </c>
      <c r="I119" s="22">
        <v>4</v>
      </c>
      <c r="J119" s="22">
        <v>0.2</v>
      </c>
      <c r="K119" s="22">
        <f t="shared" si="52"/>
        <v>10607.445000000002</v>
      </c>
      <c r="M119" s="10">
        <v>43031</v>
      </c>
      <c r="N119" s="66">
        <v>203840</v>
      </c>
      <c r="O119" t="s">
        <v>296</v>
      </c>
      <c r="P119">
        <v>500</v>
      </c>
      <c r="Q119" s="22">
        <v>22.15</v>
      </c>
      <c r="R119" s="22">
        <f t="shared" si="17"/>
        <v>11075</v>
      </c>
      <c r="S119" s="22">
        <f t="shared" si="60"/>
        <v>3.0456250000000002</v>
      </c>
      <c r="T119" s="22">
        <f t="shared" si="61"/>
        <v>0.55375000000000008</v>
      </c>
      <c r="U119" s="88">
        <v>2.4900000000000002</v>
      </c>
      <c r="V119" s="22">
        <v>0.2</v>
      </c>
      <c r="W119" s="22">
        <v>0</v>
      </c>
      <c r="X119" s="22">
        <f t="shared" si="30"/>
        <v>11068.910625</v>
      </c>
      <c r="Y119" s="22">
        <f t="shared" si="40"/>
        <v>461.46562499999891</v>
      </c>
      <c r="AA119" s="22">
        <f>AA85+AA116</f>
        <v>42314.391001000025</v>
      </c>
    </row>
    <row r="120" spans="1:28" x14ac:dyDescent="0.25">
      <c r="A120" s="10">
        <v>42787</v>
      </c>
      <c r="B120">
        <v>75828</v>
      </c>
      <c r="C120" t="s">
        <v>323</v>
      </c>
      <c r="D120">
        <v>1700</v>
      </c>
      <c r="E120" s="22">
        <v>6</v>
      </c>
      <c r="F120" s="22">
        <f t="shared" si="16"/>
        <v>10200</v>
      </c>
      <c r="G120" s="36">
        <f t="shared" si="35"/>
        <v>2.8050000000000002</v>
      </c>
      <c r="H120" s="36">
        <f t="shared" si="36"/>
        <v>0.51</v>
      </c>
      <c r="I120" s="22">
        <v>4</v>
      </c>
      <c r="J120" s="22">
        <v>0.2</v>
      </c>
      <c r="K120" s="22">
        <f t="shared" si="52"/>
        <v>10207.315000000001</v>
      </c>
      <c r="M120" s="30">
        <v>42800</v>
      </c>
      <c r="N120" s="66">
        <v>79312</v>
      </c>
      <c r="O120" s="66" t="s">
        <v>323</v>
      </c>
      <c r="P120" s="66">
        <v>1700</v>
      </c>
      <c r="Q120" s="36">
        <v>6.51</v>
      </c>
      <c r="R120" s="22">
        <f t="shared" si="17"/>
        <v>11067</v>
      </c>
      <c r="S120" s="36">
        <f t="shared" ref="S120:S121" si="62">R120*0.0275%</f>
        <v>3.043425</v>
      </c>
      <c r="T120" s="36">
        <f t="shared" ref="T120:T121" si="63">R120*0.005%</f>
        <v>0.55335000000000001</v>
      </c>
      <c r="U120" s="36">
        <v>8.99</v>
      </c>
      <c r="V120" s="36">
        <v>0.44</v>
      </c>
      <c r="W120" s="36">
        <v>0</v>
      </c>
      <c r="X120" s="22">
        <f t="shared" si="30"/>
        <v>11054.413225</v>
      </c>
      <c r="Y120" s="36">
        <f t="shared" si="40"/>
        <v>847.09822499999973</v>
      </c>
    </row>
    <row r="121" spans="1:28" x14ac:dyDescent="0.25">
      <c r="A121" s="42">
        <v>42787</v>
      </c>
      <c r="B121" s="43">
        <v>75828</v>
      </c>
      <c r="C121" s="43" t="s">
        <v>324</v>
      </c>
      <c r="D121" s="43">
        <v>1000</v>
      </c>
      <c r="E121" s="44">
        <v>9</v>
      </c>
      <c r="F121" s="44">
        <f t="shared" si="16"/>
        <v>9000</v>
      </c>
      <c r="G121" s="97">
        <f t="shared" si="35"/>
        <v>2.4750000000000001</v>
      </c>
      <c r="H121" s="97">
        <f t="shared" si="36"/>
        <v>0.45</v>
      </c>
      <c r="I121" s="44">
        <v>4</v>
      </c>
      <c r="J121" s="44">
        <v>0.2</v>
      </c>
      <c r="K121" s="44">
        <f t="shared" si="52"/>
        <v>9006.9250000000011</v>
      </c>
      <c r="L121" s="45"/>
      <c r="M121" s="98">
        <v>42859</v>
      </c>
      <c r="N121" s="99">
        <v>97767</v>
      </c>
      <c r="O121" s="94" t="s">
        <v>327</v>
      </c>
      <c r="P121" s="99">
        <v>900</v>
      </c>
      <c r="Q121" s="97">
        <v>9.5</v>
      </c>
      <c r="R121" s="44">
        <f t="shared" si="17"/>
        <v>8550</v>
      </c>
      <c r="S121" s="97">
        <f t="shared" si="62"/>
        <v>2.3512500000000003</v>
      </c>
      <c r="T121" s="97">
        <f t="shared" si="63"/>
        <v>0.42750000000000005</v>
      </c>
      <c r="U121" s="100">
        <v>8.99</v>
      </c>
      <c r="V121" s="100">
        <v>0.44</v>
      </c>
      <c r="W121" s="97">
        <v>0</v>
      </c>
      <c r="X121" s="44">
        <f t="shared" si="30"/>
        <v>8538.2312500000007</v>
      </c>
      <c r="Y121" s="97"/>
    </row>
    <row r="122" spans="1:28" x14ac:dyDescent="0.25">
      <c r="A122" s="111"/>
      <c r="B122" s="112"/>
      <c r="C122" s="112"/>
      <c r="D122" s="112"/>
      <c r="E122" s="64"/>
      <c r="F122" s="64"/>
      <c r="G122" s="64"/>
      <c r="H122" s="64"/>
      <c r="I122" s="64"/>
      <c r="J122" s="64"/>
      <c r="K122" s="64"/>
      <c r="L122" s="104"/>
      <c r="M122" s="105">
        <v>42864</v>
      </c>
      <c r="N122" s="106">
        <v>99322</v>
      </c>
      <c r="O122" s="107" t="s">
        <v>327</v>
      </c>
      <c r="P122" s="106">
        <v>100</v>
      </c>
      <c r="Q122" s="103">
        <v>9.5</v>
      </c>
      <c r="R122" s="63">
        <f t="shared" ref="R122" si="64">P122*Q122</f>
        <v>950</v>
      </c>
      <c r="S122" s="103">
        <f t="shared" ref="S122" si="65">R122*0.0275%</f>
        <v>0.26125000000000004</v>
      </c>
      <c r="T122" s="103">
        <f t="shared" ref="T122" si="66">R122*0.005%</f>
        <v>4.7500000000000001E-2</v>
      </c>
      <c r="U122" s="103">
        <v>0</v>
      </c>
      <c r="V122" s="103">
        <v>0</v>
      </c>
      <c r="W122" s="103">
        <v>0</v>
      </c>
      <c r="X122" s="63">
        <f t="shared" ref="X122" si="67">R122-S122-T122-U122-W122</f>
        <v>949.69124999999997</v>
      </c>
      <c r="Y122" s="63">
        <f>X121+X122-K121+SUM(W121:W122)</f>
        <v>480.99749999999949</v>
      </c>
    </row>
    <row r="123" spans="1:28" x14ac:dyDescent="0.25">
      <c r="A123" s="10">
        <v>42788</v>
      </c>
      <c r="B123">
        <v>76432</v>
      </c>
      <c r="C123" t="s">
        <v>315</v>
      </c>
      <c r="D123">
        <v>1200</v>
      </c>
      <c r="E123" s="22">
        <v>8.39</v>
      </c>
      <c r="F123" s="22">
        <f t="shared" si="16"/>
        <v>10068</v>
      </c>
      <c r="G123" s="36">
        <f t="shared" si="35"/>
        <v>2.7687000000000004</v>
      </c>
      <c r="H123" s="36">
        <f t="shared" si="36"/>
        <v>0.50340000000000007</v>
      </c>
      <c r="I123" s="22">
        <v>4</v>
      </c>
      <c r="J123" s="22">
        <v>0.2</v>
      </c>
      <c r="K123" s="22">
        <f t="shared" si="52"/>
        <v>10075.2721</v>
      </c>
      <c r="M123" s="30">
        <v>42836</v>
      </c>
      <c r="N123" s="66">
        <v>91074</v>
      </c>
      <c r="O123" s="66" t="s">
        <v>315</v>
      </c>
      <c r="P123" s="66">
        <v>1200</v>
      </c>
      <c r="Q123" s="36">
        <v>10.24</v>
      </c>
      <c r="R123" s="22">
        <f t="shared" si="17"/>
        <v>12288</v>
      </c>
      <c r="S123" s="36">
        <f t="shared" ref="S123:S134" si="68">R123*0.0275%</f>
        <v>3.3792</v>
      </c>
      <c r="T123" s="36">
        <f t="shared" ref="T123:T134" si="69">R123*0.005%</f>
        <v>0.61440000000000006</v>
      </c>
      <c r="U123" s="36">
        <v>4</v>
      </c>
      <c r="V123" s="36">
        <v>0.2</v>
      </c>
      <c r="W123" s="36">
        <v>0</v>
      </c>
      <c r="X123" s="22">
        <f t="shared" si="30"/>
        <v>12280.0064</v>
      </c>
      <c r="Y123" s="36">
        <f t="shared" si="40"/>
        <v>2204.7343000000001</v>
      </c>
    </row>
    <row r="124" spans="1:28" x14ac:dyDescent="0.25">
      <c r="A124" s="42">
        <v>42797</v>
      </c>
      <c r="B124" s="43">
        <v>78820</v>
      </c>
      <c r="C124" s="43" t="s">
        <v>314</v>
      </c>
      <c r="D124" s="43">
        <v>2400</v>
      </c>
      <c r="E124" s="44">
        <v>1.46</v>
      </c>
      <c r="F124" s="44">
        <f t="shared" si="16"/>
        <v>3504</v>
      </c>
      <c r="G124" s="97">
        <f t="shared" si="35"/>
        <v>0.96360000000000001</v>
      </c>
      <c r="H124" s="97">
        <f t="shared" si="36"/>
        <v>0.17519999999999999</v>
      </c>
      <c r="I124" s="100">
        <v>4</v>
      </c>
      <c r="J124" s="44">
        <v>0.2</v>
      </c>
      <c r="K124" s="44">
        <f t="shared" si="52"/>
        <v>3509.1388000000002</v>
      </c>
      <c r="L124" s="45"/>
      <c r="M124" s="98">
        <v>44167</v>
      </c>
      <c r="N124" s="99">
        <v>2259372</v>
      </c>
      <c r="O124" s="99" t="s">
        <v>314</v>
      </c>
      <c r="P124" s="94">
        <v>400</v>
      </c>
      <c r="Q124" s="97">
        <v>16.8</v>
      </c>
      <c r="R124" s="97">
        <f t="shared" ref="R124" si="70">P124*Q124</f>
        <v>6720</v>
      </c>
      <c r="S124" s="97">
        <f t="shared" si="68"/>
        <v>1.8480000000000001</v>
      </c>
      <c r="T124" s="97">
        <f>R124*0.0032%</f>
        <v>0.21503999999999998</v>
      </c>
      <c r="U124" s="97">
        <v>2.4900000000000002</v>
      </c>
      <c r="V124" s="97">
        <f t="shared" ref="V124" si="71">U124*6.5%</f>
        <v>0.16185000000000002</v>
      </c>
      <c r="W124" s="44">
        <v>0</v>
      </c>
      <c r="X124" s="44">
        <f>R124-S124-T124-U124-V124-W124</f>
        <v>6715.2851099999998</v>
      </c>
      <c r="Y124" s="44">
        <f t="shared" ref="Y124" si="72">X124-K124+W124</f>
        <v>3206.1463099999996</v>
      </c>
    </row>
    <row r="125" spans="1:28" x14ac:dyDescent="0.25">
      <c r="A125" s="111"/>
      <c r="B125" s="112"/>
      <c r="C125" s="112"/>
      <c r="D125" s="112"/>
      <c r="E125" s="64"/>
      <c r="F125" s="64"/>
      <c r="G125" s="64"/>
      <c r="H125" s="64"/>
      <c r="I125" s="64"/>
      <c r="J125" s="64"/>
      <c r="K125" s="64"/>
      <c r="L125" s="104"/>
      <c r="M125" s="101">
        <v>43959</v>
      </c>
      <c r="N125" s="102">
        <v>730476</v>
      </c>
      <c r="O125" s="102" t="s">
        <v>350</v>
      </c>
      <c r="P125" s="102">
        <v>700</v>
      </c>
      <c r="Q125" s="63">
        <v>0.15</v>
      </c>
      <c r="R125" s="63">
        <f>P125*Q125</f>
        <v>105</v>
      </c>
      <c r="S125" s="63">
        <f>R125*0.02%</f>
        <v>2.1000000000000001E-2</v>
      </c>
      <c r="T125" s="63">
        <v>0</v>
      </c>
      <c r="U125" s="103">
        <v>2.4900000000000002</v>
      </c>
      <c r="V125" s="103">
        <f>U125*6.5%</f>
        <v>0.16185000000000002</v>
      </c>
      <c r="W125" s="63">
        <v>0</v>
      </c>
      <c r="X125" s="63">
        <f>R125-S125-T125-U125-V125-W125</f>
        <v>102.32715</v>
      </c>
      <c r="Y125" s="63">
        <f>X125-K125+W125</f>
        <v>102.32715</v>
      </c>
    </row>
    <row r="126" spans="1:28" x14ac:dyDescent="0.25">
      <c r="A126" s="42">
        <v>42797</v>
      </c>
      <c r="B126" s="43">
        <v>78820</v>
      </c>
      <c r="C126" s="43" t="s">
        <v>325</v>
      </c>
      <c r="D126" s="43">
        <v>1100</v>
      </c>
      <c r="E126" s="44">
        <v>3.78</v>
      </c>
      <c r="F126" s="44">
        <f t="shared" si="16"/>
        <v>4158</v>
      </c>
      <c r="G126" s="97">
        <f t="shared" si="35"/>
        <v>1.1434500000000001</v>
      </c>
      <c r="H126" s="97">
        <f t="shared" si="36"/>
        <v>0.2079</v>
      </c>
      <c r="I126" s="97">
        <v>4</v>
      </c>
      <c r="J126" s="44">
        <v>0.2</v>
      </c>
      <c r="K126" s="44">
        <f t="shared" si="52"/>
        <v>4163.3513499999999</v>
      </c>
      <c r="L126" s="45"/>
      <c r="M126" s="98">
        <v>43278</v>
      </c>
      <c r="N126" s="99">
        <v>603490</v>
      </c>
      <c r="O126" s="99" t="s">
        <v>325</v>
      </c>
      <c r="P126" s="99">
        <v>1100</v>
      </c>
      <c r="Q126" s="97">
        <v>3.81</v>
      </c>
      <c r="R126" s="44">
        <f t="shared" si="17"/>
        <v>4191</v>
      </c>
      <c r="S126" s="97">
        <f t="shared" si="68"/>
        <v>1.152525</v>
      </c>
      <c r="T126" s="97">
        <f t="shared" si="69"/>
        <v>0.20955000000000001</v>
      </c>
      <c r="U126" s="97">
        <v>2.4900000000000002</v>
      </c>
      <c r="V126" s="97">
        <f>U126*5%</f>
        <v>0.12450000000000001</v>
      </c>
      <c r="W126" s="97">
        <v>0</v>
      </c>
      <c r="X126" s="44">
        <f t="shared" si="30"/>
        <v>4187.1479250000002</v>
      </c>
      <c r="Y126" s="97">
        <f t="shared" si="40"/>
        <v>23.796575000000303</v>
      </c>
    </row>
    <row r="127" spans="1:28" x14ac:dyDescent="0.25">
      <c r="A127" s="24"/>
      <c r="B127" s="25"/>
      <c r="C127" s="25"/>
      <c r="D127" s="25"/>
      <c r="E127" s="33"/>
      <c r="F127" s="33"/>
      <c r="G127" s="33"/>
      <c r="H127" s="33"/>
      <c r="I127" s="33"/>
      <c r="J127" s="33"/>
      <c r="K127" s="33"/>
      <c r="M127" s="10">
        <v>43235</v>
      </c>
      <c r="N127">
        <v>516503</v>
      </c>
      <c r="O127" t="s">
        <v>347</v>
      </c>
      <c r="P127">
        <v>500</v>
      </c>
      <c r="Q127" s="22">
        <v>0.4</v>
      </c>
      <c r="R127" s="22">
        <f>P127*Q127</f>
        <v>200</v>
      </c>
      <c r="S127" s="22">
        <f t="shared" ref="S127" si="73">R127*0.0275%</f>
        <v>5.5E-2</v>
      </c>
      <c r="T127" s="22">
        <f>R127*0.005%</f>
        <v>0.01</v>
      </c>
      <c r="U127" s="36">
        <v>2.4900000000000002</v>
      </c>
      <c r="V127" s="22">
        <f>U127*5%</f>
        <v>0.12450000000000001</v>
      </c>
      <c r="W127" s="22">
        <v>0</v>
      </c>
      <c r="X127" s="22">
        <f>R127-S127-T127-U127-W127</f>
        <v>197.44499999999999</v>
      </c>
      <c r="Y127" s="22">
        <f t="shared" ref="Y127" si="74">X127-K127+W127</f>
        <v>197.44499999999999</v>
      </c>
    </row>
    <row r="128" spans="1:28" x14ac:dyDescent="0.25">
      <c r="A128" s="111"/>
      <c r="B128" s="112"/>
      <c r="C128" s="112"/>
      <c r="D128" s="112"/>
      <c r="E128" s="64"/>
      <c r="F128" s="64"/>
      <c r="G128" s="64"/>
      <c r="H128" s="64"/>
      <c r="I128" s="64"/>
      <c r="J128" s="64"/>
      <c r="K128" s="64"/>
      <c r="L128" s="104"/>
      <c r="M128" s="101">
        <v>43235</v>
      </c>
      <c r="N128" s="102">
        <v>516503</v>
      </c>
      <c r="O128" s="102" t="s">
        <v>346</v>
      </c>
      <c r="P128" s="102">
        <v>97</v>
      </c>
      <c r="Q128" s="63">
        <v>0.4</v>
      </c>
      <c r="R128" s="63">
        <f>P128*Q128</f>
        <v>38.800000000000004</v>
      </c>
      <c r="S128" s="63">
        <f t="shared" ref="S128" si="75">R128*0.0275%</f>
        <v>1.0670000000000002E-2</v>
      </c>
      <c r="T128" s="63">
        <f>R128*0.005%</f>
        <v>1.9400000000000003E-3</v>
      </c>
      <c r="U128" s="103">
        <v>2.4900000000000002</v>
      </c>
      <c r="V128" s="63">
        <f>U128*5%</f>
        <v>0.12450000000000001</v>
      </c>
      <c r="W128" s="63">
        <v>0</v>
      </c>
      <c r="X128" s="63">
        <f>R128-S128-T128-U128-W128</f>
        <v>36.297390000000007</v>
      </c>
      <c r="Y128" s="63">
        <f t="shared" ref="Y128" si="76">X128-K128+W128</f>
        <v>36.297390000000007</v>
      </c>
    </row>
    <row r="129" spans="1:25" x14ac:dyDescent="0.25">
      <c r="A129" s="10">
        <v>42801</v>
      </c>
      <c r="B129">
        <v>79780</v>
      </c>
      <c r="C129" t="s">
        <v>306</v>
      </c>
      <c r="D129">
        <v>600</v>
      </c>
      <c r="E129" s="22">
        <v>18</v>
      </c>
      <c r="F129" s="22">
        <f t="shared" si="16"/>
        <v>10800</v>
      </c>
      <c r="G129" s="36">
        <f t="shared" si="35"/>
        <v>2.97</v>
      </c>
      <c r="H129" s="36">
        <f t="shared" si="36"/>
        <v>0.54</v>
      </c>
      <c r="I129" s="22">
        <v>4</v>
      </c>
      <c r="J129" s="22">
        <v>0.2</v>
      </c>
      <c r="K129" s="22">
        <f t="shared" si="52"/>
        <v>10807.51</v>
      </c>
      <c r="M129" s="30">
        <v>43292</v>
      </c>
      <c r="N129" s="66">
        <v>627217</v>
      </c>
      <c r="O129" s="66" t="s">
        <v>306</v>
      </c>
      <c r="P129" s="66">
        <v>600</v>
      </c>
      <c r="Q129" s="36">
        <v>18.100000000000001</v>
      </c>
      <c r="R129" s="22">
        <f t="shared" si="17"/>
        <v>10860</v>
      </c>
      <c r="S129" s="36">
        <f t="shared" si="68"/>
        <v>2.9865000000000004</v>
      </c>
      <c r="T129" s="36">
        <f t="shared" si="69"/>
        <v>0.54300000000000004</v>
      </c>
      <c r="U129" s="36">
        <v>2.4900000000000002</v>
      </c>
      <c r="V129" s="36">
        <f>U129*5%</f>
        <v>0.12450000000000001</v>
      </c>
      <c r="W129" s="36">
        <v>0</v>
      </c>
      <c r="X129" s="22">
        <f t="shared" si="30"/>
        <v>10853.9805</v>
      </c>
      <c r="Y129" s="36">
        <f t="shared" si="40"/>
        <v>46.470499999999447</v>
      </c>
    </row>
    <row r="130" spans="1:25" x14ac:dyDescent="0.25">
      <c r="A130" s="98">
        <v>42811</v>
      </c>
      <c r="B130" s="99">
        <v>83721</v>
      </c>
      <c r="C130" s="99" t="s">
        <v>326</v>
      </c>
      <c r="D130" s="99">
        <v>3800</v>
      </c>
      <c r="E130" s="97">
        <v>3.07</v>
      </c>
      <c r="F130" s="44">
        <f t="shared" si="16"/>
        <v>11666</v>
      </c>
      <c r="G130" s="97">
        <f t="shared" si="35"/>
        <v>3.2081500000000003</v>
      </c>
      <c r="H130" s="97">
        <f t="shared" si="36"/>
        <v>0.58330000000000004</v>
      </c>
      <c r="I130" s="97">
        <v>4</v>
      </c>
      <c r="J130" s="97">
        <v>0.2</v>
      </c>
      <c r="K130" s="44">
        <f t="shared" si="52"/>
        <v>11673.791450000001</v>
      </c>
      <c r="L130" s="45"/>
      <c r="M130" s="93"/>
      <c r="N130" s="93"/>
      <c r="O130" s="94" t="s">
        <v>368</v>
      </c>
      <c r="P130" s="94">
        <v>760</v>
      </c>
      <c r="Q130" s="95">
        <v>19.2</v>
      </c>
      <c r="R130" s="95">
        <f t="shared" si="17"/>
        <v>14592</v>
      </c>
      <c r="S130" s="95">
        <f t="shared" si="68"/>
        <v>4.0128000000000004</v>
      </c>
      <c r="T130" s="95">
        <f t="shared" si="69"/>
        <v>0.72960000000000003</v>
      </c>
      <c r="U130" s="95">
        <v>4</v>
      </c>
      <c r="V130" s="95">
        <v>0.2</v>
      </c>
      <c r="W130" s="95">
        <v>0</v>
      </c>
      <c r="X130" s="95">
        <f t="shared" si="30"/>
        <v>14583.257599999999</v>
      </c>
      <c r="Y130" s="117">
        <f t="shared" si="40"/>
        <v>2909.4661499999984</v>
      </c>
    </row>
    <row r="131" spans="1:25" x14ac:dyDescent="0.25">
      <c r="A131" s="111"/>
      <c r="B131" s="112"/>
      <c r="C131" s="112"/>
      <c r="D131" s="112"/>
      <c r="E131" s="64"/>
      <c r="F131" s="64"/>
      <c r="G131" s="64"/>
      <c r="H131" s="64"/>
      <c r="I131" s="64"/>
      <c r="J131" s="64"/>
      <c r="K131" s="64"/>
      <c r="L131" s="104"/>
      <c r="M131" s="101">
        <v>43695</v>
      </c>
      <c r="N131" s="102">
        <v>787025</v>
      </c>
      <c r="O131" s="102" t="s">
        <v>348</v>
      </c>
      <c r="P131" s="102">
        <v>54</v>
      </c>
      <c r="Q131" s="63">
        <v>1.86</v>
      </c>
      <c r="R131" s="63">
        <f>P131*Q131</f>
        <v>100.44000000000001</v>
      </c>
      <c r="S131" s="63">
        <f>R131*0.02%</f>
        <v>2.0088000000000002E-2</v>
      </c>
      <c r="T131" s="63">
        <v>0</v>
      </c>
      <c r="U131" s="103">
        <v>2.4900000000000002</v>
      </c>
      <c r="V131" s="63">
        <f>U131*6.5%</f>
        <v>0.16185000000000002</v>
      </c>
      <c r="W131" s="63">
        <v>0</v>
      </c>
      <c r="X131" s="63">
        <f>R131-S131-T131-U131-V131-W131</f>
        <v>97.768062000000015</v>
      </c>
      <c r="Y131" s="63">
        <f t="shared" ref="Y131" si="77">X131-K131+W131</f>
        <v>97.768062000000015</v>
      </c>
    </row>
    <row r="132" spans="1:25" x14ac:dyDescent="0.25">
      <c r="A132" s="10">
        <v>42836</v>
      </c>
      <c r="B132" s="66">
        <v>91074</v>
      </c>
      <c r="C132" s="66" t="s">
        <v>312</v>
      </c>
      <c r="D132" s="66">
        <v>3100</v>
      </c>
      <c r="E132" s="36">
        <v>3.95</v>
      </c>
      <c r="F132" s="22">
        <f t="shared" si="16"/>
        <v>12245</v>
      </c>
      <c r="G132" s="36">
        <f t="shared" si="35"/>
        <v>3.367375</v>
      </c>
      <c r="H132" s="36">
        <f t="shared" si="36"/>
        <v>0.61225000000000007</v>
      </c>
      <c r="I132" s="36">
        <v>4</v>
      </c>
      <c r="J132" s="36">
        <v>0.2</v>
      </c>
      <c r="K132" s="22">
        <f t="shared" si="52"/>
        <v>12252.979625</v>
      </c>
      <c r="M132" s="10">
        <v>42870</v>
      </c>
      <c r="N132">
        <v>101925</v>
      </c>
      <c r="O132" t="s">
        <v>312</v>
      </c>
      <c r="P132">
        <v>3100</v>
      </c>
      <c r="Q132" s="22">
        <v>4.3499999999999996</v>
      </c>
      <c r="R132" s="22">
        <f t="shared" si="17"/>
        <v>13484.999999999998</v>
      </c>
      <c r="S132" s="22">
        <f t="shared" si="68"/>
        <v>3.7083749999999998</v>
      </c>
      <c r="T132" s="22">
        <f t="shared" si="69"/>
        <v>0.6742499999999999</v>
      </c>
      <c r="U132" s="22">
        <v>4</v>
      </c>
      <c r="V132" s="22">
        <v>0.2</v>
      </c>
      <c r="W132" s="22">
        <v>0</v>
      </c>
      <c r="X132" s="22">
        <f t="shared" si="30"/>
        <v>13476.617374999998</v>
      </c>
      <c r="Y132" s="22">
        <f t="shared" si="40"/>
        <v>1223.6377499999981</v>
      </c>
    </row>
    <row r="133" spans="1:25" x14ac:dyDescent="0.25">
      <c r="A133" s="10">
        <v>42858</v>
      </c>
      <c r="B133">
        <v>97178</v>
      </c>
      <c r="C133" t="s">
        <v>269</v>
      </c>
      <c r="D133">
        <v>300</v>
      </c>
      <c r="E133" s="22">
        <v>25.75</v>
      </c>
      <c r="F133" s="22">
        <f t="shared" si="16"/>
        <v>7725</v>
      </c>
      <c r="G133" s="36">
        <f t="shared" si="35"/>
        <v>2.1243750000000001</v>
      </c>
      <c r="H133" s="36">
        <f t="shared" si="36"/>
        <v>0.38625000000000004</v>
      </c>
      <c r="I133" s="36">
        <v>4</v>
      </c>
      <c r="J133" s="36">
        <v>0.2</v>
      </c>
      <c r="K133" s="22">
        <f t="shared" ref="K133" si="78">F133+G133+H133+I133</f>
        <v>7731.5106249999999</v>
      </c>
      <c r="M133" s="10">
        <v>42885</v>
      </c>
      <c r="N133">
        <v>109729</v>
      </c>
      <c r="O133" t="s">
        <v>269</v>
      </c>
      <c r="P133">
        <v>300</v>
      </c>
      <c r="Q133" s="22">
        <v>27.15</v>
      </c>
      <c r="R133" s="22">
        <f t="shared" ref="R133:R134" si="79">P133*Q133</f>
        <v>8145</v>
      </c>
      <c r="S133" s="22">
        <f t="shared" si="68"/>
        <v>2.2398750000000001</v>
      </c>
      <c r="T133" s="22">
        <f t="shared" si="69"/>
        <v>0.40725</v>
      </c>
      <c r="U133" s="22">
        <v>4</v>
      </c>
      <c r="V133" s="22">
        <v>0.2</v>
      </c>
      <c r="W133" s="22">
        <v>0</v>
      </c>
      <c r="X133" s="22">
        <f t="shared" ref="X133:X134" si="80">R133-S133-T133-U133-W133</f>
        <v>8138.3528749999996</v>
      </c>
      <c r="Y133" s="22">
        <f t="shared" ref="Y133:Y134" si="81">X133-K133+W133</f>
        <v>406.84224999999969</v>
      </c>
    </row>
    <row r="134" spans="1:25" x14ac:dyDescent="0.25">
      <c r="A134" s="10">
        <v>42858</v>
      </c>
      <c r="B134">
        <v>97178</v>
      </c>
      <c r="C134" t="s">
        <v>267</v>
      </c>
      <c r="D134">
        <v>700</v>
      </c>
      <c r="E134" s="22">
        <v>9.57</v>
      </c>
      <c r="F134" s="22">
        <f t="shared" ref="F134" si="82">D134*E134</f>
        <v>6699</v>
      </c>
      <c r="G134" s="36">
        <f t="shared" si="35"/>
        <v>1.842225</v>
      </c>
      <c r="H134" s="36">
        <f t="shared" si="36"/>
        <v>0.33495000000000003</v>
      </c>
      <c r="I134" s="36">
        <v>4</v>
      </c>
      <c r="J134" s="36">
        <v>0.2</v>
      </c>
      <c r="K134" s="22">
        <f t="shared" ref="K134" si="83">F134+G134+H134+I134</f>
        <v>6705.1771750000007</v>
      </c>
      <c r="M134" s="10">
        <v>42871</v>
      </c>
      <c r="N134">
        <v>102534</v>
      </c>
      <c r="O134" t="s">
        <v>267</v>
      </c>
      <c r="P134">
        <v>700</v>
      </c>
      <c r="Q134" s="22">
        <v>10.17</v>
      </c>
      <c r="R134" s="22">
        <f t="shared" si="79"/>
        <v>7119</v>
      </c>
      <c r="S134" s="22">
        <f t="shared" si="68"/>
        <v>1.9577250000000002</v>
      </c>
      <c r="T134" s="22">
        <f t="shared" si="69"/>
        <v>0.35595000000000004</v>
      </c>
      <c r="U134" s="22">
        <v>4</v>
      </c>
      <c r="V134" s="22">
        <v>0.2</v>
      </c>
      <c r="W134" s="22">
        <v>0</v>
      </c>
      <c r="X134" s="22">
        <f t="shared" si="80"/>
        <v>7112.6863249999997</v>
      </c>
      <c r="Y134" s="22">
        <f t="shared" si="81"/>
        <v>407.50914999999895</v>
      </c>
    </row>
    <row r="135" spans="1:25" x14ac:dyDescent="0.25">
      <c r="A135" s="10">
        <v>42863</v>
      </c>
      <c r="B135">
        <v>98780</v>
      </c>
      <c r="C135" t="s">
        <v>313</v>
      </c>
      <c r="D135">
        <v>2400</v>
      </c>
      <c r="E135" s="22">
        <v>3.7</v>
      </c>
      <c r="F135" s="22">
        <f t="shared" ref="F135:F136" si="84">D135*E135</f>
        <v>8880</v>
      </c>
      <c r="G135" s="36">
        <f t="shared" ref="G135:G136" si="85">F135*0.0275%</f>
        <v>2.4420000000000002</v>
      </c>
      <c r="H135" s="36">
        <f t="shared" ref="H135:H136" si="86">F135*0.005%</f>
        <v>0.44400000000000001</v>
      </c>
      <c r="I135" s="36">
        <v>4</v>
      </c>
      <c r="J135" s="36">
        <v>0.2</v>
      </c>
      <c r="K135" s="22">
        <f t="shared" ref="K135" si="87">F135+G135+H135+I135</f>
        <v>8886.8859999999986</v>
      </c>
      <c r="M135" s="10">
        <v>42934</v>
      </c>
      <c r="N135">
        <v>128115</v>
      </c>
      <c r="O135" t="s">
        <v>313</v>
      </c>
      <c r="P135">
        <v>2400</v>
      </c>
      <c r="Q135" s="22">
        <v>3.9</v>
      </c>
      <c r="R135" s="22">
        <f t="shared" ref="R135" si="88">P135*Q135</f>
        <v>9360</v>
      </c>
      <c r="S135" s="22">
        <f t="shared" ref="S135" si="89">R135*0.0275%</f>
        <v>2.5740000000000003</v>
      </c>
      <c r="T135" s="22">
        <f t="shared" ref="T135" si="90">R135*0.005%</f>
        <v>0.46800000000000003</v>
      </c>
      <c r="U135" s="22">
        <v>0</v>
      </c>
      <c r="V135" s="22">
        <f>U135*5%</f>
        <v>0</v>
      </c>
      <c r="W135" s="22">
        <v>0</v>
      </c>
      <c r="X135" s="22">
        <f t="shared" ref="X135" si="91">R135-S135-T135-U135-W135</f>
        <v>9356.9579999999987</v>
      </c>
      <c r="Y135" s="22">
        <f t="shared" ref="Y135" si="92">X135-K135+W135</f>
        <v>470.07200000000012</v>
      </c>
    </row>
    <row r="136" spans="1:25" x14ac:dyDescent="0.25">
      <c r="A136" s="10">
        <v>42867</v>
      </c>
      <c r="B136">
        <v>101225</v>
      </c>
      <c r="C136" t="s">
        <v>315</v>
      </c>
      <c r="D136">
        <v>800</v>
      </c>
      <c r="E136" s="22">
        <v>10.199999999999999</v>
      </c>
      <c r="F136" s="22">
        <f t="shared" si="84"/>
        <v>8159.9999999999991</v>
      </c>
      <c r="G136" s="22">
        <f t="shared" si="85"/>
        <v>2.2439999999999998</v>
      </c>
      <c r="H136" s="22">
        <f t="shared" si="86"/>
        <v>0.40799999999999997</v>
      </c>
      <c r="I136" s="36">
        <v>4</v>
      </c>
      <c r="J136" s="36">
        <v>0.2</v>
      </c>
      <c r="K136" s="22">
        <f t="shared" ref="K136" si="93">F136+G136+H136+I136</f>
        <v>8166.6519999999991</v>
      </c>
      <c r="M136" s="10">
        <v>42975</v>
      </c>
      <c r="N136">
        <v>151043</v>
      </c>
      <c r="O136" t="s">
        <v>315</v>
      </c>
      <c r="P136">
        <v>800</v>
      </c>
      <c r="Q136" s="22">
        <v>11</v>
      </c>
      <c r="R136" s="22">
        <f t="shared" ref="R136" si="94">P136*Q136</f>
        <v>8800</v>
      </c>
      <c r="S136" s="22">
        <f t="shared" ref="S136" si="95">R136*0.0275%</f>
        <v>2.42</v>
      </c>
      <c r="T136" s="22">
        <f t="shared" ref="T136" si="96">R136*0.005%</f>
        <v>0.44</v>
      </c>
      <c r="U136" s="22">
        <v>0</v>
      </c>
      <c r="V136" s="22">
        <f t="shared" ref="V136:V145" si="97">U136*5%</f>
        <v>0</v>
      </c>
      <c r="W136" s="22">
        <v>0</v>
      </c>
      <c r="X136" s="22">
        <f t="shared" ref="X136" si="98">R136-S136-T136-U136-W136</f>
        <v>8797.14</v>
      </c>
      <c r="Y136" s="22">
        <f t="shared" ref="Y136" si="99">X136-K136+W136</f>
        <v>630.48800000000028</v>
      </c>
    </row>
    <row r="137" spans="1:25" x14ac:dyDescent="0.25">
      <c r="A137" s="10">
        <v>42867</v>
      </c>
      <c r="B137">
        <v>101225</v>
      </c>
      <c r="C137" t="s">
        <v>313</v>
      </c>
      <c r="D137">
        <v>2500</v>
      </c>
      <c r="E137" s="22">
        <v>3.47</v>
      </c>
      <c r="F137" s="22">
        <f t="shared" ref="F137" si="100">D137*E137</f>
        <v>8675</v>
      </c>
      <c r="G137" s="22">
        <f t="shared" ref="G137" si="101">F137*0.0275%</f>
        <v>2.3856250000000001</v>
      </c>
      <c r="H137" s="22">
        <f t="shared" ref="H137" si="102">F137*0.005%</f>
        <v>0.43375000000000002</v>
      </c>
      <c r="I137" s="36">
        <v>4</v>
      </c>
      <c r="J137" s="36">
        <v>0.2</v>
      </c>
      <c r="K137" s="22">
        <f t="shared" ref="K137" si="103">F137+G137+H137+I137</f>
        <v>8681.8193750000009</v>
      </c>
      <c r="M137" s="10">
        <v>42934</v>
      </c>
      <c r="N137">
        <v>128115</v>
      </c>
      <c r="O137" t="s">
        <v>313</v>
      </c>
      <c r="P137">
        <v>2500</v>
      </c>
      <c r="Q137" s="22">
        <v>3.9</v>
      </c>
      <c r="R137" s="22">
        <f t="shared" ref="R137" si="104">P137*Q137</f>
        <v>9750</v>
      </c>
      <c r="S137" s="22">
        <f t="shared" ref="S137" si="105">R137*0.0275%</f>
        <v>2.6812500000000004</v>
      </c>
      <c r="T137" s="22">
        <f t="shared" ref="T137" si="106">R137*0.005%</f>
        <v>0.48750000000000004</v>
      </c>
      <c r="U137" s="22">
        <v>4</v>
      </c>
      <c r="V137" s="22">
        <f t="shared" si="97"/>
        <v>0.2</v>
      </c>
      <c r="W137" s="22">
        <v>0</v>
      </c>
      <c r="X137" s="22">
        <f t="shared" ref="X137" si="107">R137-S137-T137-U137-W137</f>
        <v>9742.8312500000011</v>
      </c>
      <c r="Y137" s="22">
        <f t="shared" ref="Y137" si="108">X137-K137+W137</f>
        <v>1061.0118750000001</v>
      </c>
    </row>
    <row r="138" spans="1:25" x14ac:dyDescent="0.25">
      <c r="A138" s="10">
        <v>42867</v>
      </c>
      <c r="B138">
        <v>101225</v>
      </c>
      <c r="C138" t="s">
        <v>309</v>
      </c>
      <c r="D138">
        <v>600</v>
      </c>
      <c r="E138" s="22">
        <v>13.4</v>
      </c>
      <c r="F138" s="22">
        <f t="shared" ref="F138" si="109">D138*E138</f>
        <v>8040</v>
      </c>
      <c r="G138" s="22">
        <f t="shared" ref="G138" si="110">F138*0.0275%</f>
        <v>2.2110000000000003</v>
      </c>
      <c r="H138" s="22">
        <f t="shared" ref="H138" si="111">F138*0.005%</f>
        <v>0.40200000000000002</v>
      </c>
      <c r="I138" s="36">
        <v>4</v>
      </c>
      <c r="J138" s="36">
        <v>0.2</v>
      </c>
      <c r="K138" s="22">
        <f t="shared" ref="K138" si="112">F138+G138+H138+I138</f>
        <v>8046.6130000000003</v>
      </c>
      <c r="M138" s="10">
        <v>42961</v>
      </c>
      <c r="N138">
        <v>142215</v>
      </c>
      <c r="O138" t="s">
        <v>309</v>
      </c>
      <c r="P138">
        <v>600</v>
      </c>
      <c r="Q138" s="22">
        <v>14.5</v>
      </c>
      <c r="R138" s="22">
        <f t="shared" ref="R138" si="113">P138*Q138</f>
        <v>8700</v>
      </c>
      <c r="S138" s="22">
        <f t="shared" ref="S138" si="114">R138*0.0275%</f>
        <v>2.3925000000000001</v>
      </c>
      <c r="T138" s="22">
        <f t="shared" ref="T138" si="115">R138*0.005%</f>
        <v>0.435</v>
      </c>
      <c r="U138" s="22">
        <v>4</v>
      </c>
      <c r="V138" s="22">
        <f t="shared" si="97"/>
        <v>0.2</v>
      </c>
      <c r="W138" s="22">
        <v>0</v>
      </c>
      <c r="X138" s="22">
        <f t="shared" ref="X138" si="116">R138-S138-T138-U138-W138</f>
        <v>8693.1725000000006</v>
      </c>
      <c r="Y138" s="22">
        <f t="shared" ref="Y138" si="117">X138-K138+W138</f>
        <v>646.5595000000003</v>
      </c>
    </row>
    <row r="139" spans="1:25" x14ac:dyDescent="0.25">
      <c r="A139" s="10">
        <v>42870</v>
      </c>
      <c r="B139">
        <v>101925</v>
      </c>
      <c r="C139" t="s">
        <v>328</v>
      </c>
      <c r="D139">
        <v>2900</v>
      </c>
      <c r="E139" s="22">
        <v>3.59</v>
      </c>
      <c r="F139" s="22">
        <f t="shared" ref="F139" si="118">D139*E139</f>
        <v>10411</v>
      </c>
      <c r="G139" s="22">
        <f t="shared" ref="G139" si="119">F139*0.0275%</f>
        <v>2.8630250000000004</v>
      </c>
      <c r="H139" s="22">
        <f t="shared" ref="H139" si="120">F139*0.005%</f>
        <v>0.52055000000000007</v>
      </c>
      <c r="I139" s="36">
        <v>4</v>
      </c>
      <c r="J139" s="36">
        <v>0.2</v>
      </c>
      <c r="K139" s="22">
        <f t="shared" ref="K139" si="121">F139+G139+H139+I139</f>
        <v>10418.383575</v>
      </c>
      <c r="M139" s="10">
        <v>42935</v>
      </c>
      <c r="N139">
        <v>128738</v>
      </c>
      <c r="O139" t="s">
        <v>328</v>
      </c>
      <c r="P139">
        <v>2900</v>
      </c>
      <c r="Q139" s="22">
        <v>3.9</v>
      </c>
      <c r="R139" s="22">
        <f t="shared" ref="R139" si="122">P139*Q139</f>
        <v>11310</v>
      </c>
      <c r="S139" s="22">
        <f t="shared" ref="S139" si="123">R139*0.0275%</f>
        <v>3.1102500000000002</v>
      </c>
      <c r="T139" s="22">
        <f t="shared" ref="T139" si="124">R139*0.005%</f>
        <v>0.5655</v>
      </c>
      <c r="U139" s="22">
        <v>4</v>
      </c>
      <c r="V139" s="22">
        <f t="shared" si="97"/>
        <v>0.2</v>
      </c>
      <c r="W139" s="22">
        <v>0</v>
      </c>
      <c r="X139" s="22">
        <f t="shared" ref="X139" si="125">R139-S139-T139-U139-W139</f>
        <v>11302.32425</v>
      </c>
      <c r="Y139" s="22">
        <f t="shared" ref="Y139" si="126">X139-K139+W139</f>
        <v>883.94067499999983</v>
      </c>
    </row>
    <row r="140" spans="1:25" x14ac:dyDescent="0.25">
      <c r="A140" s="10">
        <v>42870</v>
      </c>
      <c r="B140">
        <v>102534</v>
      </c>
      <c r="C140" t="s">
        <v>329</v>
      </c>
      <c r="D140">
        <v>1000</v>
      </c>
      <c r="E140" s="22">
        <v>7.65</v>
      </c>
      <c r="F140" s="22">
        <f t="shared" ref="F140:F145" si="127">D140*E140</f>
        <v>7650</v>
      </c>
      <c r="G140" s="22">
        <f t="shared" ref="G140:G148" si="128">F140*0.0275%</f>
        <v>2.1037500000000002</v>
      </c>
      <c r="H140" s="22">
        <f t="shared" ref="H140:H145" si="129">F140*0.005%</f>
        <v>0.38250000000000001</v>
      </c>
      <c r="I140" s="36">
        <v>4</v>
      </c>
      <c r="J140" s="36">
        <v>0.2</v>
      </c>
      <c r="K140" s="22">
        <f t="shared" ref="K140:K149" si="130">F140+G140+H140+I140</f>
        <v>7656.4862499999999</v>
      </c>
      <c r="M140" s="10">
        <v>42954</v>
      </c>
      <c r="N140">
        <v>137915</v>
      </c>
      <c r="O140" t="s">
        <v>329</v>
      </c>
      <c r="P140">
        <v>1000</v>
      </c>
      <c r="Q140" s="22">
        <v>8.1300000000000008</v>
      </c>
      <c r="R140" s="22">
        <f t="shared" ref="R140:R145" si="131">P140*Q140</f>
        <v>8130.0000000000009</v>
      </c>
      <c r="S140" s="22">
        <f t="shared" ref="S140:S149" si="132">R140*0.0275%</f>
        <v>2.2357500000000003</v>
      </c>
      <c r="T140" s="22">
        <f t="shared" ref="T140:T145" si="133">R140*0.005%</f>
        <v>0.40650000000000008</v>
      </c>
      <c r="U140" s="22">
        <v>4</v>
      </c>
      <c r="V140" s="22">
        <f t="shared" si="97"/>
        <v>0.2</v>
      </c>
      <c r="W140" s="22">
        <v>0</v>
      </c>
      <c r="X140" s="22">
        <f t="shared" ref="X140:X145" si="134">R140-S140-T140-U140-W140</f>
        <v>8123.357750000001</v>
      </c>
      <c r="Y140" s="22">
        <f t="shared" ref="Y140" si="135">X140-K140+W140</f>
        <v>466.87150000000111</v>
      </c>
    </row>
    <row r="141" spans="1:25" x14ac:dyDescent="0.25">
      <c r="A141" s="10">
        <v>42872</v>
      </c>
      <c r="B141">
        <v>103248</v>
      </c>
      <c r="C141" t="s">
        <v>282</v>
      </c>
      <c r="D141">
        <v>700</v>
      </c>
      <c r="E141" s="22">
        <v>9.6</v>
      </c>
      <c r="F141" s="22">
        <f t="shared" ref="F141:F144" si="136">D141*E141</f>
        <v>6720</v>
      </c>
      <c r="G141" s="22">
        <f t="shared" ref="G141:G144" si="137">F141*0.0275%</f>
        <v>1.8480000000000001</v>
      </c>
      <c r="H141" s="22">
        <f t="shared" ref="H141:H144" si="138">F141*0.005%</f>
        <v>0.33600000000000002</v>
      </c>
      <c r="I141" s="36">
        <v>4</v>
      </c>
      <c r="J141" s="36">
        <v>0.2</v>
      </c>
      <c r="K141" s="22">
        <f t="shared" ref="K141:K144" si="139">F141+G141+H141+I141</f>
        <v>6726.1840000000002</v>
      </c>
      <c r="M141" s="10">
        <v>43290</v>
      </c>
      <c r="N141">
        <v>621778</v>
      </c>
      <c r="O141" t="s">
        <v>282</v>
      </c>
      <c r="P141">
        <v>700</v>
      </c>
      <c r="Q141" s="22">
        <v>9.6999999999999993</v>
      </c>
      <c r="R141" s="22">
        <f t="shared" ref="R141:R144" si="140">P141*Q141</f>
        <v>6789.9999999999991</v>
      </c>
      <c r="S141" s="22">
        <f t="shared" ref="S141:S144" si="141">R141*0.0275%</f>
        <v>1.8672499999999999</v>
      </c>
      <c r="T141" s="22">
        <f t="shared" ref="T141:T144" si="142">R141*0.005%</f>
        <v>0.33949999999999997</v>
      </c>
      <c r="U141" s="22">
        <v>2.4900000000000002</v>
      </c>
      <c r="V141" s="22">
        <f t="shared" si="97"/>
        <v>0.12450000000000001</v>
      </c>
      <c r="W141" s="22">
        <v>0</v>
      </c>
      <c r="X141" s="22">
        <f t="shared" ref="X141:X144" si="143">R141-S141-T141-U141-W141</f>
        <v>6785.303249999999</v>
      </c>
      <c r="Y141" s="22">
        <f t="shared" ref="Y141" si="144">X141-K141+W141</f>
        <v>59.119249999998829</v>
      </c>
    </row>
    <row r="142" spans="1:25" x14ac:dyDescent="0.25">
      <c r="A142" s="42">
        <v>42873</v>
      </c>
      <c r="B142" s="43">
        <v>104082</v>
      </c>
      <c r="C142" s="43" t="s">
        <v>315</v>
      </c>
      <c r="D142" s="43">
        <v>1400</v>
      </c>
      <c r="E142" s="44">
        <v>7.59</v>
      </c>
      <c r="F142" s="44">
        <f t="shared" ref="F142" si="145">D142*E142</f>
        <v>10626</v>
      </c>
      <c r="G142" s="44">
        <f t="shared" ref="G142" si="146">F142*0.0275%</f>
        <v>2.9221500000000002</v>
      </c>
      <c r="H142" s="44">
        <f t="shared" ref="H142" si="147">F142*0.005%</f>
        <v>0.53129999999999999</v>
      </c>
      <c r="I142" s="97">
        <v>4</v>
      </c>
      <c r="J142" s="97">
        <v>0.2</v>
      </c>
      <c r="K142" s="44">
        <f t="shared" ref="K142" si="148">F142+G142+H142+I142</f>
        <v>10633.453450000001</v>
      </c>
      <c r="L142" s="45"/>
      <c r="M142" s="42">
        <v>42893</v>
      </c>
      <c r="N142" s="43">
        <v>112777</v>
      </c>
      <c r="O142" s="43" t="s">
        <v>315</v>
      </c>
      <c r="P142" s="43">
        <v>800</v>
      </c>
      <c r="Q142" s="44">
        <v>8.35</v>
      </c>
      <c r="R142" s="44">
        <f t="shared" ref="R142" si="149">P142*Q142</f>
        <v>6680</v>
      </c>
      <c r="S142" s="44">
        <f t="shared" ref="S142" si="150">R142*0.0275%</f>
        <v>1.8370000000000002</v>
      </c>
      <c r="T142" s="44">
        <f t="shared" ref="T142" si="151">R142*0.005%</f>
        <v>0.33400000000000002</v>
      </c>
      <c r="U142" s="44">
        <v>4</v>
      </c>
      <c r="V142" s="44">
        <f t="shared" si="97"/>
        <v>0.2</v>
      </c>
      <c r="W142" s="44">
        <v>0</v>
      </c>
      <c r="X142" s="44">
        <f t="shared" ref="X142" si="152">R142-S142-T142-U142-W142</f>
        <v>6673.8289999999997</v>
      </c>
      <c r="Y142" s="44">
        <f>X142-(K142/D142)*P142+W142</f>
        <v>597.56988571428519</v>
      </c>
    </row>
    <row r="143" spans="1:25" x14ac:dyDescent="0.25">
      <c r="A143" s="111"/>
      <c r="B143" s="112"/>
      <c r="C143" s="112"/>
      <c r="D143" s="112"/>
      <c r="E143" s="64"/>
      <c r="F143" s="64"/>
      <c r="G143" s="64"/>
      <c r="H143" s="64"/>
      <c r="I143" s="64"/>
      <c r="J143" s="64"/>
      <c r="K143" s="64"/>
      <c r="L143" s="104"/>
      <c r="M143" s="101">
        <v>42975</v>
      </c>
      <c r="N143" s="102">
        <v>151043</v>
      </c>
      <c r="O143" s="102" t="s">
        <v>315</v>
      </c>
      <c r="P143" s="102">
        <v>600</v>
      </c>
      <c r="Q143" s="63">
        <v>11</v>
      </c>
      <c r="R143" s="63">
        <f>P143*Q143</f>
        <v>6600</v>
      </c>
      <c r="S143" s="63">
        <f t="shared" ref="S143" si="153">R143*0.0275%</f>
        <v>1.8150000000000002</v>
      </c>
      <c r="T143" s="63">
        <f t="shared" ref="T143" si="154">R143*0.005%</f>
        <v>0.33</v>
      </c>
      <c r="U143" s="103">
        <v>1.49</v>
      </c>
      <c r="V143" s="63">
        <f t="shared" si="97"/>
        <v>7.4499999999999997E-2</v>
      </c>
      <c r="W143" s="63">
        <v>0</v>
      </c>
      <c r="X143" s="63">
        <f t="shared" ref="X143" si="155">R143-S143-T143-U143-W143</f>
        <v>6596.3650000000007</v>
      </c>
      <c r="Y143" s="63">
        <f>X143-(K142/1400)*P143+W143</f>
        <v>2039.1706642857143</v>
      </c>
    </row>
    <row r="144" spans="1:25" x14ac:dyDescent="0.25">
      <c r="A144" s="10">
        <v>42921</v>
      </c>
      <c r="B144">
        <v>122611</v>
      </c>
      <c r="C144" t="s">
        <v>272</v>
      </c>
      <c r="D144">
        <v>600</v>
      </c>
      <c r="E144" s="22">
        <v>9.0500000000000007</v>
      </c>
      <c r="F144" s="22">
        <f t="shared" si="136"/>
        <v>5430</v>
      </c>
      <c r="G144" s="22">
        <f t="shared" si="137"/>
        <v>1.4932500000000002</v>
      </c>
      <c r="H144" s="22">
        <f t="shared" si="138"/>
        <v>0.27150000000000002</v>
      </c>
      <c r="I144" s="36">
        <v>4</v>
      </c>
      <c r="J144" s="36">
        <v>0.2</v>
      </c>
      <c r="K144" s="22">
        <f t="shared" si="139"/>
        <v>5435.7647500000003</v>
      </c>
      <c r="M144" s="10">
        <v>42969</v>
      </c>
      <c r="N144">
        <v>147314</v>
      </c>
      <c r="O144" t="s">
        <v>272</v>
      </c>
      <c r="P144">
        <v>600</v>
      </c>
      <c r="Q144" s="22">
        <v>10.199999999999999</v>
      </c>
      <c r="R144" s="22">
        <f t="shared" si="140"/>
        <v>6120</v>
      </c>
      <c r="S144" s="22">
        <f t="shared" si="141"/>
        <v>1.6830000000000001</v>
      </c>
      <c r="T144" s="22">
        <f t="shared" si="142"/>
        <v>0.30599999999999999</v>
      </c>
      <c r="U144" s="36">
        <v>1.49</v>
      </c>
      <c r="V144" s="22">
        <f t="shared" si="97"/>
        <v>7.4499999999999997E-2</v>
      </c>
      <c r="W144" s="22">
        <v>0</v>
      </c>
      <c r="X144" s="22">
        <f t="shared" si="143"/>
        <v>6116.5210000000006</v>
      </c>
      <c r="Y144" s="22">
        <f t="shared" ref="Y144:Y145" si="156">X144-K144+W144</f>
        <v>680.75625000000036</v>
      </c>
    </row>
    <row r="145" spans="1:25" x14ac:dyDescent="0.25">
      <c r="A145" s="10">
        <v>42922</v>
      </c>
      <c r="B145">
        <v>123214</v>
      </c>
      <c r="C145" t="s">
        <v>274</v>
      </c>
      <c r="D145">
        <v>400</v>
      </c>
      <c r="E145" s="22">
        <v>13.96</v>
      </c>
      <c r="F145" s="22">
        <f t="shared" si="127"/>
        <v>5584</v>
      </c>
      <c r="G145" s="22">
        <f t="shared" si="128"/>
        <v>1.5356000000000001</v>
      </c>
      <c r="H145" s="22">
        <f t="shared" si="129"/>
        <v>0.2792</v>
      </c>
      <c r="I145" s="36">
        <v>4</v>
      </c>
      <c r="J145" s="36">
        <v>0.2</v>
      </c>
      <c r="K145" s="22">
        <f t="shared" si="130"/>
        <v>5589.8148000000001</v>
      </c>
      <c r="M145" s="10">
        <v>42943</v>
      </c>
      <c r="N145">
        <v>132658</v>
      </c>
      <c r="O145" t="s">
        <v>274</v>
      </c>
      <c r="P145">
        <v>400</v>
      </c>
      <c r="Q145" s="22">
        <v>15.5</v>
      </c>
      <c r="R145" s="22">
        <f t="shared" si="131"/>
        <v>6200</v>
      </c>
      <c r="S145" s="22">
        <f t="shared" si="132"/>
        <v>1.7050000000000001</v>
      </c>
      <c r="T145" s="22">
        <f t="shared" si="133"/>
        <v>0.31</v>
      </c>
      <c r="U145" s="22">
        <v>4</v>
      </c>
      <c r="V145" s="22">
        <f t="shared" si="97"/>
        <v>0.2</v>
      </c>
      <c r="W145" s="22">
        <v>0</v>
      </c>
      <c r="X145" s="22">
        <f t="shared" si="134"/>
        <v>6193.9849999999997</v>
      </c>
      <c r="Y145" s="22">
        <f t="shared" si="156"/>
        <v>604.17019999999957</v>
      </c>
    </row>
    <row r="146" spans="1:25" x14ac:dyDescent="0.25">
      <c r="A146" s="10">
        <v>42943</v>
      </c>
      <c r="B146">
        <v>132658</v>
      </c>
      <c r="C146" t="s">
        <v>330</v>
      </c>
      <c r="D146">
        <v>1100</v>
      </c>
      <c r="E146" s="22">
        <v>7.9</v>
      </c>
      <c r="F146" s="22">
        <f>D146*E146</f>
        <v>8690</v>
      </c>
      <c r="G146" s="22">
        <f t="shared" si="128"/>
        <v>2.3897500000000003</v>
      </c>
      <c r="H146" s="22">
        <f>F146*0.005%</f>
        <v>0.4345</v>
      </c>
      <c r="I146" s="36">
        <v>4</v>
      </c>
      <c r="J146" s="36">
        <f t="shared" ref="J146:J151" si="157">I146*5%</f>
        <v>0.2</v>
      </c>
      <c r="K146" s="22">
        <f t="shared" si="130"/>
        <v>8696.8242499999997</v>
      </c>
      <c r="M146" s="10">
        <v>42971</v>
      </c>
      <c r="N146">
        <v>149172</v>
      </c>
      <c r="O146" t="s">
        <v>330</v>
      </c>
      <c r="P146">
        <v>1100</v>
      </c>
      <c r="Q146" s="22">
        <v>8.3000000000000007</v>
      </c>
      <c r="R146" s="22">
        <f>P146*Q146</f>
        <v>9130</v>
      </c>
      <c r="S146" s="22">
        <f t="shared" si="132"/>
        <v>2.5107500000000003</v>
      </c>
      <c r="T146" s="22">
        <f>R146*0.005%</f>
        <v>0.45650000000000002</v>
      </c>
      <c r="U146" s="36">
        <v>1.49</v>
      </c>
      <c r="V146" s="22">
        <f t="shared" ref="V146:V151" si="158">U146*5%</f>
        <v>7.4499999999999997E-2</v>
      </c>
      <c r="W146" s="22">
        <v>0</v>
      </c>
      <c r="X146" s="22">
        <f t="shared" ref="X146:X149" si="159">R146-S146-T146-U146-W146</f>
        <v>9125.5427500000005</v>
      </c>
      <c r="Y146" s="22">
        <f t="shared" ref="Y146:Y149" si="160">X146-K146+W146</f>
        <v>428.71850000000086</v>
      </c>
    </row>
    <row r="147" spans="1:25" x14ac:dyDescent="0.25">
      <c r="A147" s="10">
        <v>42944</v>
      </c>
      <c r="B147">
        <v>133249</v>
      </c>
      <c r="C147" t="s">
        <v>305</v>
      </c>
      <c r="D147">
        <v>900</v>
      </c>
      <c r="E147" s="22">
        <v>10.8</v>
      </c>
      <c r="F147" s="22">
        <f>D147*E147</f>
        <v>9720</v>
      </c>
      <c r="G147" s="22">
        <f t="shared" si="128"/>
        <v>2.673</v>
      </c>
      <c r="H147" s="22">
        <f>F147*0.005%</f>
        <v>0.48600000000000004</v>
      </c>
      <c r="I147" s="36">
        <v>4</v>
      </c>
      <c r="J147" s="36">
        <f t="shared" si="157"/>
        <v>0.2</v>
      </c>
      <c r="K147" s="22">
        <f t="shared" si="130"/>
        <v>9727.1590000000015</v>
      </c>
      <c r="M147" s="10">
        <v>42998</v>
      </c>
      <c r="N147">
        <v>171064</v>
      </c>
      <c r="O147" t="s">
        <v>305</v>
      </c>
      <c r="P147">
        <v>900</v>
      </c>
      <c r="Q147" s="22">
        <v>11.5</v>
      </c>
      <c r="R147" s="22">
        <f>P147*Q147</f>
        <v>10350</v>
      </c>
      <c r="S147" s="22">
        <f t="shared" si="132"/>
        <v>2.8462500000000004</v>
      </c>
      <c r="T147" s="22">
        <f>R147*0.005%</f>
        <v>0.51750000000000007</v>
      </c>
      <c r="U147" s="36">
        <v>2.4900000000000002</v>
      </c>
      <c r="V147" s="22">
        <f t="shared" si="158"/>
        <v>0.12450000000000001</v>
      </c>
      <c r="W147" s="22">
        <v>0</v>
      </c>
      <c r="X147" s="22">
        <f t="shared" si="159"/>
        <v>10344.14625</v>
      </c>
      <c r="Y147" s="22">
        <f t="shared" si="160"/>
        <v>616.98724999999831</v>
      </c>
    </row>
    <row r="148" spans="1:25" x14ac:dyDescent="0.25">
      <c r="A148" s="10">
        <v>42944</v>
      </c>
      <c r="B148">
        <v>133249</v>
      </c>
      <c r="C148" t="s">
        <v>331</v>
      </c>
      <c r="D148">
        <v>600</v>
      </c>
      <c r="E148" s="22">
        <v>16</v>
      </c>
      <c r="F148" s="22">
        <f>D148*E148</f>
        <v>9600</v>
      </c>
      <c r="G148" s="22">
        <f t="shared" si="128"/>
        <v>2.64</v>
      </c>
      <c r="H148" s="22">
        <f>F148*0.005%</f>
        <v>0.48000000000000004</v>
      </c>
      <c r="I148" s="22">
        <v>4</v>
      </c>
      <c r="J148" s="22">
        <f t="shared" si="157"/>
        <v>0.2</v>
      </c>
      <c r="K148" s="22">
        <f t="shared" si="130"/>
        <v>9607.119999999999</v>
      </c>
      <c r="M148" s="10">
        <v>42955</v>
      </c>
      <c r="N148">
        <v>138804</v>
      </c>
      <c r="O148" t="s">
        <v>331</v>
      </c>
      <c r="P148">
        <v>600</v>
      </c>
      <c r="Q148" s="22">
        <v>16.670000000000002</v>
      </c>
      <c r="R148" s="22">
        <f>P148*Q148</f>
        <v>10002.000000000002</v>
      </c>
      <c r="S148" s="22">
        <f t="shared" si="132"/>
        <v>2.7505500000000005</v>
      </c>
      <c r="T148" s="22">
        <f>R148*0.005%</f>
        <v>0.5001000000000001</v>
      </c>
      <c r="U148" s="22">
        <v>4</v>
      </c>
      <c r="V148" s="22">
        <f t="shared" si="158"/>
        <v>0.2</v>
      </c>
      <c r="W148" s="22">
        <v>0</v>
      </c>
      <c r="X148" s="22">
        <f t="shared" si="159"/>
        <v>9994.7493500000019</v>
      </c>
      <c r="Y148" s="22">
        <f t="shared" si="160"/>
        <v>387.62935000000289</v>
      </c>
    </row>
    <row r="149" spans="1:25" x14ac:dyDescent="0.25">
      <c r="A149" s="10">
        <v>42949</v>
      </c>
      <c r="B149">
        <v>135454</v>
      </c>
      <c r="C149" t="s">
        <v>332</v>
      </c>
      <c r="D149">
        <v>2300</v>
      </c>
      <c r="E149" s="22">
        <v>3.33</v>
      </c>
      <c r="F149" s="22">
        <f t="shared" ref="F149" si="161">D149*E149</f>
        <v>7659</v>
      </c>
      <c r="G149" s="22">
        <f t="shared" ref="G149" si="162">F149*0.0275%</f>
        <v>2.1062250000000002</v>
      </c>
      <c r="H149" s="22">
        <f t="shared" ref="H149" si="163">F149*0.005%</f>
        <v>0.38295000000000001</v>
      </c>
      <c r="I149" s="22">
        <v>4</v>
      </c>
      <c r="J149" s="22">
        <f t="shared" si="157"/>
        <v>0.2</v>
      </c>
      <c r="K149" s="22">
        <f t="shared" si="130"/>
        <v>7665.4891750000006</v>
      </c>
      <c r="M149" s="10">
        <v>42968</v>
      </c>
      <c r="N149">
        <v>146387</v>
      </c>
      <c r="O149" t="s">
        <v>332</v>
      </c>
      <c r="P149">
        <v>2300</v>
      </c>
      <c r="Q149" s="22">
        <v>3.52</v>
      </c>
      <c r="R149" s="22">
        <f t="shared" ref="R149" si="164">P149*Q149</f>
        <v>8096</v>
      </c>
      <c r="S149" s="22">
        <f t="shared" si="132"/>
        <v>2.2263999999999999</v>
      </c>
      <c r="T149" s="22">
        <f t="shared" ref="T149" si="165">R149*0.005%</f>
        <v>0.40479999999999999</v>
      </c>
      <c r="U149" s="22">
        <v>4</v>
      </c>
      <c r="V149" s="22">
        <f t="shared" si="158"/>
        <v>0.2</v>
      </c>
      <c r="W149" s="22">
        <v>0</v>
      </c>
      <c r="X149" s="22">
        <f t="shared" si="159"/>
        <v>8089.3688000000002</v>
      </c>
      <c r="Y149" s="22">
        <f t="shared" si="160"/>
        <v>423.87962499999958</v>
      </c>
    </row>
    <row r="150" spans="1:25" x14ac:dyDescent="0.25">
      <c r="A150" s="10">
        <v>42955</v>
      </c>
      <c r="B150">
        <v>138804</v>
      </c>
      <c r="C150" t="s">
        <v>311</v>
      </c>
      <c r="D150">
        <v>900</v>
      </c>
      <c r="E150" s="22">
        <v>8.8699999999999992</v>
      </c>
      <c r="F150" s="22">
        <f t="shared" ref="F150" si="166">D150*E150</f>
        <v>7982.9999999999991</v>
      </c>
      <c r="G150" s="22">
        <f t="shared" ref="G150" si="167">F150*0.0275%</f>
        <v>2.195325</v>
      </c>
      <c r="H150" s="22">
        <f t="shared" ref="H150" si="168">F150*0.005%</f>
        <v>0.39914999999999995</v>
      </c>
      <c r="I150" s="22">
        <v>4</v>
      </c>
      <c r="J150" s="22">
        <f t="shared" si="157"/>
        <v>0.2</v>
      </c>
      <c r="K150" s="22">
        <f t="shared" ref="K150" si="169">F150+G150+H150+I150</f>
        <v>7989.594474999999</v>
      </c>
      <c r="M150" s="20"/>
      <c r="N150" s="20"/>
      <c r="O150" s="65" t="s">
        <v>311</v>
      </c>
      <c r="P150" s="21">
        <v>1044</v>
      </c>
      <c r="Q150" s="34">
        <v>15.3</v>
      </c>
      <c r="R150" s="34">
        <f t="shared" ref="R150" si="170">P150*Q150</f>
        <v>15973.2</v>
      </c>
      <c r="S150" s="34">
        <f t="shared" ref="S150" si="171">R150*0.0275%</f>
        <v>4.3926300000000005</v>
      </c>
      <c r="T150" s="34">
        <f t="shared" ref="T150" si="172">R150*0.005%</f>
        <v>0.79866000000000004</v>
      </c>
      <c r="U150" s="34">
        <v>4</v>
      </c>
      <c r="V150" s="34">
        <f t="shared" si="158"/>
        <v>0.2</v>
      </c>
      <c r="W150" s="34">
        <v>0</v>
      </c>
      <c r="X150" s="34">
        <f t="shared" ref="X150" si="173">R150-S150-T150-U150-W150</f>
        <v>15964.00871</v>
      </c>
      <c r="Y150" s="37">
        <f t="shared" ref="Y150" si="174">X150-K150+W150</f>
        <v>7974.4142350000011</v>
      </c>
    </row>
    <row r="151" spans="1:25" x14ac:dyDescent="0.25">
      <c r="A151" s="10">
        <v>42956</v>
      </c>
      <c r="B151">
        <v>139684</v>
      </c>
      <c r="C151" t="s">
        <v>333</v>
      </c>
      <c r="D151">
        <v>1500</v>
      </c>
      <c r="E151" s="22">
        <v>6.75</v>
      </c>
      <c r="F151" s="22">
        <f t="shared" ref="F151:F152" si="175">D151*E151</f>
        <v>10125</v>
      </c>
      <c r="G151" s="22">
        <f t="shared" ref="G151:G152" si="176">F151*0.0275%</f>
        <v>2.7843750000000003</v>
      </c>
      <c r="H151" s="22">
        <f t="shared" ref="H151:H152" si="177">F151*0.005%</f>
        <v>0.50624999999999998</v>
      </c>
      <c r="I151" s="22">
        <v>4</v>
      </c>
      <c r="J151" s="22">
        <f t="shared" si="157"/>
        <v>0.2</v>
      </c>
      <c r="K151" s="22">
        <f t="shared" ref="K151" si="178">F151+G151+H151+I151</f>
        <v>10132.290625</v>
      </c>
      <c r="M151" s="10">
        <v>42975</v>
      </c>
      <c r="N151">
        <v>151043</v>
      </c>
      <c r="O151" t="s">
        <v>333</v>
      </c>
      <c r="P151">
        <v>1500</v>
      </c>
      <c r="Q151" s="22">
        <v>7.12</v>
      </c>
      <c r="R151" s="22">
        <f t="shared" ref="R151:R156" si="179">P151*Q151</f>
        <v>10680</v>
      </c>
      <c r="S151" s="22">
        <f t="shared" ref="S151:S156" si="180">R151*0.0275%</f>
        <v>2.9370000000000003</v>
      </c>
      <c r="T151" s="22">
        <f t="shared" ref="T151:T154" si="181">R151*0.005%</f>
        <v>0.53400000000000003</v>
      </c>
      <c r="U151" s="36">
        <v>1.49</v>
      </c>
      <c r="V151" s="22">
        <f t="shared" si="158"/>
        <v>7.4499999999999997E-2</v>
      </c>
      <c r="W151" s="22">
        <v>0</v>
      </c>
      <c r="X151" s="22">
        <f t="shared" ref="X151:X154" si="182">R151-S151-T151-U151-W151</f>
        <v>10675.039000000001</v>
      </c>
      <c r="Y151" s="22">
        <f t="shared" ref="Y151:Y154" si="183">X151-K151+W151</f>
        <v>542.74837500000103</v>
      </c>
    </row>
    <row r="152" spans="1:25" x14ac:dyDescent="0.25">
      <c r="A152" s="10">
        <v>42962</v>
      </c>
      <c r="B152">
        <v>143065</v>
      </c>
      <c r="C152" t="s">
        <v>328</v>
      </c>
      <c r="D152">
        <v>2000</v>
      </c>
      <c r="E152" s="22">
        <v>3.45</v>
      </c>
      <c r="F152" s="22">
        <f t="shared" si="175"/>
        <v>6900</v>
      </c>
      <c r="G152" s="22">
        <f t="shared" si="176"/>
        <v>1.8975000000000002</v>
      </c>
      <c r="H152" s="22">
        <f t="shared" si="177"/>
        <v>0.34500000000000003</v>
      </c>
      <c r="I152" s="22">
        <v>4</v>
      </c>
      <c r="J152" s="22">
        <f t="shared" ref="J152:J165" si="184">I152*5%</f>
        <v>0.2</v>
      </c>
      <c r="K152" s="22">
        <f t="shared" ref="K152:K165" si="185">F152+G152+H152+I152</f>
        <v>6906.2425000000003</v>
      </c>
      <c r="M152" s="30">
        <v>43766</v>
      </c>
      <c r="N152" s="66">
        <v>1061015</v>
      </c>
      <c r="O152" s="66" t="s">
        <v>328</v>
      </c>
      <c r="P152" s="66">
        <v>2000</v>
      </c>
      <c r="Q152" s="36">
        <v>4.0999999999999996</v>
      </c>
      <c r="R152" s="36">
        <f t="shared" si="179"/>
        <v>8200</v>
      </c>
      <c r="S152" s="36">
        <f t="shared" si="180"/>
        <v>2.2550000000000003</v>
      </c>
      <c r="T152" s="36">
        <f>R152*0.004%</f>
        <v>0.32800000000000001</v>
      </c>
      <c r="U152" s="36">
        <v>2.4900000000000002</v>
      </c>
      <c r="V152" s="36">
        <f>U152*6.5%</f>
        <v>0.16185000000000002</v>
      </c>
      <c r="W152" s="36">
        <v>0</v>
      </c>
      <c r="X152" s="36">
        <f>R152-S152-T152-U152-V152-W152</f>
        <v>8194.7651500000011</v>
      </c>
      <c r="Y152" s="36">
        <f t="shared" si="183"/>
        <v>1288.5226500000008</v>
      </c>
    </row>
    <row r="153" spans="1:25" x14ac:dyDescent="0.25">
      <c r="A153" s="10">
        <v>42964</v>
      </c>
      <c r="B153">
        <v>144736</v>
      </c>
      <c r="C153" t="s">
        <v>313</v>
      </c>
      <c r="D153">
        <v>2000</v>
      </c>
      <c r="E153" s="22">
        <v>3.45</v>
      </c>
      <c r="F153" s="22">
        <f t="shared" ref="F153:F154" si="186">D153*E153</f>
        <v>6900</v>
      </c>
      <c r="G153" s="22">
        <f t="shared" ref="G153:G154" si="187">F153*0.0275%</f>
        <v>1.8975000000000002</v>
      </c>
      <c r="H153" s="22">
        <f t="shared" ref="H153:H154" si="188">F153*0.005%</f>
        <v>0.34500000000000003</v>
      </c>
      <c r="I153" s="22">
        <v>4</v>
      </c>
      <c r="J153" s="22">
        <f t="shared" si="184"/>
        <v>0.2</v>
      </c>
      <c r="K153" s="22">
        <f t="shared" si="185"/>
        <v>6906.2425000000003</v>
      </c>
      <c r="M153" s="10">
        <v>43017</v>
      </c>
      <c r="N153">
        <v>189362</v>
      </c>
      <c r="O153" t="s">
        <v>313</v>
      </c>
      <c r="P153">
        <v>2000</v>
      </c>
      <c r="Q153" s="22">
        <v>3.54</v>
      </c>
      <c r="R153" s="22">
        <f t="shared" si="179"/>
        <v>7080</v>
      </c>
      <c r="S153" s="22">
        <f t="shared" si="180"/>
        <v>1.9470000000000001</v>
      </c>
      <c r="T153" s="22">
        <f t="shared" si="181"/>
        <v>0.35400000000000004</v>
      </c>
      <c r="U153" s="36">
        <v>2.4900000000000002</v>
      </c>
      <c r="V153" s="22">
        <f t="shared" ref="V153:V165" si="189">U153*5%</f>
        <v>0.12450000000000001</v>
      </c>
      <c r="W153" s="22">
        <v>0</v>
      </c>
      <c r="X153" s="22">
        <f t="shared" si="182"/>
        <v>7075.2089999999998</v>
      </c>
      <c r="Y153" s="22">
        <f t="shared" si="183"/>
        <v>168.96649999999954</v>
      </c>
    </row>
    <row r="154" spans="1:25" x14ac:dyDescent="0.25">
      <c r="A154" s="42">
        <v>42977</v>
      </c>
      <c r="B154" s="43">
        <v>152827</v>
      </c>
      <c r="C154" s="43" t="s">
        <v>335</v>
      </c>
      <c r="D154" s="43">
        <v>5400</v>
      </c>
      <c r="E154" s="44">
        <v>1.86</v>
      </c>
      <c r="F154" s="44">
        <f t="shared" si="186"/>
        <v>10044</v>
      </c>
      <c r="G154" s="44">
        <f t="shared" si="187"/>
        <v>2.7621000000000002</v>
      </c>
      <c r="H154" s="44">
        <f t="shared" si="188"/>
        <v>0.50219999999999998</v>
      </c>
      <c r="I154" s="44">
        <v>2.4900000000000002</v>
      </c>
      <c r="J154" s="44">
        <f t="shared" si="184"/>
        <v>0.12450000000000001</v>
      </c>
      <c r="K154" s="44">
        <f t="shared" si="185"/>
        <v>10049.754300000001</v>
      </c>
      <c r="L154" s="45"/>
      <c r="M154" s="93"/>
      <c r="N154" s="93"/>
      <c r="O154" s="94" t="s">
        <v>357</v>
      </c>
      <c r="P154" s="94">
        <v>540</v>
      </c>
      <c r="Q154" s="95">
        <v>0.77</v>
      </c>
      <c r="R154" s="95">
        <f t="shared" si="179"/>
        <v>415.8</v>
      </c>
      <c r="S154" s="95">
        <f t="shared" si="180"/>
        <v>0.11434500000000002</v>
      </c>
      <c r="T154" s="95">
        <f t="shared" si="181"/>
        <v>2.0790000000000003E-2</v>
      </c>
      <c r="U154" s="95">
        <v>2.4900000000000002</v>
      </c>
      <c r="V154" s="95">
        <f t="shared" si="189"/>
        <v>0.12450000000000001</v>
      </c>
      <c r="W154" s="95">
        <v>0</v>
      </c>
      <c r="X154" s="95">
        <f t="shared" si="182"/>
        <v>413.17486500000001</v>
      </c>
      <c r="Y154" s="117">
        <f t="shared" si="183"/>
        <v>-9636.5794349999996</v>
      </c>
    </row>
    <row r="155" spans="1:25" x14ac:dyDescent="0.25">
      <c r="A155" s="111"/>
      <c r="B155" s="112"/>
      <c r="C155" s="112"/>
      <c r="D155" s="112"/>
      <c r="E155" s="64"/>
      <c r="F155" s="64"/>
      <c r="G155" s="64"/>
      <c r="H155" s="64"/>
      <c r="I155" s="64"/>
      <c r="J155" s="64"/>
      <c r="K155" s="64"/>
      <c r="L155" s="104"/>
      <c r="M155" s="101">
        <v>43698</v>
      </c>
      <c r="N155" s="102">
        <v>804019</v>
      </c>
      <c r="O155" s="102" t="s">
        <v>349</v>
      </c>
      <c r="P155" s="102">
        <v>100</v>
      </c>
      <c r="Q155" s="63">
        <v>0.2</v>
      </c>
      <c r="R155" s="63">
        <f t="shared" ref="R155" si="190">P155*Q155</f>
        <v>20</v>
      </c>
      <c r="S155" s="63">
        <f>R155*0.02%</f>
        <v>4.0000000000000001E-3</v>
      </c>
      <c r="T155" s="63">
        <v>0</v>
      </c>
      <c r="U155" s="103">
        <v>2.4900000000000002</v>
      </c>
      <c r="V155" s="63">
        <f>U155*6.5%</f>
        <v>0.16185000000000002</v>
      </c>
      <c r="W155" s="63">
        <v>0</v>
      </c>
      <c r="X155" s="63">
        <f>R155-S155-T155-U155-V155-W155</f>
        <v>17.344149999999999</v>
      </c>
      <c r="Y155" s="63">
        <f>X155-K155+W155</f>
        <v>17.344149999999999</v>
      </c>
    </row>
    <row r="156" spans="1:25" x14ac:dyDescent="0.25">
      <c r="A156" s="10">
        <v>42977</v>
      </c>
      <c r="B156">
        <v>152827</v>
      </c>
      <c r="C156" t="s">
        <v>307</v>
      </c>
      <c r="D156">
        <v>400</v>
      </c>
      <c r="E156" s="22">
        <v>22.5</v>
      </c>
      <c r="F156" s="22">
        <f t="shared" ref="F156:F164" si="191">D156*E156</f>
        <v>9000</v>
      </c>
      <c r="G156" s="22">
        <f t="shared" ref="G156:G164" si="192">F156*0.0275%</f>
        <v>2.4750000000000001</v>
      </c>
      <c r="H156" s="22">
        <f t="shared" ref="H156:H164" si="193">F156*0.005%</f>
        <v>0.45</v>
      </c>
      <c r="I156" s="22">
        <v>2.4900000000000002</v>
      </c>
      <c r="J156" s="22">
        <f t="shared" si="184"/>
        <v>0.12450000000000001</v>
      </c>
      <c r="K156" s="22">
        <f t="shared" si="185"/>
        <v>9005.4150000000009</v>
      </c>
      <c r="M156" s="30">
        <v>44148</v>
      </c>
      <c r="N156" s="66">
        <v>2135645</v>
      </c>
      <c r="O156" s="66" t="s">
        <v>307</v>
      </c>
      <c r="P156" s="66">
        <v>400</v>
      </c>
      <c r="Q156" s="36">
        <v>32.6</v>
      </c>
      <c r="R156" s="36">
        <f t="shared" si="179"/>
        <v>13040</v>
      </c>
      <c r="S156" s="36">
        <f t="shared" si="180"/>
        <v>3.5860000000000003</v>
      </c>
      <c r="T156" s="36">
        <f>R156*0.0032%</f>
        <v>0.41727999999999998</v>
      </c>
      <c r="U156" s="36">
        <v>1.25</v>
      </c>
      <c r="V156" s="36">
        <f t="shared" ref="V156" si="194">U156*6.5%</f>
        <v>8.1250000000000003E-2</v>
      </c>
      <c r="W156" s="22">
        <v>0</v>
      </c>
      <c r="X156" s="22">
        <f>R156-S156-T156-U156-V156-W156</f>
        <v>13034.665470000002</v>
      </c>
      <c r="Y156" s="22">
        <f t="shared" ref="Y156:Y164" si="195">X156-K156+W156</f>
        <v>4029.2504700000009</v>
      </c>
    </row>
    <row r="157" spans="1:25" x14ac:dyDescent="0.25">
      <c r="A157" s="10">
        <v>42978</v>
      </c>
      <c r="B157">
        <v>153852</v>
      </c>
      <c r="C157" t="s">
        <v>336</v>
      </c>
      <c r="D157">
        <v>400</v>
      </c>
      <c r="E157" s="22">
        <v>25.7</v>
      </c>
      <c r="F157" s="22">
        <f t="shared" si="191"/>
        <v>10280</v>
      </c>
      <c r="G157" s="22">
        <f t="shared" si="192"/>
        <v>2.827</v>
      </c>
      <c r="H157" s="22">
        <f t="shared" si="193"/>
        <v>0.51400000000000001</v>
      </c>
      <c r="I157" s="22">
        <v>2.4900000000000002</v>
      </c>
      <c r="J157" s="22">
        <f t="shared" si="184"/>
        <v>0.12450000000000001</v>
      </c>
      <c r="K157" s="22">
        <f t="shared" si="185"/>
        <v>10285.830999999998</v>
      </c>
      <c r="M157" s="10">
        <v>42992</v>
      </c>
      <c r="N157">
        <v>165164</v>
      </c>
      <c r="O157" t="s">
        <v>336</v>
      </c>
      <c r="P157">
        <v>400</v>
      </c>
      <c r="Q157" s="22">
        <v>28.1</v>
      </c>
      <c r="R157" s="22">
        <f t="shared" ref="R157:R164" si="196">P157*Q157</f>
        <v>11240</v>
      </c>
      <c r="S157" s="22">
        <f t="shared" ref="S157:S164" si="197">R157*0.0275%</f>
        <v>3.0910000000000002</v>
      </c>
      <c r="T157" s="22">
        <f t="shared" ref="T157:T164" si="198">R157*0.005%</f>
        <v>0.56200000000000006</v>
      </c>
      <c r="U157" s="36">
        <v>2.4900000000000002</v>
      </c>
      <c r="V157" s="22">
        <f t="shared" si="189"/>
        <v>0.12450000000000001</v>
      </c>
      <c r="W157" s="22">
        <v>0</v>
      </c>
      <c r="X157" s="22">
        <f t="shared" ref="X157:X164" si="199">R157-S157-T157-U157-W157</f>
        <v>11233.857</v>
      </c>
      <c r="Y157" s="22">
        <f t="shared" si="195"/>
        <v>948.02600000000166</v>
      </c>
    </row>
    <row r="158" spans="1:25" x14ac:dyDescent="0.25">
      <c r="A158" s="42">
        <v>42983</v>
      </c>
      <c r="B158" s="43">
        <v>157269</v>
      </c>
      <c r="C158" s="43" t="s">
        <v>338</v>
      </c>
      <c r="D158" s="43">
        <v>2200</v>
      </c>
      <c r="E158" s="44">
        <v>3.4</v>
      </c>
      <c r="F158" s="44">
        <f t="shared" si="191"/>
        <v>7480</v>
      </c>
      <c r="G158" s="44">
        <f t="shared" si="192"/>
        <v>2.0569999999999999</v>
      </c>
      <c r="H158" s="44">
        <f t="shared" si="193"/>
        <v>0.374</v>
      </c>
      <c r="I158" s="44">
        <v>2.4900000000000002</v>
      </c>
      <c r="J158" s="44">
        <f t="shared" si="184"/>
        <v>0.12450000000000001</v>
      </c>
      <c r="K158" s="44">
        <f t="shared" si="185"/>
        <v>7484.9209999999994</v>
      </c>
      <c r="L158" s="45"/>
      <c r="M158" s="42">
        <v>44326</v>
      </c>
      <c r="N158" s="43">
        <v>777510</v>
      </c>
      <c r="O158" s="43" t="s">
        <v>338</v>
      </c>
      <c r="P158" s="43">
        <v>1800</v>
      </c>
      <c r="Q158" s="44">
        <v>10.8</v>
      </c>
      <c r="R158" s="44">
        <f t="shared" si="196"/>
        <v>19440</v>
      </c>
      <c r="S158" s="44">
        <f>R158*0.025%</f>
        <v>4.8600000000000003</v>
      </c>
      <c r="T158" s="44">
        <f>R158*0.005%</f>
        <v>0.97200000000000009</v>
      </c>
      <c r="U158" s="97">
        <v>1.99</v>
      </c>
      <c r="V158" s="44">
        <f t="shared" ref="V158" si="200">U158*6.5%</f>
        <v>0.12934999999999999</v>
      </c>
      <c r="W158" s="44">
        <v>0</v>
      </c>
      <c r="X158" s="44">
        <f>R158-S158-T158-U158-V158-W158</f>
        <v>19432.048649999997</v>
      </c>
      <c r="Y158" s="44">
        <f>X158-(K158/D158)*P158+W158</f>
        <v>13308.022377272724</v>
      </c>
    </row>
    <row r="159" spans="1:25" x14ac:dyDescent="0.25">
      <c r="A159" s="24"/>
      <c r="B159" s="25"/>
      <c r="C159" s="25"/>
      <c r="D159" s="25"/>
      <c r="E159" s="33"/>
      <c r="F159" s="33"/>
      <c r="G159" s="33"/>
      <c r="H159" s="33"/>
      <c r="I159" s="33"/>
      <c r="J159" s="33"/>
      <c r="K159" s="33"/>
      <c r="M159" s="20"/>
      <c r="N159" s="20"/>
      <c r="O159" s="65" t="s">
        <v>338</v>
      </c>
      <c r="P159" s="65">
        <v>400</v>
      </c>
      <c r="Q159" s="34">
        <v>11.85</v>
      </c>
      <c r="R159" s="34">
        <f t="shared" ref="R159:R160" si="201">P159*Q159</f>
        <v>4740</v>
      </c>
      <c r="S159" s="34">
        <f t="shared" ref="S159" si="202">R159*0.0275%</f>
        <v>1.3035000000000001</v>
      </c>
      <c r="T159" s="34">
        <f t="shared" ref="T159" si="203">R159*0.005%</f>
        <v>0.23700000000000002</v>
      </c>
      <c r="U159" s="34">
        <v>2.4900000000000002</v>
      </c>
      <c r="V159" s="34">
        <f t="shared" ref="V159" si="204">U159*5%</f>
        <v>0.12450000000000001</v>
      </c>
      <c r="W159" s="34">
        <v>0</v>
      </c>
      <c r="X159" s="34">
        <f t="shared" ref="X159" si="205">R159-S159-T159-U159-W159</f>
        <v>4735.9695000000002</v>
      </c>
      <c r="Y159" s="22">
        <f>X159-(K158/D158)*P159+W159</f>
        <v>3375.0747727272728</v>
      </c>
    </row>
    <row r="160" spans="1:25" x14ac:dyDescent="0.25">
      <c r="A160" s="111"/>
      <c r="B160" s="112"/>
      <c r="C160" s="112"/>
      <c r="D160" s="112"/>
      <c r="E160" s="64"/>
      <c r="F160" s="64"/>
      <c r="G160" s="64"/>
      <c r="H160" s="64"/>
      <c r="I160" s="64"/>
      <c r="J160" s="64"/>
      <c r="K160" s="64"/>
      <c r="L160" s="104"/>
      <c r="M160" s="101">
        <v>44281</v>
      </c>
      <c r="N160" s="102">
        <v>535121</v>
      </c>
      <c r="O160" s="102" t="s">
        <v>352</v>
      </c>
      <c r="P160" s="102">
        <v>78</v>
      </c>
      <c r="Q160" s="63">
        <v>0.61</v>
      </c>
      <c r="R160" s="63">
        <f t="shared" si="201"/>
        <v>47.58</v>
      </c>
      <c r="S160" s="63">
        <f>R160*0.025%</f>
        <v>1.1894999999999999E-2</v>
      </c>
      <c r="T160" s="63">
        <f>R160*0.005%</f>
        <v>2.379E-3</v>
      </c>
      <c r="U160" s="103">
        <v>1.99</v>
      </c>
      <c r="V160" s="63">
        <f t="shared" ref="V160" si="206">U160*6.5%</f>
        <v>0.12934999999999999</v>
      </c>
      <c r="W160" s="63">
        <v>0</v>
      </c>
      <c r="X160" s="63">
        <f>R160-S160-T160-U160-V160-W160</f>
        <v>45.446375999999994</v>
      </c>
      <c r="Y160" s="63">
        <f>X160</f>
        <v>45.446375999999994</v>
      </c>
    </row>
    <row r="161" spans="1:28" x14ac:dyDescent="0.25">
      <c r="A161" s="10">
        <v>42984</v>
      </c>
      <c r="B161">
        <v>158634</v>
      </c>
      <c r="C161" t="s">
        <v>327</v>
      </c>
      <c r="D161">
        <v>700</v>
      </c>
      <c r="E161" s="22">
        <v>9.6</v>
      </c>
      <c r="F161" s="22">
        <f t="shared" si="191"/>
        <v>6720</v>
      </c>
      <c r="G161" s="22">
        <f t="shared" si="192"/>
        <v>1.8480000000000001</v>
      </c>
      <c r="H161" s="22">
        <f t="shared" si="193"/>
        <v>0.33600000000000002</v>
      </c>
      <c r="I161" s="22">
        <v>2.4900000000000002</v>
      </c>
      <c r="J161" s="22">
        <f t="shared" ref="J161:J164" si="207">I161*5%</f>
        <v>0.12450000000000001</v>
      </c>
      <c r="K161" s="22">
        <f t="shared" ref="K161:K164" si="208">F161+G161+H161+I161</f>
        <v>6724.674</v>
      </c>
      <c r="M161" s="10">
        <v>42996</v>
      </c>
      <c r="N161">
        <v>168102</v>
      </c>
      <c r="O161" t="s">
        <v>327</v>
      </c>
      <c r="P161">
        <v>700</v>
      </c>
      <c r="Q161" s="22">
        <v>10.5</v>
      </c>
      <c r="R161" s="22">
        <f t="shared" si="196"/>
        <v>7350</v>
      </c>
      <c r="S161" s="22">
        <f t="shared" si="197"/>
        <v>2.0212500000000002</v>
      </c>
      <c r="T161" s="22">
        <f t="shared" si="198"/>
        <v>0.36749999999999999</v>
      </c>
      <c r="U161" s="36">
        <v>2.4900000000000002</v>
      </c>
      <c r="V161" s="22">
        <f t="shared" ref="V161:V164" si="209">U161*5%</f>
        <v>0.12450000000000001</v>
      </c>
      <c r="W161" s="22">
        <v>0</v>
      </c>
      <c r="X161" s="22">
        <f t="shared" si="199"/>
        <v>7345.1212500000001</v>
      </c>
      <c r="Y161" s="22">
        <f t="shared" si="195"/>
        <v>620.44725000000017</v>
      </c>
    </row>
    <row r="162" spans="1:28" x14ac:dyDescent="0.25">
      <c r="A162" s="10">
        <v>42996</v>
      </c>
      <c r="B162">
        <v>168102</v>
      </c>
      <c r="C162" t="s">
        <v>339</v>
      </c>
      <c r="D162">
        <v>400</v>
      </c>
      <c r="E162" s="22">
        <v>23.65</v>
      </c>
      <c r="F162" s="22">
        <f t="shared" si="191"/>
        <v>9460</v>
      </c>
      <c r="G162" s="22">
        <f t="shared" si="192"/>
        <v>2.6015000000000001</v>
      </c>
      <c r="H162" s="22">
        <f t="shared" si="193"/>
        <v>0.47300000000000003</v>
      </c>
      <c r="I162" s="22">
        <v>2.4900000000000002</v>
      </c>
      <c r="J162" s="22">
        <f t="shared" si="207"/>
        <v>0.12450000000000001</v>
      </c>
      <c r="K162" s="22">
        <f t="shared" si="208"/>
        <v>9465.5645000000004</v>
      </c>
      <c r="M162" s="10">
        <v>43110</v>
      </c>
      <c r="N162">
        <v>295916</v>
      </c>
      <c r="O162" t="s">
        <v>339</v>
      </c>
      <c r="P162">
        <v>400</v>
      </c>
      <c r="Q162" s="22">
        <v>29</v>
      </c>
      <c r="R162" s="22">
        <f t="shared" si="196"/>
        <v>11600</v>
      </c>
      <c r="S162" s="22">
        <f t="shared" si="197"/>
        <v>3.1900000000000004</v>
      </c>
      <c r="T162" s="22">
        <f t="shared" si="198"/>
        <v>0.58000000000000007</v>
      </c>
      <c r="U162" s="36">
        <v>2.4900000000000002</v>
      </c>
      <c r="V162" s="22">
        <f t="shared" si="209"/>
        <v>0.12450000000000001</v>
      </c>
      <c r="W162" s="22">
        <v>0</v>
      </c>
      <c r="X162" s="22">
        <f t="shared" si="199"/>
        <v>11593.74</v>
      </c>
      <c r="Y162" s="22">
        <f t="shared" si="195"/>
        <v>2128.1754999999994</v>
      </c>
    </row>
    <row r="163" spans="1:28" x14ac:dyDescent="0.25">
      <c r="A163" s="10">
        <v>42999</v>
      </c>
      <c r="B163">
        <v>172550</v>
      </c>
      <c r="C163" t="s">
        <v>340</v>
      </c>
      <c r="D163">
        <v>300</v>
      </c>
      <c r="E163" s="22">
        <v>32.200000000000003</v>
      </c>
      <c r="F163" s="22">
        <f t="shared" ref="F163" si="210">D163*E163</f>
        <v>9660</v>
      </c>
      <c r="G163" s="22">
        <f t="shared" ref="G163" si="211">F163*0.0275%</f>
        <v>2.6565000000000003</v>
      </c>
      <c r="H163" s="22">
        <f t="shared" ref="H163" si="212">F163*0.005%</f>
        <v>0.48300000000000004</v>
      </c>
      <c r="I163" s="22">
        <v>2.4900000000000002</v>
      </c>
      <c r="J163" s="22">
        <f t="shared" ref="J163" si="213">I163*5%</f>
        <v>0.12450000000000001</v>
      </c>
      <c r="K163" s="22">
        <f t="shared" ref="K163" si="214">F163+G163+H163+I163</f>
        <v>9665.6294999999991</v>
      </c>
      <c r="M163" s="10">
        <v>43047</v>
      </c>
      <c r="N163">
        <v>223016</v>
      </c>
      <c r="O163" t="s">
        <v>340</v>
      </c>
      <c r="P163">
        <v>300</v>
      </c>
      <c r="Q163" s="22">
        <v>33.799999999999997</v>
      </c>
      <c r="R163" s="22">
        <f t="shared" ref="R163" si="215">P163*Q163</f>
        <v>10140</v>
      </c>
      <c r="S163" s="22">
        <f t="shared" ref="S163" si="216">R163*0.0275%</f>
        <v>2.7885</v>
      </c>
      <c r="T163" s="22">
        <f t="shared" ref="T163" si="217">R163*0.005%</f>
        <v>0.50700000000000001</v>
      </c>
      <c r="U163" s="36">
        <v>2.4900000000000002</v>
      </c>
      <c r="V163" s="22">
        <f t="shared" ref="V163" si="218">U163*5%</f>
        <v>0.12450000000000001</v>
      </c>
      <c r="W163" s="22">
        <v>0</v>
      </c>
      <c r="X163" s="22">
        <f t="shared" ref="X163" si="219">R163-S163-T163-U163-W163</f>
        <v>10134.2145</v>
      </c>
      <c r="Y163" s="22">
        <f t="shared" ref="Y163" si="220">X163-K163+W163</f>
        <v>468.58500000000095</v>
      </c>
    </row>
    <row r="164" spans="1:28" x14ac:dyDescent="0.25">
      <c r="A164" s="10">
        <v>43003</v>
      </c>
      <c r="B164">
        <v>175088</v>
      </c>
      <c r="C164" t="s">
        <v>267</v>
      </c>
      <c r="D164">
        <v>900</v>
      </c>
      <c r="E164" s="22">
        <v>11.2</v>
      </c>
      <c r="F164" s="22">
        <f t="shared" si="191"/>
        <v>10080</v>
      </c>
      <c r="G164" s="22">
        <f t="shared" si="192"/>
        <v>2.7720000000000002</v>
      </c>
      <c r="H164" s="22">
        <f t="shared" si="193"/>
        <v>0.504</v>
      </c>
      <c r="I164" s="22">
        <v>2.4900000000000002</v>
      </c>
      <c r="J164" s="22">
        <f t="shared" si="207"/>
        <v>0.12450000000000001</v>
      </c>
      <c r="K164" s="22">
        <f t="shared" si="208"/>
        <v>10085.766000000001</v>
      </c>
      <c r="M164" s="10">
        <v>43147</v>
      </c>
      <c r="N164">
        <v>356267</v>
      </c>
      <c r="O164" t="s">
        <v>267</v>
      </c>
      <c r="P164">
        <v>900</v>
      </c>
      <c r="Q164" s="22">
        <v>15.3</v>
      </c>
      <c r="R164" s="22">
        <f t="shared" si="196"/>
        <v>13770</v>
      </c>
      <c r="S164" s="22">
        <f t="shared" si="197"/>
        <v>3.7867500000000001</v>
      </c>
      <c r="T164" s="22">
        <f t="shared" si="198"/>
        <v>0.6885</v>
      </c>
      <c r="U164" s="36">
        <v>2.4900000000000002</v>
      </c>
      <c r="V164" s="22">
        <f t="shared" si="209"/>
        <v>0.12450000000000001</v>
      </c>
      <c r="W164" s="22">
        <v>0</v>
      </c>
      <c r="X164" s="22">
        <f t="shared" si="199"/>
        <v>13763.034750000001</v>
      </c>
      <c r="Y164" s="22">
        <f t="shared" si="195"/>
        <v>3677.2687499999993</v>
      </c>
    </row>
    <row r="165" spans="1:28" x14ac:dyDescent="0.25">
      <c r="A165" s="10">
        <v>43003</v>
      </c>
      <c r="B165">
        <v>175088</v>
      </c>
      <c r="C165" t="s">
        <v>341</v>
      </c>
      <c r="D165">
        <v>600</v>
      </c>
      <c r="E165" s="22">
        <v>5.4</v>
      </c>
      <c r="F165" s="22">
        <f t="shared" ref="F165" si="221">D165*E165</f>
        <v>3240</v>
      </c>
      <c r="G165" s="22">
        <f t="shared" ref="G165" si="222">F165*0.0275%</f>
        <v>0.89100000000000001</v>
      </c>
      <c r="H165" s="22">
        <f t="shared" ref="H165" si="223">F165*0.005%</f>
        <v>0.16200000000000001</v>
      </c>
      <c r="I165" s="22">
        <v>2.4900000000000002</v>
      </c>
      <c r="J165" s="22">
        <f t="shared" si="184"/>
        <v>0.12450000000000001</v>
      </c>
      <c r="K165" s="22">
        <f t="shared" si="185"/>
        <v>3243.5429999999997</v>
      </c>
      <c r="M165" s="10">
        <v>43131</v>
      </c>
      <c r="N165">
        <v>330417</v>
      </c>
      <c r="O165" t="s">
        <v>341</v>
      </c>
      <c r="P165">
        <v>600</v>
      </c>
      <c r="Q165" s="22">
        <v>7</v>
      </c>
      <c r="R165" s="22">
        <f t="shared" ref="R165" si="224">P165*Q165</f>
        <v>4200</v>
      </c>
      <c r="S165" s="22">
        <f t="shared" ref="S165" si="225">R165*0.0275%</f>
        <v>1.155</v>
      </c>
      <c r="T165" s="22">
        <f t="shared" ref="T165" si="226">R165*0.005%</f>
        <v>0.21000000000000002</v>
      </c>
      <c r="U165" s="36">
        <v>2.4900000000000002</v>
      </c>
      <c r="V165" s="22">
        <f t="shared" si="189"/>
        <v>0.12450000000000001</v>
      </c>
      <c r="W165" s="22">
        <v>0</v>
      </c>
      <c r="X165" s="22">
        <f t="shared" ref="X165" si="227">R165-S165-T165-U165-W165</f>
        <v>4196.1450000000004</v>
      </c>
      <c r="Y165" s="22">
        <f t="shared" ref="Y165" si="228">X165-K165+W165</f>
        <v>952.60200000000077</v>
      </c>
    </row>
    <row r="166" spans="1:28" x14ac:dyDescent="0.25">
      <c r="A166" s="10">
        <v>43038</v>
      </c>
      <c r="B166">
        <v>212077</v>
      </c>
      <c r="C166" t="s">
        <v>342</v>
      </c>
      <c r="D166">
        <v>80</v>
      </c>
      <c r="E166" s="22">
        <v>61.5</v>
      </c>
      <c r="F166" s="22">
        <f t="shared" ref="F166:F168" si="229">D166*E166</f>
        <v>4920</v>
      </c>
      <c r="G166" s="22">
        <f t="shared" ref="G166:G168" si="230">F166*0.0275%</f>
        <v>1.353</v>
      </c>
      <c r="H166" s="22">
        <f t="shared" ref="H166:H168" si="231">F166*0.005%</f>
        <v>0.24600000000000002</v>
      </c>
      <c r="I166" s="22">
        <v>2.4900000000000002</v>
      </c>
      <c r="J166" s="22">
        <f t="shared" ref="J166:J168" si="232">I166*5%</f>
        <v>0.12450000000000001</v>
      </c>
      <c r="K166" s="22">
        <f t="shared" ref="K166:K168" si="233">F166+G166+H166+I166</f>
        <v>4924.0889999999999</v>
      </c>
      <c r="M166" s="10">
        <v>43154</v>
      </c>
      <c r="N166">
        <v>370124</v>
      </c>
      <c r="O166" t="s">
        <v>342</v>
      </c>
      <c r="P166">
        <v>80</v>
      </c>
      <c r="Q166" s="22">
        <v>87.3</v>
      </c>
      <c r="R166" s="22">
        <f t="shared" ref="R166:R168" si="234">P166*Q166</f>
        <v>6984</v>
      </c>
      <c r="S166" s="22">
        <f t="shared" ref="S166:S168" si="235">R166*0.0275%</f>
        <v>1.9206000000000001</v>
      </c>
      <c r="T166" s="22">
        <f t="shared" ref="T166:T168" si="236">R166*0.005%</f>
        <v>0.34920000000000001</v>
      </c>
      <c r="U166" s="36">
        <v>2.4900000000000002</v>
      </c>
      <c r="V166" s="22">
        <f t="shared" ref="V166:V168" si="237">U166*5%</f>
        <v>0.12450000000000001</v>
      </c>
      <c r="W166" s="22">
        <v>0</v>
      </c>
      <c r="X166" s="22">
        <f t="shared" ref="X166:X168" si="238">R166-S166-T166-U166-W166</f>
        <v>6979.2402000000002</v>
      </c>
      <c r="Y166" s="22">
        <f t="shared" ref="Y166:Y168" si="239">X166-K166+W166</f>
        <v>2055.1512000000002</v>
      </c>
    </row>
    <row r="167" spans="1:28" x14ac:dyDescent="0.25">
      <c r="A167" s="10">
        <v>43038</v>
      </c>
      <c r="B167">
        <v>212077</v>
      </c>
      <c r="C167" t="s">
        <v>343</v>
      </c>
      <c r="D167">
        <v>100</v>
      </c>
      <c r="E167" s="22">
        <v>61.5</v>
      </c>
      <c r="F167" s="22">
        <f t="shared" si="229"/>
        <v>6150</v>
      </c>
      <c r="G167" s="22">
        <f t="shared" si="230"/>
        <v>1.6912500000000001</v>
      </c>
      <c r="H167" s="22">
        <f t="shared" si="231"/>
        <v>0.3075</v>
      </c>
      <c r="I167" s="22">
        <v>2.4900000000000002</v>
      </c>
      <c r="J167" s="22">
        <f t="shared" si="232"/>
        <v>0.12450000000000001</v>
      </c>
      <c r="K167" s="22">
        <f t="shared" si="233"/>
        <v>6154.4887499999995</v>
      </c>
      <c r="M167" s="10">
        <v>43154</v>
      </c>
      <c r="N167">
        <v>370124</v>
      </c>
      <c r="O167" t="s">
        <v>343</v>
      </c>
      <c r="P167">
        <v>100</v>
      </c>
      <c r="Q167" s="22">
        <v>87.3</v>
      </c>
      <c r="R167" s="22">
        <f t="shared" si="234"/>
        <v>8730</v>
      </c>
      <c r="S167" s="22">
        <f t="shared" si="235"/>
        <v>2.4007499999999999</v>
      </c>
      <c r="T167" s="22">
        <f t="shared" si="236"/>
        <v>0.4365</v>
      </c>
      <c r="U167" s="36">
        <v>2.4900000000000002</v>
      </c>
      <c r="V167" s="22">
        <f t="shared" si="237"/>
        <v>0.12450000000000001</v>
      </c>
      <c r="W167" s="22">
        <v>0</v>
      </c>
      <c r="X167" s="22">
        <f t="shared" si="238"/>
        <v>8724.6727499999997</v>
      </c>
      <c r="Y167" s="22">
        <f t="shared" si="239"/>
        <v>2570.1840000000002</v>
      </c>
    </row>
    <row r="168" spans="1:28" x14ac:dyDescent="0.25">
      <c r="A168" s="10">
        <v>43048</v>
      </c>
      <c r="B168">
        <v>224704</v>
      </c>
      <c r="C168" t="s">
        <v>294</v>
      </c>
      <c r="D168">
        <v>300</v>
      </c>
      <c r="E168" s="22">
        <v>27.1</v>
      </c>
      <c r="F168" s="22">
        <f t="shared" si="229"/>
        <v>8130</v>
      </c>
      <c r="G168" s="22">
        <f t="shared" si="230"/>
        <v>2.2357500000000003</v>
      </c>
      <c r="H168" s="22">
        <f t="shared" si="231"/>
        <v>0.40650000000000003</v>
      </c>
      <c r="I168" s="22">
        <v>2.4900000000000002</v>
      </c>
      <c r="J168" s="22">
        <f t="shared" si="232"/>
        <v>0.12450000000000001</v>
      </c>
      <c r="K168" s="22">
        <f t="shared" si="233"/>
        <v>8135.1322499999997</v>
      </c>
      <c r="M168" s="10">
        <v>43067</v>
      </c>
      <c r="N168">
        <v>243135</v>
      </c>
      <c r="O168" t="s">
        <v>294</v>
      </c>
      <c r="P168">
        <v>300</v>
      </c>
      <c r="Q168" s="22">
        <v>26.7</v>
      </c>
      <c r="R168" s="22">
        <f t="shared" si="234"/>
        <v>8010</v>
      </c>
      <c r="S168" s="22">
        <f t="shared" si="235"/>
        <v>2.20275</v>
      </c>
      <c r="T168" s="22">
        <f t="shared" si="236"/>
        <v>0.40050000000000002</v>
      </c>
      <c r="U168" s="36">
        <v>2.4900000000000002</v>
      </c>
      <c r="V168" s="22">
        <f t="shared" si="237"/>
        <v>0.12450000000000001</v>
      </c>
      <c r="W168" s="22">
        <v>0</v>
      </c>
      <c r="X168" s="22">
        <f t="shared" si="238"/>
        <v>8004.9067500000001</v>
      </c>
      <c r="Y168" s="22">
        <f t="shared" si="239"/>
        <v>-130.22549999999956</v>
      </c>
    </row>
    <row r="169" spans="1:28" s="47" customFormat="1" x14ac:dyDescent="0.25">
      <c r="A169" s="30">
        <v>43905</v>
      </c>
      <c r="B169" s="66">
        <v>401848</v>
      </c>
      <c r="C169" s="66" t="s">
        <v>288</v>
      </c>
      <c r="D169" s="66">
        <v>3000</v>
      </c>
      <c r="E169" s="36">
        <v>0.7</v>
      </c>
      <c r="F169" s="36">
        <f t="shared" ref="F169:F175" si="240">D169*E169</f>
        <v>2100</v>
      </c>
      <c r="G169" s="36">
        <f t="shared" ref="G169:G170" si="241">F169*0.0275%</f>
        <v>0.57750000000000001</v>
      </c>
      <c r="H169" s="36">
        <f t="shared" ref="H169:H175" si="242">F169*0.0032%</f>
        <v>6.7199999999999996E-2</v>
      </c>
      <c r="I169" s="36">
        <v>2.4900000000000002</v>
      </c>
      <c r="J169" s="36">
        <f t="shared" ref="J169:J175" si="243">I169*6.5%</f>
        <v>0.16185000000000002</v>
      </c>
      <c r="K169" s="36">
        <f t="shared" ref="K169:K175" si="244">F169+G169+H169+I169+J169</f>
        <v>2103.2965499999996</v>
      </c>
      <c r="L169" s="70"/>
      <c r="M169" s="20"/>
      <c r="N169" s="20"/>
      <c r="O169" s="65" t="s">
        <v>288</v>
      </c>
      <c r="P169" s="65">
        <v>3000</v>
      </c>
      <c r="Q169" s="34">
        <v>0.98</v>
      </c>
      <c r="R169" s="34">
        <f t="shared" ref="R169:R175" si="245">P169*Q169</f>
        <v>2940</v>
      </c>
      <c r="S169" s="34">
        <f t="shared" ref="S169:S175" si="246">R169*0.0275%</f>
        <v>0.8085</v>
      </c>
      <c r="T169" s="34">
        <f t="shared" ref="T169:T173" si="247">R169*0.0032%</f>
        <v>9.4079999999999997E-2</v>
      </c>
      <c r="U169" s="34">
        <v>2.4900000000000002</v>
      </c>
      <c r="V169" s="34">
        <f t="shared" ref="V169:V175" si="248">U169*6.5%</f>
        <v>0.16185000000000002</v>
      </c>
      <c r="W169" s="34">
        <v>0</v>
      </c>
      <c r="X169" s="34">
        <f t="shared" ref="X169" si="249">R169-S169-T169-U169-W169</f>
        <v>2936.6074200000003</v>
      </c>
      <c r="Y169" s="37">
        <f t="shared" ref="Y169" si="250">X169-K169+W169</f>
        <v>833.3108700000007</v>
      </c>
      <c r="Z169" s="23"/>
      <c r="AA169" s="23"/>
      <c r="AB169" s="23"/>
    </row>
    <row r="170" spans="1:28" s="47" customFormat="1" x14ac:dyDescent="0.25">
      <c r="A170" s="30">
        <v>43905</v>
      </c>
      <c r="B170" s="66">
        <v>401848</v>
      </c>
      <c r="C170" s="66" t="s">
        <v>316</v>
      </c>
      <c r="D170" s="66">
        <v>300</v>
      </c>
      <c r="E170" s="36">
        <v>16.399999999999999</v>
      </c>
      <c r="F170" s="36">
        <f t="shared" si="240"/>
        <v>4920</v>
      </c>
      <c r="G170" s="36">
        <f t="shared" si="241"/>
        <v>1.353</v>
      </c>
      <c r="H170" s="36">
        <f t="shared" si="242"/>
        <v>0.15744</v>
      </c>
      <c r="I170" s="36">
        <v>2.4900000000000002</v>
      </c>
      <c r="J170" s="36">
        <f t="shared" si="243"/>
        <v>0.16185000000000002</v>
      </c>
      <c r="K170" s="36">
        <f t="shared" si="244"/>
        <v>4924.1622900000002</v>
      </c>
      <c r="L170" s="70"/>
      <c r="M170" s="20"/>
      <c r="N170" s="20"/>
      <c r="O170" s="65" t="s">
        <v>316</v>
      </c>
      <c r="P170" s="21">
        <f>300*3</f>
        <v>900</v>
      </c>
      <c r="Q170" s="34">
        <v>3.76</v>
      </c>
      <c r="R170" s="34">
        <f t="shared" si="245"/>
        <v>3384</v>
      </c>
      <c r="S170" s="34">
        <f t="shared" si="246"/>
        <v>0.93060000000000009</v>
      </c>
      <c r="T170" s="34">
        <f t="shared" si="247"/>
        <v>0.108288</v>
      </c>
      <c r="U170" s="34">
        <v>2.4900000000000002</v>
      </c>
      <c r="V170" s="34">
        <f t="shared" si="248"/>
        <v>0.16185000000000002</v>
      </c>
      <c r="W170" s="34">
        <v>0</v>
      </c>
      <c r="X170" s="34">
        <f t="shared" ref="X170:X173" si="251">R170-S170-T170-U170-W170</f>
        <v>3380.4711120000002</v>
      </c>
      <c r="Y170" s="37">
        <f t="shared" ref="Y170:Y175" si="252">X170-K170+W170</f>
        <v>-1543.691178</v>
      </c>
      <c r="Z170" s="23"/>
      <c r="AA170" s="23"/>
      <c r="AB170" s="23"/>
    </row>
    <row r="171" spans="1:28" s="47" customFormat="1" x14ac:dyDescent="0.25">
      <c r="A171" s="30">
        <v>43907</v>
      </c>
      <c r="B171" s="66">
        <v>421708</v>
      </c>
      <c r="C171" s="66" t="s">
        <v>326</v>
      </c>
      <c r="D171" s="66">
        <v>1200</v>
      </c>
      <c r="E171" s="36">
        <v>2.5</v>
      </c>
      <c r="F171" s="36">
        <f t="shared" si="240"/>
        <v>3000</v>
      </c>
      <c r="G171" s="36">
        <f t="shared" ref="G171:G174" si="253">F171*0.0275%</f>
        <v>0.82500000000000007</v>
      </c>
      <c r="H171" s="36">
        <f t="shared" si="242"/>
        <v>9.6000000000000002E-2</v>
      </c>
      <c r="I171" s="36">
        <v>2.4900000000000002</v>
      </c>
      <c r="J171" s="36">
        <f t="shared" si="243"/>
        <v>0.16185000000000002</v>
      </c>
      <c r="K171" s="36">
        <f t="shared" si="244"/>
        <v>3003.5728499999996</v>
      </c>
      <c r="L171" s="70"/>
      <c r="M171" s="20"/>
      <c r="N171" s="20"/>
      <c r="O171" s="21" t="s">
        <v>368</v>
      </c>
      <c r="P171" s="21">
        <v>240</v>
      </c>
      <c r="Q171" s="34">
        <v>12.19</v>
      </c>
      <c r="R171" s="34">
        <f t="shared" si="245"/>
        <v>2925.6</v>
      </c>
      <c r="S171" s="34">
        <f t="shared" si="246"/>
        <v>0.80454000000000003</v>
      </c>
      <c r="T171" s="34">
        <f t="shared" si="247"/>
        <v>9.36192E-2</v>
      </c>
      <c r="U171" s="34">
        <v>2.4900000000000002</v>
      </c>
      <c r="V171" s="34">
        <f t="shared" si="248"/>
        <v>0.16185000000000002</v>
      </c>
      <c r="W171" s="34">
        <v>0</v>
      </c>
      <c r="X171" s="34">
        <f t="shared" si="251"/>
        <v>2922.2118408000001</v>
      </c>
      <c r="Y171" s="37">
        <f t="shared" si="252"/>
        <v>-81.361009199999444</v>
      </c>
      <c r="Z171" s="23"/>
      <c r="AA171" s="23"/>
      <c r="AB171" s="23"/>
    </row>
    <row r="172" spans="1:28" s="47" customFormat="1" x14ac:dyDescent="0.25">
      <c r="A172" s="30">
        <v>43907</v>
      </c>
      <c r="B172" s="66">
        <v>421708</v>
      </c>
      <c r="C172" s="66" t="s">
        <v>310</v>
      </c>
      <c r="D172" s="66">
        <v>1100</v>
      </c>
      <c r="E172" s="36">
        <v>2.97</v>
      </c>
      <c r="F172" s="36">
        <f t="shared" si="240"/>
        <v>3267</v>
      </c>
      <c r="G172" s="36">
        <f t="shared" si="253"/>
        <v>0.89842500000000003</v>
      </c>
      <c r="H172" s="36">
        <f t="shared" si="242"/>
        <v>0.104544</v>
      </c>
      <c r="I172" s="36">
        <v>2.4900000000000002</v>
      </c>
      <c r="J172" s="36">
        <f t="shared" si="243"/>
        <v>0.16185000000000002</v>
      </c>
      <c r="K172" s="36">
        <f t="shared" si="244"/>
        <v>3270.6548189999994</v>
      </c>
      <c r="L172" s="70"/>
      <c r="M172" s="30">
        <v>44217</v>
      </c>
      <c r="N172" s="66">
        <v>133833</v>
      </c>
      <c r="O172" s="66" t="s">
        <v>310</v>
      </c>
      <c r="P172" s="66">
        <v>1100</v>
      </c>
      <c r="Q172" s="36">
        <v>9.5</v>
      </c>
      <c r="R172" s="36">
        <f t="shared" si="245"/>
        <v>10450</v>
      </c>
      <c r="S172" s="36">
        <f t="shared" si="246"/>
        <v>2.8737500000000002</v>
      </c>
      <c r="T172" s="36">
        <f>R172*0.003%</f>
        <v>0.3135</v>
      </c>
      <c r="U172" s="36">
        <f>1.99/3</f>
        <v>0.66333333333333333</v>
      </c>
      <c r="V172" s="36">
        <f t="shared" si="248"/>
        <v>4.3116666666666671E-2</v>
      </c>
      <c r="W172" s="22">
        <v>0</v>
      </c>
      <c r="X172" s="22">
        <f t="shared" si="251"/>
        <v>10446.149416666665</v>
      </c>
      <c r="Y172" s="22">
        <f t="shared" si="252"/>
        <v>7175.4945976666659</v>
      </c>
      <c r="Z172" s="23"/>
      <c r="AA172" s="23"/>
      <c r="AB172" s="23"/>
    </row>
    <row r="173" spans="1:28" s="47" customFormat="1" x14ac:dyDescent="0.25">
      <c r="A173" s="30">
        <v>43907</v>
      </c>
      <c r="B173" s="66">
        <v>421708</v>
      </c>
      <c r="C173" s="66" t="s">
        <v>268</v>
      </c>
      <c r="D173" s="66">
        <v>500</v>
      </c>
      <c r="E173" s="36">
        <v>11.2</v>
      </c>
      <c r="F173" s="36">
        <f t="shared" si="240"/>
        <v>5600</v>
      </c>
      <c r="G173" s="36">
        <f t="shared" si="253"/>
        <v>1.54</v>
      </c>
      <c r="H173" s="36">
        <f t="shared" si="242"/>
        <v>0.1792</v>
      </c>
      <c r="I173" s="36">
        <v>2.4900000000000002</v>
      </c>
      <c r="J173" s="36">
        <f t="shared" si="243"/>
        <v>0.16185000000000002</v>
      </c>
      <c r="K173" s="36">
        <f t="shared" si="244"/>
        <v>5604.3710499999997</v>
      </c>
      <c r="L173" s="70"/>
      <c r="M173" s="20"/>
      <c r="N173" s="20"/>
      <c r="O173" s="65" t="s">
        <v>268</v>
      </c>
      <c r="P173" s="65">
        <v>500</v>
      </c>
      <c r="Q173" s="34">
        <v>30.22</v>
      </c>
      <c r="R173" s="34">
        <f t="shared" si="245"/>
        <v>15110</v>
      </c>
      <c r="S173" s="34">
        <f t="shared" si="246"/>
        <v>4.1552500000000006</v>
      </c>
      <c r="T173" s="34">
        <f t="shared" si="247"/>
        <v>0.48352000000000001</v>
      </c>
      <c r="U173" s="34">
        <v>2.4900000000000002</v>
      </c>
      <c r="V173" s="34">
        <f t="shared" si="248"/>
        <v>0.16185000000000002</v>
      </c>
      <c r="W173" s="34">
        <v>0</v>
      </c>
      <c r="X173" s="34">
        <f t="shared" si="251"/>
        <v>15102.871230000001</v>
      </c>
      <c r="Y173" s="37">
        <f t="shared" si="252"/>
        <v>9498.5001800000009</v>
      </c>
      <c r="Z173" s="23"/>
      <c r="AA173" s="23"/>
      <c r="AB173" s="23"/>
    </row>
    <row r="174" spans="1:28" s="47" customFormat="1" x14ac:dyDescent="0.25">
      <c r="A174" s="30">
        <v>43907</v>
      </c>
      <c r="B174" s="66">
        <v>421708</v>
      </c>
      <c r="C174" s="66" t="s">
        <v>307</v>
      </c>
      <c r="D174" s="66">
        <v>200</v>
      </c>
      <c r="E174" s="36">
        <v>26</v>
      </c>
      <c r="F174" s="36">
        <f t="shared" si="240"/>
        <v>5200</v>
      </c>
      <c r="G174" s="36">
        <f t="shared" si="253"/>
        <v>1.4300000000000002</v>
      </c>
      <c r="H174" s="36">
        <f t="shared" si="242"/>
        <v>0.16639999999999999</v>
      </c>
      <c r="I174" s="36">
        <v>2.4900000000000002</v>
      </c>
      <c r="J174" s="36">
        <f t="shared" si="243"/>
        <v>0.16185000000000002</v>
      </c>
      <c r="K174" s="36">
        <f t="shared" si="244"/>
        <v>5204.2482500000006</v>
      </c>
      <c r="L174" s="70"/>
      <c r="M174" s="30">
        <v>44148</v>
      </c>
      <c r="N174" s="66">
        <v>2135645</v>
      </c>
      <c r="O174" s="66" t="s">
        <v>307</v>
      </c>
      <c r="P174" s="66">
        <v>200</v>
      </c>
      <c r="Q174" s="36">
        <v>32.6</v>
      </c>
      <c r="R174" s="36">
        <f t="shared" si="245"/>
        <v>6520</v>
      </c>
      <c r="S174" s="36">
        <f t="shared" si="246"/>
        <v>1.7930000000000001</v>
      </c>
      <c r="T174" s="36">
        <f>R174*0.0032%</f>
        <v>0.20863999999999999</v>
      </c>
      <c r="U174" s="36">
        <v>1.24</v>
      </c>
      <c r="V174" s="36">
        <f t="shared" si="248"/>
        <v>8.0600000000000005E-2</v>
      </c>
      <c r="W174" s="22">
        <v>0</v>
      </c>
      <c r="X174" s="22">
        <f>R174-S174-T174-U174-V174-W174</f>
        <v>6516.6777600000005</v>
      </c>
      <c r="Y174" s="22">
        <f t="shared" si="252"/>
        <v>1312.4295099999999</v>
      </c>
      <c r="Z174" s="23"/>
      <c r="AA174" s="23"/>
      <c r="AB174" s="23"/>
    </row>
    <row r="175" spans="1:28" s="47" customFormat="1" x14ac:dyDescent="0.25">
      <c r="A175" s="30">
        <v>43908</v>
      </c>
      <c r="B175" s="66">
        <v>433427</v>
      </c>
      <c r="C175" s="66" t="s">
        <v>271</v>
      </c>
      <c r="D175" s="66">
        <v>100</v>
      </c>
      <c r="E175" s="36">
        <v>24.3</v>
      </c>
      <c r="F175" s="36">
        <f t="shared" si="240"/>
        <v>2430</v>
      </c>
      <c r="G175" s="36">
        <f t="shared" ref="G175:G176" si="254">F175*0.0275%</f>
        <v>0.66825000000000001</v>
      </c>
      <c r="H175" s="36">
        <f t="shared" si="242"/>
        <v>7.7759999999999996E-2</v>
      </c>
      <c r="I175" s="36">
        <v>2.4900000000000002</v>
      </c>
      <c r="J175" s="36">
        <f t="shared" si="243"/>
        <v>0.16185000000000002</v>
      </c>
      <c r="K175" s="36">
        <f t="shared" si="244"/>
        <v>2433.39786</v>
      </c>
      <c r="L175" s="70"/>
      <c r="M175" s="30">
        <v>43977</v>
      </c>
      <c r="N175" s="66">
        <v>836256</v>
      </c>
      <c r="O175" s="66" t="s">
        <v>271</v>
      </c>
      <c r="P175" s="66">
        <v>100</v>
      </c>
      <c r="Q175" s="36">
        <v>32.5</v>
      </c>
      <c r="R175" s="36">
        <f t="shared" si="245"/>
        <v>3250</v>
      </c>
      <c r="S175" s="36">
        <f t="shared" si="246"/>
        <v>0.89375000000000004</v>
      </c>
      <c r="T175" s="36">
        <f>R175*0.00675%</f>
        <v>0.21937500000000001</v>
      </c>
      <c r="U175" s="36">
        <v>2.4900000000000002</v>
      </c>
      <c r="V175" s="36">
        <f t="shared" si="248"/>
        <v>0.16185000000000002</v>
      </c>
      <c r="W175" s="36">
        <v>0</v>
      </c>
      <c r="X175" s="36">
        <f>R175-S175-T175-U175-V175-W175</f>
        <v>3246.235025</v>
      </c>
      <c r="Y175" s="36">
        <f t="shared" si="252"/>
        <v>812.83716499999991</v>
      </c>
      <c r="Z175" s="23"/>
      <c r="AA175" s="23"/>
      <c r="AB175" s="23"/>
    </row>
    <row r="176" spans="1:28" s="47" customFormat="1" x14ac:dyDescent="0.25">
      <c r="A176" s="30">
        <v>43973</v>
      </c>
      <c r="B176" s="66">
        <v>817735</v>
      </c>
      <c r="C176" s="66" t="s">
        <v>326</v>
      </c>
      <c r="D176" s="66">
        <v>2100</v>
      </c>
      <c r="E176" s="36">
        <v>2.6</v>
      </c>
      <c r="F176" s="36">
        <f t="shared" ref="F176" si="255">D176*E176</f>
        <v>5460</v>
      </c>
      <c r="G176" s="36">
        <f t="shared" si="254"/>
        <v>1.5015000000000001</v>
      </c>
      <c r="H176" s="36">
        <f t="shared" ref="H176" si="256">F176*0.0032%</f>
        <v>0.17471999999999999</v>
      </c>
      <c r="I176" s="36">
        <v>2.4900000000000002</v>
      </c>
      <c r="J176" s="36">
        <f t="shared" ref="J176" si="257">I176*6.5%</f>
        <v>0.16185000000000002</v>
      </c>
      <c r="K176" s="36">
        <f t="shared" ref="K176" si="258">F176+G176+H176+I176+J176</f>
        <v>5464.3280700000005</v>
      </c>
      <c r="L176" s="70"/>
      <c r="M176" s="20"/>
      <c r="N176" s="20"/>
      <c r="O176" s="21" t="s">
        <v>368</v>
      </c>
      <c r="P176" s="21">
        <v>420</v>
      </c>
      <c r="Q176" s="34">
        <v>12.19</v>
      </c>
      <c r="R176" s="34">
        <f t="shared" ref="R176" si="259">P176*Q176</f>
        <v>5119.8</v>
      </c>
      <c r="S176" s="34">
        <f t="shared" ref="S176" si="260">R176*0.0275%</f>
        <v>1.4079450000000002</v>
      </c>
      <c r="T176" s="34">
        <f t="shared" ref="T176" si="261">R176*0.0032%</f>
        <v>0.1638336</v>
      </c>
      <c r="U176" s="34">
        <v>2.4900000000000002</v>
      </c>
      <c r="V176" s="34">
        <f t="shared" ref="V176" si="262">U176*6.5%</f>
        <v>0.16185000000000002</v>
      </c>
      <c r="W176" s="34">
        <v>0</v>
      </c>
      <c r="X176" s="34">
        <f t="shared" ref="X176" si="263">R176-S176-T176-U176-W176</f>
        <v>5115.7382214000008</v>
      </c>
      <c r="Y176" s="37">
        <f t="shared" ref="Y176" si="264">X176-K176+W176</f>
        <v>-348.58984859999964</v>
      </c>
      <c r="Z176" s="23"/>
      <c r="AA176" s="23"/>
      <c r="AB176" s="23"/>
    </row>
    <row r="177" spans="1:28" s="47" customFormat="1" x14ac:dyDescent="0.25">
      <c r="A177" s="30">
        <v>43973</v>
      </c>
      <c r="B177" s="66">
        <v>817735</v>
      </c>
      <c r="C177" s="66" t="s">
        <v>331</v>
      </c>
      <c r="D177" s="66">
        <v>1300</v>
      </c>
      <c r="E177" s="36">
        <v>6.5</v>
      </c>
      <c r="F177" s="36">
        <f t="shared" ref="F177" si="265">D177*E177</f>
        <v>8450</v>
      </c>
      <c r="G177" s="36">
        <f t="shared" ref="G177" si="266">F177*0.0275%</f>
        <v>2.32375</v>
      </c>
      <c r="H177" s="36">
        <f t="shared" ref="H177" si="267">F177*0.0032%</f>
        <v>0.27039999999999997</v>
      </c>
      <c r="I177" s="36">
        <v>2.4900000000000002</v>
      </c>
      <c r="J177" s="36">
        <f t="shared" ref="J177" si="268">I177*6.5%</f>
        <v>0.16185000000000002</v>
      </c>
      <c r="K177" s="36">
        <f t="shared" ref="K177" si="269">F177+G177+H177+I177+J177</f>
        <v>8455.2459999999992</v>
      </c>
      <c r="L177" s="70"/>
      <c r="M177" s="30">
        <v>43985</v>
      </c>
      <c r="N177" s="66">
        <v>902377</v>
      </c>
      <c r="O177" s="66" t="s">
        <v>331</v>
      </c>
      <c r="P177" s="66">
        <v>1300</v>
      </c>
      <c r="Q177" s="36">
        <v>8.5299999999999994</v>
      </c>
      <c r="R177" s="36">
        <f t="shared" ref="R177" si="270">P177*Q177</f>
        <v>11089</v>
      </c>
      <c r="S177" s="36">
        <f t="shared" ref="S177" si="271">R177*0.0275%</f>
        <v>3.0494750000000002</v>
      </c>
      <c r="T177" s="36">
        <f t="shared" ref="T177:T183" si="272">R177*0.0051%</f>
        <v>0.56553900000000012</v>
      </c>
      <c r="U177" s="36">
        <v>2.4900000000000002</v>
      </c>
      <c r="V177" s="36">
        <f t="shared" ref="V177" si="273">U177*6.5%</f>
        <v>0.16185000000000002</v>
      </c>
      <c r="W177" s="22">
        <f>R177*0.005%</f>
        <v>0.55445</v>
      </c>
      <c r="X177" s="22">
        <f t="shared" ref="X177:X184" si="274">R177-S177-T177-U177-V177-W177</f>
        <v>11082.178686000001</v>
      </c>
      <c r="Y177" s="22">
        <f t="shared" ref="Y177" si="275">X177-K177+W177</f>
        <v>2627.487136000002</v>
      </c>
      <c r="Z177" s="23"/>
      <c r="AA177" s="23"/>
      <c r="AB177" s="23"/>
    </row>
    <row r="178" spans="1:28" s="47" customFormat="1" x14ac:dyDescent="0.25">
      <c r="A178" s="30">
        <v>43973</v>
      </c>
      <c r="B178" s="66">
        <v>817735</v>
      </c>
      <c r="C178" s="66" t="s">
        <v>340</v>
      </c>
      <c r="D178" s="66">
        <v>200</v>
      </c>
      <c r="E178" s="36">
        <v>50</v>
      </c>
      <c r="F178" s="36">
        <f t="shared" ref="F178" si="276">D178*E178</f>
        <v>10000</v>
      </c>
      <c r="G178" s="36">
        <f t="shared" ref="G178" si="277">F178*0.0275%</f>
        <v>2.75</v>
      </c>
      <c r="H178" s="36">
        <f t="shared" ref="H178" si="278">F178*0.0032%</f>
        <v>0.32</v>
      </c>
      <c r="I178" s="36">
        <v>2.4900000000000002</v>
      </c>
      <c r="J178" s="36">
        <f t="shared" ref="J178" si="279">I178*6.5%</f>
        <v>0.16185000000000002</v>
      </c>
      <c r="K178" s="36">
        <f t="shared" ref="K178" si="280">F178+G178+H178+I178+J178</f>
        <v>10005.72185</v>
      </c>
      <c r="L178" s="70"/>
      <c r="M178" s="30">
        <v>43985</v>
      </c>
      <c r="N178" s="66">
        <v>902377</v>
      </c>
      <c r="O178" s="66" t="s">
        <v>340</v>
      </c>
      <c r="P178" s="66">
        <v>200</v>
      </c>
      <c r="Q178" s="36">
        <v>54</v>
      </c>
      <c r="R178" s="36">
        <f t="shared" ref="R178:R179" si="281">P178*Q178</f>
        <v>10800</v>
      </c>
      <c r="S178" s="36">
        <f t="shared" ref="S178" si="282">R178*0.0275%</f>
        <v>2.97</v>
      </c>
      <c r="T178" s="36">
        <f t="shared" si="272"/>
        <v>0.55080000000000007</v>
      </c>
      <c r="U178" s="36">
        <v>2.4900000000000002</v>
      </c>
      <c r="V178" s="36">
        <f t="shared" ref="V178:V179" si="283">U178*6.5%</f>
        <v>0.16185000000000002</v>
      </c>
      <c r="W178" s="22">
        <f>R178*0.005%</f>
        <v>0.54</v>
      </c>
      <c r="X178" s="22">
        <f t="shared" si="274"/>
        <v>10793.287349999999</v>
      </c>
      <c r="Y178" s="22">
        <f t="shared" ref="Y178" si="284">X178-K178+W178</f>
        <v>788.10549999999876</v>
      </c>
      <c r="Z178" s="23"/>
      <c r="AA178" s="23"/>
      <c r="AB178" s="23"/>
    </row>
    <row r="179" spans="1:28" s="47" customFormat="1" x14ac:dyDescent="0.25">
      <c r="A179" s="30">
        <v>43991</v>
      </c>
      <c r="B179" s="66">
        <v>960386</v>
      </c>
      <c r="C179" s="66" t="s">
        <v>320</v>
      </c>
      <c r="D179" s="66">
        <v>400</v>
      </c>
      <c r="E179" s="36">
        <v>27</v>
      </c>
      <c r="F179" s="36">
        <f t="shared" ref="F179" si="285">D179*E179</f>
        <v>10800</v>
      </c>
      <c r="G179" s="36">
        <f t="shared" ref="G179" si="286">F179*0.0275%</f>
        <v>2.97</v>
      </c>
      <c r="H179" s="36">
        <f t="shared" ref="H179" si="287">F179*0.0032%</f>
        <v>0.34559999999999996</v>
      </c>
      <c r="I179" s="36">
        <v>2.4900000000000002</v>
      </c>
      <c r="J179" s="36">
        <f t="shared" ref="J179" si="288">I179*6.5%</f>
        <v>0.16185000000000002</v>
      </c>
      <c r="K179" s="36">
        <f t="shared" ref="K179" si="289">F179+G179+H179+I179+J179</f>
        <v>10805.96745</v>
      </c>
      <c r="L179" s="70"/>
      <c r="M179" s="30">
        <v>44302</v>
      </c>
      <c r="N179" s="66">
        <v>651898</v>
      </c>
      <c r="O179" s="66" t="s">
        <v>320</v>
      </c>
      <c r="P179" s="66">
        <v>400</v>
      </c>
      <c r="Q179" s="36">
        <v>49.9</v>
      </c>
      <c r="R179" s="36">
        <f t="shared" si="281"/>
        <v>19960</v>
      </c>
      <c r="S179" s="36">
        <f>R179*0.025%</f>
        <v>4.99</v>
      </c>
      <c r="T179" s="36">
        <f>R179*0.005%</f>
        <v>0.998</v>
      </c>
      <c r="U179" s="36">
        <v>1.99</v>
      </c>
      <c r="V179" s="36">
        <f t="shared" si="283"/>
        <v>0.12934999999999999</v>
      </c>
      <c r="W179" s="22">
        <v>0</v>
      </c>
      <c r="X179" s="22">
        <f>R179-S179-T179-U179-V179-W179</f>
        <v>19951.892649999998</v>
      </c>
      <c r="Y179" s="22">
        <f t="shared" ref="Y179" si="290">X179-K179+W179</f>
        <v>9145.9251999999979</v>
      </c>
      <c r="Z179" s="23"/>
      <c r="AA179" s="23"/>
      <c r="AB179" s="23"/>
    </row>
    <row r="180" spans="1:28" s="47" customFormat="1" x14ac:dyDescent="0.25">
      <c r="A180" s="30">
        <v>44011</v>
      </c>
      <c r="B180" s="66">
        <v>1116842</v>
      </c>
      <c r="C180" s="66" t="s">
        <v>282</v>
      </c>
      <c r="D180" s="66">
        <v>500</v>
      </c>
      <c r="E180" s="36">
        <v>20.85</v>
      </c>
      <c r="F180" s="36">
        <f t="shared" ref="F180:F187" si="291">D180*E180</f>
        <v>10425</v>
      </c>
      <c r="G180" s="36">
        <f t="shared" ref="G180:G183" si="292">F180*0.0275%</f>
        <v>2.8668750000000003</v>
      </c>
      <c r="H180" s="36">
        <f t="shared" ref="H180:H183" si="293">F180*0.0032%</f>
        <v>0.33360000000000001</v>
      </c>
      <c r="I180" s="36">
        <v>2.4900000000000002</v>
      </c>
      <c r="J180" s="36">
        <f t="shared" ref="J180:J187" si="294">I180*6.5%</f>
        <v>0.16185000000000002</v>
      </c>
      <c r="K180" s="36">
        <f t="shared" ref="K180:K184" si="295">F180+G180+H180+I180+J180</f>
        <v>10430.852325</v>
      </c>
      <c r="L180" s="70"/>
      <c r="M180" s="20"/>
      <c r="N180" s="20"/>
      <c r="O180" s="65" t="s">
        <v>282</v>
      </c>
      <c r="P180" s="65">
        <v>500</v>
      </c>
      <c r="Q180" s="34">
        <v>39.950000000000003</v>
      </c>
      <c r="R180" s="34">
        <f t="shared" ref="R180:R191" si="296">P180*Q180</f>
        <v>19975</v>
      </c>
      <c r="S180" s="34">
        <f t="shared" ref="S180:S183" si="297">R180*0.0275%</f>
        <v>5.493125</v>
      </c>
      <c r="T180" s="34">
        <f t="shared" si="272"/>
        <v>1.0187250000000001</v>
      </c>
      <c r="U180" s="34">
        <v>2.4900000000000002</v>
      </c>
      <c r="V180" s="34">
        <f t="shared" ref="V180" si="298">U180*6.5%</f>
        <v>0.16185000000000002</v>
      </c>
      <c r="W180" s="34">
        <v>0</v>
      </c>
      <c r="X180" s="34">
        <f t="shared" si="274"/>
        <v>19965.836299999995</v>
      </c>
      <c r="Y180" s="37">
        <f t="shared" ref="Y180" si="299">X180-K180+W180</f>
        <v>9534.9839749999956</v>
      </c>
      <c r="Z180" s="23"/>
      <c r="AA180" s="23"/>
      <c r="AB180" s="23"/>
    </row>
    <row r="181" spans="1:28" s="47" customFormat="1" x14ac:dyDescent="0.25">
      <c r="A181" s="30">
        <v>44047</v>
      </c>
      <c r="B181" s="66">
        <v>1449185</v>
      </c>
      <c r="C181" s="66" t="s">
        <v>331</v>
      </c>
      <c r="D181" s="66">
        <v>1400</v>
      </c>
      <c r="E181" s="36">
        <v>7.5</v>
      </c>
      <c r="F181" s="36">
        <f t="shared" si="291"/>
        <v>10500</v>
      </c>
      <c r="G181" s="36">
        <f t="shared" si="292"/>
        <v>2.8875000000000002</v>
      </c>
      <c r="H181" s="36">
        <f t="shared" si="293"/>
        <v>0.33599999999999997</v>
      </c>
      <c r="I181" s="36">
        <v>2.4900000000000002</v>
      </c>
      <c r="J181" s="36">
        <f t="shared" si="294"/>
        <v>0.16185000000000002</v>
      </c>
      <c r="K181" s="36">
        <f t="shared" si="295"/>
        <v>10505.87535</v>
      </c>
      <c r="L181" s="70"/>
      <c r="M181" s="30">
        <v>44267</v>
      </c>
      <c r="N181" s="66">
        <v>448559</v>
      </c>
      <c r="O181" s="66" t="s">
        <v>331</v>
      </c>
      <c r="P181" s="66">
        <v>1400</v>
      </c>
      <c r="Q181" s="36">
        <v>14.2</v>
      </c>
      <c r="R181" s="36">
        <v>19880</v>
      </c>
      <c r="S181" s="36">
        <v>4.97</v>
      </c>
      <c r="T181" s="36">
        <v>0.99399999999999999</v>
      </c>
      <c r="U181" s="36">
        <v>1.99</v>
      </c>
      <c r="V181" s="36">
        <v>0.12934999999999999</v>
      </c>
      <c r="W181" s="22">
        <v>0</v>
      </c>
      <c r="X181" s="22">
        <f t="shared" si="274"/>
        <v>19871.916649999999</v>
      </c>
      <c r="Y181" s="22">
        <f t="shared" ref="Y181" si="300">X181-K181+W181</f>
        <v>9366.041299999999</v>
      </c>
      <c r="Z181" s="23"/>
      <c r="AA181" s="23"/>
      <c r="AB181" s="23"/>
    </row>
    <row r="182" spans="1:28" s="47" customFormat="1" x14ac:dyDescent="0.25">
      <c r="A182" s="30">
        <v>44053</v>
      </c>
      <c r="B182" s="66">
        <v>1496997</v>
      </c>
      <c r="C182" s="66" t="s">
        <v>351</v>
      </c>
      <c r="D182" s="66">
        <v>400</v>
      </c>
      <c r="E182" s="36">
        <v>18.5</v>
      </c>
      <c r="F182" s="36">
        <f t="shared" si="291"/>
        <v>7400</v>
      </c>
      <c r="G182" s="36">
        <f t="shared" si="292"/>
        <v>2.0350000000000001</v>
      </c>
      <c r="H182" s="36">
        <f t="shared" si="293"/>
        <v>0.23679999999999998</v>
      </c>
      <c r="I182" s="36">
        <v>2.4900000000000002</v>
      </c>
      <c r="J182" s="36">
        <f t="shared" si="294"/>
        <v>0.16185000000000002</v>
      </c>
      <c r="K182" s="36">
        <f t="shared" si="295"/>
        <v>7404.9236499999997</v>
      </c>
      <c r="L182" s="70"/>
      <c r="M182" s="20"/>
      <c r="N182" s="20"/>
      <c r="O182" s="21" t="s">
        <v>369</v>
      </c>
      <c r="P182" s="65">
        <v>400</v>
      </c>
      <c r="Q182" s="34">
        <v>7.83</v>
      </c>
      <c r="R182" s="34">
        <f t="shared" si="296"/>
        <v>3132</v>
      </c>
      <c r="S182" s="34">
        <f t="shared" si="297"/>
        <v>0.86130000000000007</v>
      </c>
      <c r="T182" s="34">
        <f t="shared" si="272"/>
        <v>0.15973200000000001</v>
      </c>
      <c r="U182" s="34">
        <v>2.4900000000000002</v>
      </c>
      <c r="V182" s="34">
        <f t="shared" ref="V182" si="301">U182*6.5%</f>
        <v>0.16185000000000002</v>
      </c>
      <c r="W182" s="34">
        <v>0</v>
      </c>
      <c r="X182" s="34">
        <f t="shared" si="274"/>
        <v>3128.3271180000002</v>
      </c>
      <c r="Y182" s="37">
        <f t="shared" ref="Y182" si="302">X182-K182+W182</f>
        <v>-4276.5965319999996</v>
      </c>
      <c r="Z182" s="23"/>
      <c r="AA182" s="23"/>
      <c r="AB182" s="23"/>
    </row>
    <row r="183" spans="1:28" s="47" customFormat="1" x14ac:dyDescent="0.25">
      <c r="A183" s="30">
        <v>44060</v>
      </c>
      <c r="B183" s="66">
        <v>1556103</v>
      </c>
      <c r="C183" s="66" t="s">
        <v>271</v>
      </c>
      <c r="D183" s="66">
        <v>400</v>
      </c>
      <c r="E183" s="36">
        <v>32</v>
      </c>
      <c r="F183" s="36">
        <f t="shared" si="291"/>
        <v>12800</v>
      </c>
      <c r="G183" s="36">
        <f t="shared" si="292"/>
        <v>3.52</v>
      </c>
      <c r="H183" s="36">
        <f t="shared" si="293"/>
        <v>0.40959999999999996</v>
      </c>
      <c r="I183" s="36">
        <v>2.4900000000000002</v>
      </c>
      <c r="J183" s="36">
        <f t="shared" si="294"/>
        <v>0.16185000000000002</v>
      </c>
      <c r="K183" s="36">
        <f t="shared" si="295"/>
        <v>12806.581450000001</v>
      </c>
      <c r="L183" s="70"/>
      <c r="M183" s="20"/>
      <c r="N183" s="20"/>
      <c r="O183" s="65" t="s">
        <v>271</v>
      </c>
      <c r="P183" s="65">
        <v>400</v>
      </c>
      <c r="Q183" s="34">
        <v>30.57</v>
      </c>
      <c r="R183" s="34">
        <f t="shared" si="296"/>
        <v>12228</v>
      </c>
      <c r="S183" s="34">
        <f t="shared" si="297"/>
        <v>3.3627000000000002</v>
      </c>
      <c r="T183" s="34">
        <f t="shared" si="272"/>
        <v>0.62362800000000007</v>
      </c>
      <c r="U183" s="34">
        <v>2.4900000000000002</v>
      </c>
      <c r="V183" s="34">
        <f t="shared" ref="V183:V191" si="303">U183*6.5%</f>
        <v>0.16185000000000002</v>
      </c>
      <c r="W183" s="34">
        <v>0</v>
      </c>
      <c r="X183" s="34">
        <f t="shared" si="274"/>
        <v>12221.361822000001</v>
      </c>
      <c r="Y183" s="37">
        <f t="shared" ref="Y183:Y184" si="304">X183-K183+W183</f>
        <v>-585.21962800000074</v>
      </c>
      <c r="Z183" s="23"/>
      <c r="AA183" s="23"/>
      <c r="AB183" s="23"/>
    </row>
    <row r="184" spans="1:28" x14ac:dyDescent="0.25">
      <c r="A184" s="30">
        <v>44273</v>
      </c>
      <c r="B184" s="66">
        <v>482249</v>
      </c>
      <c r="C184" s="66" t="s">
        <v>343</v>
      </c>
      <c r="D184" s="66">
        <v>500</v>
      </c>
      <c r="E184" s="36">
        <v>23</v>
      </c>
      <c r="F184" s="36">
        <f t="shared" si="291"/>
        <v>11500</v>
      </c>
      <c r="G184" s="36">
        <f t="shared" ref="G184:G191" si="305">F184*0.025%</f>
        <v>2.875</v>
      </c>
      <c r="H184" s="36">
        <f t="shared" ref="H184:H191" si="306">F184*0.005%</f>
        <v>0.57500000000000007</v>
      </c>
      <c r="I184" s="36">
        <v>1.99</v>
      </c>
      <c r="J184" s="36">
        <f t="shared" si="294"/>
        <v>0.12934999999999999</v>
      </c>
      <c r="K184" s="36">
        <f t="shared" si="295"/>
        <v>11505.56935</v>
      </c>
      <c r="L184" s="70"/>
      <c r="M184" s="20"/>
      <c r="N184" s="20"/>
      <c r="O184" s="65" t="s">
        <v>343</v>
      </c>
      <c r="P184" s="65">
        <v>500</v>
      </c>
      <c r="Q184" s="34">
        <v>24.57</v>
      </c>
      <c r="R184" s="34">
        <f t="shared" si="296"/>
        <v>12285</v>
      </c>
      <c r="S184" s="34">
        <f t="shared" ref="S184:S191" si="307">R184*0.025%</f>
        <v>3.07125</v>
      </c>
      <c r="T184" s="34">
        <f t="shared" ref="T184:T191" si="308">R184*0.005%</f>
        <v>0.61425000000000007</v>
      </c>
      <c r="U184" s="34">
        <v>1.99</v>
      </c>
      <c r="V184" s="34">
        <f t="shared" si="303"/>
        <v>0.12934999999999999</v>
      </c>
      <c r="W184" s="34">
        <v>0</v>
      </c>
      <c r="X184" s="34">
        <f t="shared" si="274"/>
        <v>12279.19515</v>
      </c>
      <c r="Y184" s="37">
        <f t="shared" si="304"/>
        <v>773.6257999999998</v>
      </c>
    </row>
    <row r="185" spans="1:28" x14ac:dyDescent="0.25">
      <c r="A185" s="30">
        <v>44473</v>
      </c>
      <c r="B185" s="66">
        <v>6049</v>
      </c>
      <c r="C185" s="66" t="s">
        <v>353</v>
      </c>
      <c r="D185" s="66">
        <v>400</v>
      </c>
      <c r="E185" s="36">
        <v>24.04</v>
      </c>
      <c r="F185" s="36">
        <f t="shared" si="291"/>
        <v>9616</v>
      </c>
      <c r="G185" s="36">
        <f t="shared" si="305"/>
        <v>2.4039999999999999</v>
      </c>
      <c r="H185" s="36">
        <f t="shared" si="306"/>
        <v>0.48080000000000001</v>
      </c>
      <c r="I185" s="36">
        <v>1.99</v>
      </c>
      <c r="J185" s="36">
        <f t="shared" si="294"/>
        <v>0.12934999999999999</v>
      </c>
      <c r="K185" s="36">
        <f t="shared" ref="K185:K191" si="309">F185+G185+H185+I185+J185</f>
        <v>9621.0041499999988</v>
      </c>
      <c r="L185" s="70"/>
      <c r="M185" s="20"/>
      <c r="N185" s="20"/>
      <c r="O185" s="65" t="s">
        <v>353</v>
      </c>
      <c r="P185" s="65">
        <v>400</v>
      </c>
      <c r="Q185" s="34">
        <v>34</v>
      </c>
      <c r="R185" s="34">
        <f t="shared" si="296"/>
        <v>13600</v>
      </c>
      <c r="S185" s="34">
        <f t="shared" si="307"/>
        <v>3.4</v>
      </c>
      <c r="T185" s="34">
        <f t="shared" si="308"/>
        <v>0.68</v>
      </c>
      <c r="U185" s="34">
        <v>1.99</v>
      </c>
      <c r="V185" s="34">
        <f t="shared" si="303"/>
        <v>0.12934999999999999</v>
      </c>
      <c r="W185" s="34">
        <v>0</v>
      </c>
      <c r="X185" s="34">
        <f t="shared" ref="X185" si="310">R185-S185-T185-U185-V185-W185</f>
        <v>13593.800650000001</v>
      </c>
      <c r="Y185" s="37">
        <f t="shared" ref="Y185" si="311">X185-K185+W185</f>
        <v>3972.7965000000022</v>
      </c>
    </row>
    <row r="186" spans="1:28" x14ac:dyDescent="0.25">
      <c r="A186" s="30">
        <v>44473</v>
      </c>
      <c r="B186" s="66">
        <v>6049</v>
      </c>
      <c r="C186" s="66" t="s">
        <v>343</v>
      </c>
      <c r="D186" s="66">
        <v>800</v>
      </c>
      <c r="E186" s="36">
        <v>14</v>
      </c>
      <c r="F186" s="36">
        <f t="shared" si="291"/>
        <v>11200</v>
      </c>
      <c r="G186" s="36">
        <f t="shared" si="305"/>
        <v>2.8000000000000003</v>
      </c>
      <c r="H186" s="36">
        <f t="shared" si="306"/>
        <v>0.56000000000000005</v>
      </c>
      <c r="I186" s="36">
        <v>1.99</v>
      </c>
      <c r="J186" s="36">
        <f t="shared" si="294"/>
        <v>0.12934999999999999</v>
      </c>
      <c r="K186" s="36">
        <f t="shared" si="309"/>
        <v>11205.479349999998</v>
      </c>
      <c r="L186" s="70"/>
      <c r="M186" s="20"/>
      <c r="N186" s="20"/>
      <c r="O186" s="65" t="s">
        <v>343</v>
      </c>
      <c r="P186" s="65">
        <v>800</v>
      </c>
      <c r="Q186" s="34">
        <v>28.26</v>
      </c>
      <c r="R186" s="34">
        <f t="shared" si="296"/>
        <v>22608</v>
      </c>
      <c r="S186" s="34">
        <f t="shared" si="307"/>
        <v>5.6520000000000001</v>
      </c>
      <c r="T186" s="34">
        <f t="shared" si="308"/>
        <v>1.1304000000000001</v>
      </c>
      <c r="U186" s="34">
        <v>1.99</v>
      </c>
      <c r="V186" s="34">
        <f t="shared" si="303"/>
        <v>0.12934999999999999</v>
      </c>
      <c r="W186" s="34">
        <v>0</v>
      </c>
      <c r="X186" s="34">
        <f t="shared" ref="X186:X191" si="312">R186-S186-T186-U186-V186-W186</f>
        <v>22599.098250000003</v>
      </c>
      <c r="Y186" s="37">
        <f t="shared" ref="Y186:Y191" si="313">X186-K186+W186</f>
        <v>11393.618900000005</v>
      </c>
    </row>
    <row r="187" spans="1:28" x14ac:dyDescent="0.25">
      <c r="A187" s="30">
        <v>44475</v>
      </c>
      <c r="B187" s="66">
        <v>18505</v>
      </c>
      <c r="C187" s="66" t="s">
        <v>288</v>
      </c>
      <c r="D187" s="66">
        <v>10000</v>
      </c>
      <c r="E187" s="36">
        <v>0.95</v>
      </c>
      <c r="F187" s="36">
        <f t="shared" si="291"/>
        <v>9500</v>
      </c>
      <c r="G187" s="36">
        <f t="shared" si="305"/>
        <v>2.375</v>
      </c>
      <c r="H187" s="36">
        <f t="shared" si="306"/>
        <v>0.47500000000000003</v>
      </c>
      <c r="I187" s="36">
        <v>1.99</v>
      </c>
      <c r="J187" s="36">
        <f t="shared" si="294"/>
        <v>0.12934999999999999</v>
      </c>
      <c r="K187" s="36">
        <f t="shared" si="309"/>
        <v>9504.9693499999994</v>
      </c>
      <c r="L187" s="70"/>
      <c r="M187" s="20"/>
      <c r="N187" s="20"/>
      <c r="O187" s="65" t="s">
        <v>288</v>
      </c>
      <c r="P187" s="65">
        <v>10000</v>
      </c>
      <c r="Q187" s="34">
        <v>0.95</v>
      </c>
      <c r="R187" s="34">
        <f t="shared" si="296"/>
        <v>9500</v>
      </c>
      <c r="S187" s="34">
        <f t="shared" si="307"/>
        <v>2.375</v>
      </c>
      <c r="T187" s="34">
        <f t="shared" si="308"/>
        <v>0.47500000000000003</v>
      </c>
      <c r="U187" s="34">
        <v>1.99</v>
      </c>
      <c r="V187" s="34">
        <f t="shared" si="303"/>
        <v>0.12934999999999999</v>
      </c>
      <c r="W187" s="34">
        <v>0</v>
      </c>
      <c r="X187" s="34">
        <f t="shared" si="312"/>
        <v>9495.0306500000006</v>
      </c>
      <c r="Y187" s="37">
        <f t="shared" si="313"/>
        <v>-9.9386999999987893</v>
      </c>
    </row>
    <row r="188" spans="1:28" x14ac:dyDescent="0.25">
      <c r="A188" s="30">
        <v>44488</v>
      </c>
      <c r="B188" s="66">
        <v>65095</v>
      </c>
      <c r="C188" s="66" t="s">
        <v>354</v>
      </c>
      <c r="D188" s="66">
        <v>200</v>
      </c>
      <c r="E188" s="36">
        <v>64.5</v>
      </c>
      <c r="F188" s="36">
        <f t="shared" ref="F188" si="314">D188*E188</f>
        <v>12900</v>
      </c>
      <c r="G188" s="36">
        <f t="shared" si="305"/>
        <v>3.2250000000000001</v>
      </c>
      <c r="H188" s="36">
        <f t="shared" si="306"/>
        <v>0.64500000000000002</v>
      </c>
      <c r="I188" s="36">
        <v>1.99</v>
      </c>
      <c r="J188" s="36">
        <f t="shared" ref="J188" si="315">I188*6.5%</f>
        <v>0.12934999999999999</v>
      </c>
      <c r="K188" s="36">
        <f t="shared" si="309"/>
        <v>12905.98935</v>
      </c>
      <c r="L188" s="70"/>
      <c r="M188" s="20"/>
      <c r="N188" s="20"/>
      <c r="O188" s="65" t="s">
        <v>354</v>
      </c>
      <c r="P188" s="65">
        <v>200</v>
      </c>
      <c r="Q188" s="34">
        <v>64.5</v>
      </c>
      <c r="R188" s="34">
        <f t="shared" si="296"/>
        <v>12900</v>
      </c>
      <c r="S188" s="34">
        <f t="shared" si="307"/>
        <v>3.2250000000000001</v>
      </c>
      <c r="T188" s="34">
        <f t="shared" si="308"/>
        <v>0.64500000000000002</v>
      </c>
      <c r="U188" s="34">
        <v>1.99</v>
      </c>
      <c r="V188" s="34">
        <f t="shared" si="303"/>
        <v>0.12934999999999999</v>
      </c>
      <c r="W188" s="34">
        <v>0</v>
      </c>
      <c r="X188" s="34">
        <f t="shared" si="312"/>
        <v>12894.01065</v>
      </c>
      <c r="Y188" s="37">
        <f t="shared" si="313"/>
        <v>-11.978699999999662</v>
      </c>
    </row>
    <row r="189" spans="1:28" x14ac:dyDescent="0.25">
      <c r="A189" s="30">
        <v>44490</v>
      </c>
      <c r="B189" s="66">
        <v>78174</v>
      </c>
      <c r="C189" s="66" t="s">
        <v>340</v>
      </c>
      <c r="D189" s="66">
        <v>200</v>
      </c>
      <c r="E189" s="36">
        <v>73.5</v>
      </c>
      <c r="F189" s="36">
        <f t="shared" ref="F189" si="316">D189*E189</f>
        <v>14700</v>
      </c>
      <c r="G189" s="36">
        <f t="shared" si="305"/>
        <v>3.6750000000000003</v>
      </c>
      <c r="H189" s="36">
        <f t="shared" si="306"/>
        <v>0.73499999999999999</v>
      </c>
      <c r="I189" s="36">
        <v>1.99</v>
      </c>
      <c r="J189" s="36">
        <f t="shared" ref="J189" si="317">I189*6.5%</f>
        <v>0.12934999999999999</v>
      </c>
      <c r="K189" s="36">
        <f t="shared" si="309"/>
        <v>14706.529349999999</v>
      </c>
      <c r="L189" s="70"/>
      <c r="M189" s="20"/>
      <c r="N189" s="20"/>
      <c r="O189" s="65" t="s">
        <v>340</v>
      </c>
      <c r="P189" s="65">
        <v>200</v>
      </c>
      <c r="Q189" s="34">
        <v>73.5</v>
      </c>
      <c r="R189" s="34">
        <f t="shared" si="296"/>
        <v>14700</v>
      </c>
      <c r="S189" s="34">
        <f t="shared" si="307"/>
        <v>3.6750000000000003</v>
      </c>
      <c r="T189" s="34">
        <f t="shared" si="308"/>
        <v>0.73499999999999999</v>
      </c>
      <c r="U189" s="34">
        <v>1.99</v>
      </c>
      <c r="V189" s="34">
        <f t="shared" si="303"/>
        <v>0.12934999999999999</v>
      </c>
      <c r="W189" s="34">
        <v>0</v>
      </c>
      <c r="X189" s="34">
        <f t="shared" si="312"/>
        <v>14693.470650000001</v>
      </c>
      <c r="Y189" s="37">
        <f t="shared" si="313"/>
        <v>-13.058699999997771</v>
      </c>
    </row>
    <row r="190" spans="1:28" x14ac:dyDescent="0.25">
      <c r="A190" s="30">
        <v>44491</v>
      </c>
      <c r="B190" s="66">
        <v>85060</v>
      </c>
      <c r="C190" s="66" t="s">
        <v>336</v>
      </c>
      <c r="D190" s="66">
        <v>400</v>
      </c>
      <c r="E190" s="36">
        <v>27.5</v>
      </c>
      <c r="F190" s="36">
        <f t="shared" ref="F190:F191" si="318">D190*E190</f>
        <v>11000</v>
      </c>
      <c r="G190" s="36">
        <f t="shared" si="305"/>
        <v>2.75</v>
      </c>
      <c r="H190" s="36">
        <f t="shared" si="306"/>
        <v>0.55000000000000004</v>
      </c>
      <c r="I190" s="36">
        <v>1.99</v>
      </c>
      <c r="J190" s="36">
        <f t="shared" ref="J190:J191" si="319">I190*6.5%</f>
        <v>0.12934999999999999</v>
      </c>
      <c r="K190" s="36">
        <f t="shared" si="309"/>
        <v>11005.419349999998</v>
      </c>
      <c r="L190" s="70"/>
      <c r="M190" s="20"/>
      <c r="N190" s="20"/>
      <c r="O190" s="65" t="s">
        <v>336</v>
      </c>
      <c r="P190" s="65">
        <v>400</v>
      </c>
      <c r="Q190" s="34">
        <v>27.5</v>
      </c>
      <c r="R190" s="34">
        <f>P190*Q190</f>
        <v>11000</v>
      </c>
      <c r="S190" s="34">
        <f t="shared" si="307"/>
        <v>2.75</v>
      </c>
      <c r="T190" s="34">
        <f t="shared" si="308"/>
        <v>0.55000000000000004</v>
      </c>
      <c r="U190" s="34">
        <v>1.99</v>
      </c>
      <c r="V190" s="34">
        <f>U190*6.5%</f>
        <v>0.12934999999999999</v>
      </c>
      <c r="W190" s="34">
        <v>0</v>
      </c>
      <c r="X190" s="34">
        <f t="shared" si="312"/>
        <v>10994.580650000002</v>
      </c>
      <c r="Y190" s="37">
        <f t="shared" si="313"/>
        <v>-10.838699999996606</v>
      </c>
    </row>
    <row r="191" spans="1:28" x14ac:dyDescent="0.25">
      <c r="A191" s="30">
        <v>44491</v>
      </c>
      <c r="B191" s="66">
        <v>85060</v>
      </c>
      <c r="C191" s="66" t="s">
        <v>331</v>
      </c>
      <c r="D191" s="66">
        <v>500</v>
      </c>
      <c r="E191" s="36">
        <v>23.2</v>
      </c>
      <c r="F191" s="36">
        <f t="shared" si="318"/>
        <v>11600</v>
      </c>
      <c r="G191" s="36">
        <f t="shared" si="305"/>
        <v>2.9</v>
      </c>
      <c r="H191" s="36">
        <f t="shared" si="306"/>
        <v>0.58000000000000007</v>
      </c>
      <c r="I191" s="36">
        <v>1.99</v>
      </c>
      <c r="J191" s="36">
        <f t="shared" si="319"/>
        <v>0.12934999999999999</v>
      </c>
      <c r="K191" s="36">
        <f t="shared" si="309"/>
        <v>11605.599349999999</v>
      </c>
      <c r="L191" s="70"/>
      <c r="M191" s="20"/>
      <c r="N191" s="20"/>
      <c r="O191" s="65" t="s">
        <v>331</v>
      </c>
      <c r="P191" s="65">
        <v>500</v>
      </c>
      <c r="Q191" s="34">
        <v>23.2</v>
      </c>
      <c r="R191" s="34">
        <f t="shared" si="296"/>
        <v>11600</v>
      </c>
      <c r="S191" s="34">
        <f t="shared" si="307"/>
        <v>2.9</v>
      </c>
      <c r="T191" s="34">
        <f t="shared" si="308"/>
        <v>0.58000000000000007</v>
      </c>
      <c r="U191" s="34">
        <v>1.99</v>
      </c>
      <c r="V191" s="34">
        <f t="shared" si="303"/>
        <v>0.12934999999999999</v>
      </c>
      <c r="W191" s="34">
        <v>0</v>
      </c>
      <c r="X191" s="34">
        <f t="shared" si="312"/>
        <v>11594.400650000001</v>
      </c>
      <c r="Y191" s="37">
        <f t="shared" si="313"/>
        <v>-11.198699999997189</v>
      </c>
    </row>
    <row r="192" spans="1:28" x14ac:dyDescent="0.25">
      <c r="A192" s="30"/>
      <c r="B192" s="66"/>
      <c r="C192" s="66"/>
      <c r="D192" s="66"/>
      <c r="E192" s="36"/>
      <c r="F192" s="36"/>
      <c r="G192" s="36"/>
      <c r="H192" s="36"/>
      <c r="I192" s="36"/>
      <c r="J192" s="36"/>
      <c r="K192" s="36"/>
      <c r="L192" s="70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</row>
    <row r="193" spans="1:13" x14ac:dyDescent="0.25">
      <c r="A193" s="26"/>
      <c r="B193" s="47"/>
      <c r="C193" s="47"/>
      <c r="D193" s="47"/>
      <c r="E193" s="23"/>
      <c r="M193" s="21" t="s">
        <v>370</v>
      </c>
    </row>
    <row r="194" spans="1:13" x14ac:dyDescent="0.25">
      <c r="A194" s="10"/>
      <c r="M194" s="31" t="s">
        <v>371</v>
      </c>
    </row>
    <row r="195" spans="1:13" x14ac:dyDescent="0.25">
      <c r="A195" s="10"/>
      <c r="M195" s="28" t="s">
        <v>372</v>
      </c>
    </row>
  </sheetData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F346"/>
  <sheetViews>
    <sheetView topLeftCell="K1" zoomScaleNormal="100" workbookViewId="0">
      <pane ySplit="1" topLeftCell="A287" activePane="bottomLeft" state="frozen"/>
      <selection pane="bottomLeft" activeCell="Y300" activeCellId="3" sqref="Y313 Y309 Y305 Y300"/>
    </sheetView>
  </sheetViews>
  <sheetFormatPr defaultColWidth="9.140625" defaultRowHeight="15" x14ac:dyDescent="0.25"/>
  <cols>
    <col min="1" max="1" width="11.7109375" bestFit="1" customWidth="1"/>
    <col min="2" max="2" width="9.140625" bestFit="1" customWidth="1"/>
    <col min="3" max="3" width="10.5703125" bestFit="1" customWidth="1"/>
    <col min="4" max="4" width="10.140625" bestFit="1" customWidth="1"/>
    <col min="5" max="5" width="12.7109375" bestFit="1" customWidth="1"/>
    <col min="6" max="6" width="13.5703125" bestFit="1" customWidth="1"/>
    <col min="7" max="7" width="13.42578125" bestFit="1" customWidth="1"/>
    <col min="8" max="8" width="11.42578125" bestFit="1" customWidth="1"/>
    <col min="9" max="9" width="7.140625" bestFit="1" customWidth="1"/>
    <col min="10" max="10" width="12.7109375" bestFit="1" customWidth="1"/>
    <col min="11" max="11" width="2.140625" customWidth="1"/>
    <col min="12" max="12" width="11.7109375" bestFit="1" customWidth="1"/>
    <col min="13" max="13" width="9" bestFit="1" customWidth="1"/>
    <col min="14" max="14" width="9.140625" bestFit="1" customWidth="1"/>
    <col min="15" max="15" width="10.5703125" bestFit="1" customWidth="1"/>
    <col min="16" max="16" width="10.5703125" customWidth="1"/>
    <col min="17" max="17" width="12.7109375" bestFit="1" customWidth="1"/>
    <col min="18" max="18" width="13.5703125" bestFit="1" customWidth="1"/>
    <col min="19" max="19" width="13.42578125" bestFit="1" customWidth="1"/>
    <col min="20" max="20" width="11.42578125" bestFit="1" customWidth="1"/>
    <col min="21" max="22" width="7.140625" bestFit="1" customWidth="1"/>
    <col min="23" max="23" width="14.42578125" bestFit="1" customWidth="1"/>
    <col min="24" max="24" width="9.140625" bestFit="1" customWidth="1"/>
    <col min="25" max="25" width="12.7109375" bestFit="1" customWidth="1"/>
    <col min="26" max="26" width="12.5703125" bestFit="1" customWidth="1"/>
    <col min="27" max="27" width="13.140625" bestFit="1" customWidth="1"/>
    <col min="28" max="28" width="14.28515625" bestFit="1" customWidth="1"/>
    <col min="30" max="30" width="10.7109375" bestFit="1" customWidth="1"/>
    <col min="32" max="32" width="10.7109375" bestFit="1" customWidth="1"/>
  </cols>
  <sheetData>
    <row r="1" spans="1:28" x14ac:dyDescent="0.25">
      <c r="A1" t="s">
        <v>255</v>
      </c>
      <c r="B1" t="s">
        <v>257</v>
      </c>
      <c r="C1" t="s">
        <v>258</v>
      </c>
      <c r="D1" s="22" t="s">
        <v>259</v>
      </c>
      <c r="E1" s="22" t="s">
        <v>260</v>
      </c>
      <c r="F1" s="22" t="s">
        <v>373</v>
      </c>
      <c r="G1" s="22" t="s">
        <v>262</v>
      </c>
      <c r="H1" s="22" t="s">
        <v>263</v>
      </c>
      <c r="I1" s="22" t="s">
        <v>264</v>
      </c>
      <c r="J1" s="22" t="s">
        <v>266</v>
      </c>
      <c r="K1" s="12"/>
      <c r="L1" t="s">
        <v>255</v>
      </c>
      <c r="M1" t="s">
        <v>256</v>
      </c>
      <c r="N1" t="s">
        <v>257</v>
      </c>
      <c r="O1" t="s">
        <v>258</v>
      </c>
      <c r="P1" s="22" t="s">
        <v>259</v>
      </c>
      <c r="Q1" s="22" t="s">
        <v>260</v>
      </c>
      <c r="R1" s="22" t="s">
        <v>373</v>
      </c>
      <c r="S1" s="22" t="s">
        <v>262</v>
      </c>
      <c r="T1" s="22" t="s">
        <v>263</v>
      </c>
      <c r="U1" s="22" t="s">
        <v>264</v>
      </c>
      <c r="V1" s="22" t="s">
        <v>265</v>
      </c>
      <c r="W1" s="22" t="s">
        <v>266</v>
      </c>
      <c r="X1" s="22" t="s">
        <v>374</v>
      </c>
      <c r="Y1" s="22" t="s">
        <v>355</v>
      </c>
      <c r="Z1" s="22" t="s">
        <v>375</v>
      </c>
      <c r="AA1" s="22" t="s">
        <v>376</v>
      </c>
      <c r="AB1" s="13" t="s">
        <v>377</v>
      </c>
    </row>
    <row r="2" spans="1:28" x14ac:dyDescent="0.25">
      <c r="D2" s="22"/>
      <c r="E2" s="22"/>
      <c r="F2" s="22"/>
      <c r="G2" s="22"/>
      <c r="H2" s="22"/>
      <c r="I2" s="22"/>
      <c r="J2" s="22"/>
      <c r="K2" s="1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13"/>
    </row>
    <row r="3" spans="1:28" x14ac:dyDescent="0.25">
      <c r="A3" s="144" t="s">
        <v>378</v>
      </c>
      <c r="B3" s="144"/>
      <c r="C3" s="144"/>
      <c r="D3" s="144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  <c r="W3" s="144"/>
      <c r="X3" s="144"/>
      <c r="Y3" s="144"/>
      <c r="Z3" s="144"/>
      <c r="AA3" s="144"/>
      <c r="AB3" s="144"/>
    </row>
    <row r="4" spans="1:28" x14ac:dyDescent="0.25">
      <c r="A4" s="10">
        <v>39757</v>
      </c>
      <c r="B4" t="s">
        <v>269</v>
      </c>
      <c r="C4">
        <v>100</v>
      </c>
      <c r="D4" s="22">
        <v>27.5</v>
      </c>
      <c r="E4" s="22">
        <f>C4*D4</f>
        <v>2750</v>
      </c>
      <c r="F4" s="22">
        <f>0.74*(E4/SUM(E4:E6))</f>
        <v>0.21830079382106843</v>
      </c>
      <c r="G4" s="22">
        <f>2.51*(E4/SUM(E4:E6))</f>
        <v>0.74045269255524548</v>
      </c>
      <c r="H4" s="22">
        <v>15.99</v>
      </c>
      <c r="I4" s="22">
        <v>0</v>
      </c>
      <c r="J4" s="22">
        <f>E4+F4+G4+H4</f>
        <v>2766.9487534863761</v>
      </c>
      <c r="K4" s="12"/>
      <c r="L4" s="10">
        <v>39849</v>
      </c>
      <c r="M4">
        <v>1319</v>
      </c>
      <c r="N4" t="s">
        <v>269</v>
      </c>
      <c r="O4">
        <v>100</v>
      </c>
      <c r="P4" s="22">
        <v>31.5</v>
      </c>
      <c r="Q4" s="22">
        <f t="shared" ref="Q4" si="0">O4*P4</f>
        <v>3150</v>
      </c>
      <c r="R4" s="22">
        <v>0.25</v>
      </c>
      <c r="S4" s="22">
        <v>0.85</v>
      </c>
      <c r="T4" s="22">
        <v>15.99</v>
      </c>
      <c r="U4" s="22">
        <v>0</v>
      </c>
      <c r="V4" s="22">
        <v>0</v>
      </c>
      <c r="W4" s="22">
        <f>Q4-R4-S4-T4-V4</f>
        <v>3132.9100000000003</v>
      </c>
      <c r="X4" s="22">
        <v>0</v>
      </c>
      <c r="Y4" s="22">
        <f>W4-X4-J4</f>
        <v>365.96124651362425</v>
      </c>
      <c r="Z4" s="22">
        <f>IF(Q7 &gt; 20000, ((Y4+V4)*15%)-V4, 0)</f>
        <v>0</v>
      </c>
      <c r="AA4" s="22">
        <f t="shared" ref="AA4:AA6" si="1">(Y4-Z4)*10%</f>
        <v>36.596124651362423</v>
      </c>
      <c r="AB4" s="22">
        <f t="shared" ref="AB4:AB6" si="2">Y4-Z4-AA4</f>
        <v>329.36512186226184</v>
      </c>
    </row>
    <row r="5" spans="1:28" x14ac:dyDescent="0.25">
      <c r="A5" s="10">
        <v>39757</v>
      </c>
      <c r="B5" t="s">
        <v>267</v>
      </c>
      <c r="C5">
        <v>100</v>
      </c>
      <c r="D5" s="22">
        <v>15.34</v>
      </c>
      <c r="E5" s="22">
        <f t="shared" ref="E5:E6" si="3">C5*D5</f>
        <v>1534</v>
      </c>
      <c r="F5" s="22">
        <f>0.74*(E5/SUM(E4:E6))</f>
        <v>0.12177215189873417</v>
      </c>
      <c r="G5" s="22">
        <f>2.51*(E5/SUM(E4:E6))</f>
        <v>0.41303797468354425</v>
      </c>
      <c r="H5" s="22">
        <v>15.99</v>
      </c>
      <c r="I5" s="22">
        <v>0</v>
      </c>
      <c r="J5" s="22">
        <f t="shared" ref="J5:J6" si="4">E5+F5+G5+H5</f>
        <v>1550.5248101265822</v>
      </c>
      <c r="K5" s="12"/>
      <c r="L5" s="10">
        <v>39853</v>
      </c>
      <c r="M5">
        <v>1362</v>
      </c>
      <c r="N5" t="s">
        <v>267</v>
      </c>
      <c r="O5">
        <v>100</v>
      </c>
      <c r="P5" s="22">
        <v>17.7</v>
      </c>
      <c r="Q5" s="22">
        <f t="shared" ref="Q5" si="5">O5*P5</f>
        <v>1770</v>
      </c>
      <c r="R5" s="22">
        <v>0.14000000000000001</v>
      </c>
      <c r="S5" s="22">
        <v>0.47</v>
      </c>
      <c r="T5" s="22">
        <v>15.99</v>
      </c>
      <c r="U5" s="22">
        <v>0</v>
      </c>
      <c r="V5" s="22">
        <v>0</v>
      </c>
      <c r="W5" s="22">
        <f>Q5-R5-S5-T5-V5</f>
        <v>1753.3999999999999</v>
      </c>
      <c r="X5" s="22">
        <v>0</v>
      </c>
      <c r="Y5" s="22">
        <f>W5-X5-J5</f>
        <v>202.87518987341764</v>
      </c>
      <c r="Z5" s="22">
        <f>IF(Q7 &gt; 20000,((Y5+V5)*15%)-V5, 0)</f>
        <v>0</v>
      </c>
      <c r="AA5" s="22">
        <f t="shared" si="1"/>
        <v>20.287518987341766</v>
      </c>
      <c r="AB5" s="22">
        <f t="shared" si="2"/>
        <v>182.58767088607587</v>
      </c>
    </row>
    <row r="6" spans="1:28" x14ac:dyDescent="0.25">
      <c r="A6" s="10">
        <v>39757</v>
      </c>
      <c r="B6" t="s">
        <v>268</v>
      </c>
      <c r="C6">
        <v>200</v>
      </c>
      <c r="D6" s="22">
        <v>25.19</v>
      </c>
      <c r="E6" s="22">
        <f t="shared" si="3"/>
        <v>5038</v>
      </c>
      <c r="F6" s="22">
        <f>0.74*(E6/SUM(E4:E6))</f>
        <v>0.39992705428019737</v>
      </c>
      <c r="G6" s="22">
        <f>2.51*(E6/SUM(E4:E6))</f>
        <v>1.3565093327612099</v>
      </c>
      <c r="H6" s="22">
        <v>15.99</v>
      </c>
      <c r="I6" s="22">
        <v>0</v>
      </c>
      <c r="J6" s="22">
        <f t="shared" si="4"/>
        <v>5055.7464363870413</v>
      </c>
      <c r="K6" s="12"/>
      <c r="L6" s="10">
        <v>39869</v>
      </c>
      <c r="M6">
        <v>903</v>
      </c>
      <c r="N6" t="s">
        <v>268</v>
      </c>
      <c r="O6">
        <v>200</v>
      </c>
      <c r="P6" s="22">
        <v>26.1</v>
      </c>
      <c r="Q6" s="22">
        <f t="shared" ref="Q6" si="6">O6*P6</f>
        <v>5220</v>
      </c>
      <c r="R6" s="22">
        <v>0.33</v>
      </c>
      <c r="S6" s="22">
        <v>1.07</v>
      </c>
      <c r="T6" s="22">
        <v>15.99</v>
      </c>
      <c r="U6" s="22">
        <v>0</v>
      </c>
      <c r="V6" s="22">
        <v>0</v>
      </c>
      <c r="W6" s="22">
        <f>Q6-R6-S6-T6-V6</f>
        <v>5202.6100000000006</v>
      </c>
      <c r="X6" s="22">
        <v>0</v>
      </c>
      <c r="Y6" s="22">
        <f>W6-X6-J6</f>
        <v>146.8635636129593</v>
      </c>
      <c r="Z6" s="22">
        <f>IF(Q7 &gt; 20000, ((Y6+V6)*15%)-V6, 0)</f>
        <v>0</v>
      </c>
      <c r="AA6" s="22">
        <f t="shared" si="1"/>
        <v>14.68635636129593</v>
      </c>
      <c r="AB6" s="22">
        <f t="shared" si="2"/>
        <v>132.17720725166336</v>
      </c>
    </row>
    <row r="7" spans="1:28" x14ac:dyDescent="0.25">
      <c r="D7" s="22"/>
      <c r="E7" s="22">
        <f>SUM(E4:E6)</f>
        <v>9322</v>
      </c>
      <c r="F7" s="22">
        <f>SUM(F4:F6)</f>
        <v>0.74</v>
      </c>
      <c r="G7" s="22">
        <f>SUM(G4:G6)</f>
        <v>2.5099999999999998</v>
      </c>
      <c r="H7" s="22">
        <f>SUM(H4:H6)</f>
        <v>47.97</v>
      </c>
      <c r="I7" s="22">
        <v>0</v>
      </c>
      <c r="J7" s="22">
        <f>SUM(J4:J6)</f>
        <v>9373.2199999999993</v>
      </c>
      <c r="K7" s="12"/>
      <c r="P7" s="22"/>
      <c r="Q7" s="22">
        <f>SUM(Q4:Q6)</f>
        <v>10140</v>
      </c>
      <c r="R7" s="22">
        <f>SUM(R4:R6)</f>
        <v>0.72</v>
      </c>
      <c r="S7" s="22">
        <f>SUM(S4:S6)</f>
        <v>2.3899999999999997</v>
      </c>
      <c r="T7" s="22">
        <f>SUM(T4:T6)</f>
        <v>47.97</v>
      </c>
      <c r="U7" s="22">
        <v>0</v>
      </c>
      <c r="V7" s="22">
        <f t="shared" ref="V7:AB7" si="7">SUM(V4:V6)</f>
        <v>0</v>
      </c>
      <c r="W7" s="22">
        <f t="shared" si="7"/>
        <v>10088.920000000002</v>
      </c>
      <c r="X7" s="22">
        <f>SUM(X4:X6)</f>
        <v>0</v>
      </c>
      <c r="Y7" s="22">
        <f t="shared" si="7"/>
        <v>715.70000000000118</v>
      </c>
      <c r="Z7" s="38">
        <f t="shared" si="7"/>
        <v>0</v>
      </c>
      <c r="AA7" s="38">
        <f t="shared" si="7"/>
        <v>71.570000000000121</v>
      </c>
      <c r="AB7" s="52">
        <f t="shared" si="7"/>
        <v>644.13000000000113</v>
      </c>
    </row>
    <row r="8" spans="1:28" x14ac:dyDescent="0.25">
      <c r="D8" s="22"/>
      <c r="E8" s="22"/>
      <c r="F8" s="22"/>
      <c r="G8" s="22"/>
      <c r="H8" s="22"/>
      <c r="I8" s="22"/>
      <c r="J8" s="22"/>
      <c r="K8" s="1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13"/>
    </row>
    <row r="9" spans="1:28" x14ac:dyDescent="0.25">
      <c r="A9" s="144" t="s">
        <v>379</v>
      </c>
      <c r="B9" s="144"/>
      <c r="C9" s="144"/>
      <c r="D9" s="144"/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  <c r="W9" s="144"/>
      <c r="X9" s="144"/>
      <c r="Y9" s="144"/>
      <c r="Z9" s="144"/>
      <c r="AA9" s="144"/>
      <c r="AB9" s="144"/>
    </row>
    <row r="10" spans="1:28" x14ac:dyDescent="0.25">
      <c r="A10" s="10">
        <v>39854</v>
      </c>
      <c r="B10" t="s">
        <v>274</v>
      </c>
      <c r="C10">
        <v>200</v>
      </c>
      <c r="D10" s="22">
        <v>5.89</v>
      </c>
      <c r="E10" s="22">
        <f t="shared" ref="E10" si="8">C10*D10</f>
        <v>1178</v>
      </c>
      <c r="F10" s="22">
        <v>0.09</v>
      </c>
      <c r="G10" s="22">
        <v>0.32</v>
      </c>
      <c r="H10" s="22">
        <v>15.99</v>
      </c>
      <c r="I10" s="22">
        <v>0</v>
      </c>
      <c r="J10" s="22">
        <f t="shared" ref="J10" si="9">E10+F10+G10+H10</f>
        <v>1194.3999999999999</v>
      </c>
      <c r="K10" s="12"/>
      <c r="L10" s="10">
        <v>39885</v>
      </c>
      <c r="M10">
        <v>1104</v>
      </c>
      <c r="N10" t="s">
        <v>274</v>
      </c>
      <c r="O10">
        <v>200</v>
      </c>
      <c r="P10" s="22">
        <v>6.6</v>
      </c>
      <c r="Q10" s="22">
        <f t="shared" ref="Q10" si="10">O10*P10</f>
        <v>1320</v>
      </c>
      <c r="R10" s="22">
        <v>0.1</v>
      </c>
      <c r="S10" s="22">
        <v>0.35</v>
      </c>
      <c r="T10" s="22">
        <v>15.99</v>
      </c>
      <c r="U10" s="22">
        <v>0</v>
      </c>
      <c r="V10" s="22">
        <v>0</v>
      </c>
      <c r="W10" s="22">
        <f>Q10-R10-S10-T10-V10</f>
        <v>1303.5600000000002</v>
      </c>
      <c r="X10" s="22">
        <v>0</v>
      </c>
      <c r="Y10" s="22">
        <f>W10-X10-J10</f>
        <v>109.16000000000031</v>
      </c>
      <c r="Z10" s="22">
        <f>IF(Q12 &gt; 20000,((Y10+V10)*15%)-V10, 0)</f>
        <v>0</v>
      </c>
      <c r="AA10" s="22">
        <f t="shared" ref="AA10:AA11" si="11">(Y10-Z10)*10%</f>
        <v>10.916000000000032</v>
      </c>
      <c r="AB10" s="22">
        <f t="shared" ref="AB10:AB11" si="12">Y10-Z10-AA10</f>
        <v>98.244000000000284</v>
      </c>
    </row>
    <row r="11" spans="1:28" x14ac:dyDescent="0.25">
      <c r="A11" s="10">
        <v>39869</v>
      </c>
      <c r="B11" t="s">
        <v>268</v>
      </c>
      <c r="C11">
        <v>200</v>
      </c>
      <c r="D11" s="22">
        <v>26.1</v>
      </c>
      <c r="E11" s="22">
        <f t="shared" ref="E11" si="13">C11*D11</f>
        <v>5220</v>
      </c>
      <c r="F11" s="22">
        <v>0.33</v>
      </c>
      <c r="G11" s="22">
        <v>1.07</v>
      </c>
      <c r="H11" s="22">
        <v>15.99</v>
      </c>
      <c r="I11" s="22">
        <v>0</v>
      </c>
      <c r="J11" s="22">
        <f t="shared" ref="J11" si="14">E11+F11+G11+H11</f>
        <v>5237.3899999999994</v>
      </c>
      <c r="K11" s="12"/>
      <c r="L11" s="10">
        <v>39892</v>
      </c>
      <c r="M11">
        <v>1029</v>
      </c>
      <c r="N11" t="s">
        <v>268</v>
      </c>
      <c r="O11">
        <v>200</v>
      </c>
      <c r="P11" s="22">
        <v>29.61</v>
      </c>
      <c r="Q11" s="22">
        <f t="shared" ref="Q11" si="15">O11*P11</f>
        <v>5922</v>
      </c>
      <c r="R11" s="22">
        <v>0.47</v>
      </c>
      <c r="S11" s="22">
        <v>1.59</v>
      </c>
      <c r="T11" s="22">
        <v>15.99</v>
      </c>
      <c r="U11" s="22">
        <v>0</v>
      </c>
      <c r="V11" s="22">
        <v>0</v>
      </c>
      <c r="W11" s="22">
        <f>Q11-R11-S11-T11-V11</f>
        <v>5903.95</v>
      </c>
      <c r="X11" s="22">
        <v>0</v>
      </c>
      <c r="Y11" s="22">
        <f>W11-X11-J11</f>
        <v>666.5600000000004</v>
      </c>
      <c r="Z11" s="22">
        <f>IF(Q12 &gt; 20000,((Y11+V11)*15%)-V11, 0)</f>
        <v>0</v>
      </c>
      <c r="AA11" s="22">
        <f t="shared" si="11"/>
        <v>66.656000000000049</v>
      </c>
      <c r="AB11" s="22">
        <f t="shared" si="12"/>
        <v>599.90400000000034</v>
      </c>
    </row>
    <row r="12" spans="1:28" x14ac:dyDescent="0.25">
      <c r="D12" s="22"/>
      <c r="E12" s="22">
        <f>SUM(E10:E11)</f>
        <v>6398</v>
      </c>
      <c r="F12" s="22">
        <f>SUM(F10:F11)</f>
        <v>0.42000000000000004</v>
      </c>
      <c r="G12" s="22">
        <f>SUM(G10:G11)</f>
        <v>1.3900000000000001</v>
      </c>
      <c r="H12" s="22">
        <f>SUM(H10:H11)</f>
        <v>31.98</v>
      </c>
      <c r="I12" s="22">
        <v>0</v>
      </c>
      <c r="J12" s="22">
        <f>SUM(J10:J11)</f>
        <v>6431.7899999999991</v>
      </c>
      <c r="K12" s="12"/>
      <c r="P12" s="22"/>
      <c r="Q12" s="22">
        <f>SUM(Q10:Q11)</f>
        <v>7242</v>
      </c>
      <c r="R12" s="22"/>
      <c r="S12" s="22"/>
      <c r="T12" s="22"/>
      <c r="U12" s="22"/>
      <c r="V12" s="22">
        <f t="shared" ref="V12:AB12" si="16">SUM(V10:V11)</f>
        <v>0</v>
      </c>
      <c r="W12" s="22">
        <f t="shared" si="16"/>
        <v>7207.51</v>
      </c>
      <c r="X12" s="22">
        <f>SUM(X10:X11)</f>
        <v>0</v>
      </c>
      <c r="Y12" s="22">
        <f t="shared" si="16"/>
        <v>775.72000000000071</v>
      </c>
      <c r="Z12" s="38">
        <f t="shared" si="16"/>
        <v>0</v>
      </c>
      <c r="AA12" s="38">
        <f t="shared" si="16"/>
        <v>77.572000000000088</v>
      </c>
      <c r="AB12" s="52">
        <f t="shared" si="16"/>
        <v>698.14800000000059</v>
      </c>
    </row>
    <row r="13" spans="1:28" x14ac:dyDescent="0.25">
      <c r="D13" s="22"/>
      <c r="E13" s="22"/>
      <c r="F13" s="22"/>
      <c r="G13" s="22"/>
      <c r="H13" s="22"/>
      <c r="I13" s="22"/>
      <c r="J13" s="22"/>
      <c r="K13" s="1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13"/>
    </row>
    <row r="14" spans="1:28" x14ac:dyDescent="0.25">
      <c r="A14" s="144" t="s">
        <v>380</v>
      </c>
      <c r="B14" s="144"/>
      <c r="C14" s="144"/>
      <c r="D14" s="144"/>
      <c r="E14" s="144"/>
      <c r="F14" s="144"/>
      <c r="G14" s="144"/>
      <c r="H14" s="144"/>
      <c r="I14" s="144"/>
      <c r="J14" s="144"/>
      <c r="K14" s="144"/>
      <c r="L14" s="144"/>
      <c r="M14" s="144"/>
      <c r="N14" s="144"/>
      <c r="O14" s="144"/>
      <c r="P14" s="144"/>
      <c r="Q14" s="144"/>
      <c r="R14" s="144"/>
      <c r="S14" s="144"/>
      <c r="T14" s="144"/>
      <c r="U14" s="144"/>
      <c r="V14" s="144"/>
      <c r="W14" s="144"/>
      <c r="X14" s="144"/>
      <c r="Y14" s="144"/>
      <c r="Z14" s="144"/>
      <c r="AA14" s="144"/>
      <c r="AB14" s="144"/>
    </row>
    <row r="15" spans="1:28" x14ac:dyDescent="0.25">
      <c r="A15" s="10">
        <v>39758</v>
      </c>
      <c r="B15" t="s">
        <v>271</v>
      </c>
      <c r="C15">
        <v>100</v>
      </c>
      <c r="D15" s="22">
        <v>15.2</v>
      </c>
      <c r="E15" s="22">
        <f t="shared" ref="E15" si="17">C15*D15</f>
        <v>1520</v>
      </c>
      <c r="F15" s="22">
        <v>0.12</v>
      </c>
      <c r="G15" s="22">
        <v>0.41</v>
      </c>
      <c r="H15" s="22">
        <v>15.99</v>
      </c>
      <c r="I15" s="22">
        <v>0</v>
      </c>
      <c r="J15" s="22">
        <f t="shared" ref="J15" si="18">E15+F15+G15+H15</f>
        <v>1536.52</v>
      </c>
      <c r="K15" s="12"/>
      <c r="L15" s="10">
        <v>39905</v>
      </c>
      <c r="M15">
        <v>1782</v>
      </c>
      <c r="N15" t="s">
        <v>271</v>
      </c>
      <c r="O15">
        <v>100</v>
      </c>
      <c r="P15" s="22">
        <v>18.600000000000001</v>
      </c>
      <c r="Q15" s="22">
        <f t="shared" ref="Q15" si="19">O15*P15</f>
        <v>1860.0000000000002</v>
      </c>
      <c r="R15" s="22">
        <v>0.14000000000000001</v>
      </c>
      <c r="S15" s="22">
        <v>0.5</v>
      </c>
      <c r="T15" s="22">
        <v>15.99</v>
      </c>
      <c r="U15" s="22">
        <v>0</v>
      </c>
      <c r="V15" s="22">
        <v>0</v>
      </c>
      <c r="W15" s="22">
        <f>Q15-R15-S15-T15-V15</f>
        <v>1843.3700000000001</v>
      </c>
      <c r="X15" s="22">
        <v>0</v>
      </c>
      <c r="Y15" s="22">
        <f>W15-X15-J15</f>
        <v>306.85000000000014</v>
      </c>
      <c r="Z15" s="22">
        <f>IF(Q20 &gt; 20000, ((Y15+V15)*15%)-V15, 0)</f>
        <v>0</v>
      </c>
      <c r="AA15" s="22">
        <f t="shared" ref="AA15:AA19" si="20">(Y15-Z15)*10%</f>
        <v>30.685000000000016</v>
      </c>
      <c r="AB15" s="22">
        <f t="shared" ref="AB15:AB19" si="21">Y15-Z15-AA15</f>
        <v>276.16500000000013</v>
      </c>
    </row>
    <row r="16" spans="1:28" x14ac:dyDescent="0.25">
      <c r="A16" s="10">
        <v>39854</v>
      </c>
      <c r="B16" t="s">
        <v>273</v>
      </c>
      <c r="C16">
        <v>500</v>
      </c>
      <c r="D16" s="22">
        <v>7.23</v>
      </c>
      <c r="E16" s="22">
        <f t="shared" ref="E16" si="22">C16*D16</f>
        <v>3615</v>
      </c>
      <c r="F16" s="22">
        <v>0.28999999999999998</v>
      </c>
      <c r="G16" s="22">
        <v>0.97</v>
      </c>
      <c r="H16" s="22">
        <v>15.99</v>
      </c>
      <c r="I16" s="22">
        <v>0</v>
      </c>
      <c r="J16" s="22">
        <f t="shared" ref="J16" si="23">E16+F16+G16+H16</f>
        <v>3632.2499999999995</v>
      </c>
      <c r="K16" s="12"/>
      <c r="L16" s="10">
        <v>39912</v>
      </c>
      <c r="M16">
        <v>1401</v>
      </c>
      <c r="N16" t="s">
        <v>273</v>
      </c>
      <c r="O16">
        <v>500</v>
      </c>
      <c r="P16" s="22">
        <v>8.58</v>
      </c>
      <c r="Q16" s="22">
        <f t="shared" ref="Q16" si="24">O16*P16</f>
        <v>4290</v>
      </c>
      <c r="R16" s="22">
        <f>0.57*(Q16/SUM(Q16:Q17))</f>
        <v>0.33971936649069184</v>
      </c>
      <c r="S16" s="22">
        <f>1.94*(Q16/SUM(Q16:Q17))</f>
        <v>1.1562378438455125</v>
      </c>
      <c r="T16" s="22">
        <v>15.99</v>
      </c>
      <c r="U16" s="22">
        <v>0</v>
      </c>
      <c r="V16" s="22">
        <v>0</v>
      </c>
      <c r="W16" s="22">
        <f>Q16-R16-S16-T16-V16</f>
        <v>4272.514042789664</v>
      </c>
      <c r="X16" s="22">
        <v>0</v>
      </c>
      <c r="Y16" s="22">
        <f>W16-X16-J16</f>
        <v>640.26404278966447</v>
      </c>
      <c r="Z16" s="22">
        <f>IF(Q20 &gt; 20000,((Y16+V16)*15%)-V16, 0)</f>
        <v>0</v>
      </c>
      <c r="AA16" s="22">
        <f t="shared" si="20"/>
        <v>64.026404278966453</v>
      </c>
      <c r="AB16" s="22">
        <f t="shared" si="21"/>
        <v>576.23763851069805</v>
      </c>
    </row>
    <row r="17" spans="1:28" x14ac:dyDescent="0.25">
      <c r="A17" s="10">
        <v>39869</v>
      </c>
      <c r="B17" t="s">
        <v>267</v>
      </c>
      <c r="C17">
        <v>200</v>
      </c>
      <c r="D17" s="22">
        <v>12.47</v>
      </c>
      <c r="E17" s="22">
        <f t="shared" ref="E17" si="25">C17*D17</f>
        <v>2494</v>
      </c>
      <c r="F17" s="22">
        <v>0.16</v>
      </c>
      <c r="G17" s="22">
        <v>0.51</v>
      </c>
      <c r="H17" s="22">
        <v>15.99</v>
      </c>
      <c r="I17" s="22">
        <v>0</v>
      </c>
      <c r="J17" s="22">
        <f t="shared" ref="J17" si="26">E17+F17+G17+H17</f>
        <v>2510.66</v>
      </c>
      <c r="K17" s="12"/>
      <c r="L17" s="10">
        <v>39912</v>
      </c>
      <c r="M17">
        <v>1401</v>
      </c>
      <c r="N17" t="s">
        <v>267</v>
      </c>
      <c r="O17">
        <v>200</v>
      </c>
      <c r="P17" s="22">
        <v>14.54</v>
      </c>
      <c r="Q17" s="22">
        <f t="shared" ref="Q17" si="27">O17*P17</f>
        <v>2908</v>
      </c>
      <c r="R17" s="22">
        <f>0.57*(Q17/SUM(Q16:Q17))</f>
        <v>0.23028063350930814</v>
      </c>
      <c r="S17" s="22">
        <f>1.94*(Q17/SUM(Q16:Q17))</f>
        <v>0.78376215615448741</v>
      </c>
      <c r="T17" s="22">
        <v>15.99</v>
      </c>
      <c r="U17" s="22">
        <v>0</v>
      </c>
      <c r="V17" s="22">
        <v>0</v>
      </c>
      <c r="W17" s="22">
        <f>Q17-R17-S17-T17-V17</f>
        <v>2890.9959572103367</v>
      </c>
      <c r="X17" s="22">
        <v>0</v>
      </c>
      <c r="Y17" s="22">
        <f>W17-X17-J17</f>
        <v>380.3359572103368</v>
      </c>
      <c r="Z17" s="22">
        <f>IF(Q20 &gt; 20000,((Y17+V17)*15%)-V17, 0)</f>
        <v>0</v>
      </c>
      <c r="AA17" s="22">
        <f t="shared" si="20"/>
        <v>38.033595721033684</v>
      </c>
      <c r="AB17" s="22">
        <f t="shared" si="21"/>
        <v>342.30236148930311</v>
      </c>
    </row>
    <row r="18" spans="1:28" x14ac:dyDescent="0.25">
      <c r="A18" s="10">
        <v>39904</v>
      </c>
      <c r="B18" t="s">
        <v>275</v>
      </c>
      <c r="C18">
        <v>100</v>
      </c>
      <c r="D18" s="22">
        <v>25.67</v>
      </c>
      <c r="E18" s="22">
        <f t="shared" ref="E18" si="28">C18*D18</f>
        <v>2567</v>
      </c>
      <c r="F18" s="22">
        <v>0.2</v>
      </c>
      <c r="G18" s="22">
        <v>0.69</v>
      </c>
      <c r="H18" s="22">
        <v>15.99</v>
      </c>
      <c r="I18" s="22">
        <v>0</v>
      </c>
      <c r="J18" s="22">
        <f t="shared" ref="J18" si="29">E18+F18+G18+H18</f>
        <v>2583.8799999999997</v>
      </c>
      <c r="K18" s="12"/>
      <c r="L18" s="10">
        <v>39927</v>
      </c>
      <c r="M18">
        <v>1455</v>
      </c>
      <c r="N18" t="s">
        <v>275</v>
      </c>
      <c r="O18">
        <v>100</v>
      </c>
      <c r="P18" s="22">
        <v>29</v>
      </c>
      <c r="Q18" s="22">
        <f t="shared" ref="Q18" si="30">O18*P18</f>
        <v>2900</v>
      </c>
      <c r="R18" s="22">
        <v>0.23</v>
      </c>
      <c r="S18" s="22">
        <v>0.78</v>
      </c>
      <c r="T18" s="22">
        <v>15.99</v>
      </c>
      <c r="U18" s="22">
        <v>0</v>
      </c>
      <c r="V18" s="22">
        <v>0</v>
      </c>
      <c r="W18" s="22">
        <f>Q18-R18-S18-T18-V18</f>
        <v>2883</v>
      </c>
      <c r="X18" s="22">
        <v>0</v>
      </c>
      <c r="Y18" s="22">
        <f>W18-X18-J18</f>
        <v>299.12000000000035</v>
      </c>
      <c r="Z18" s="22">
        <f>IF(Q20 &gt; 20000, ((Y18+V18)*15%)-V18, 0)</f>
        <v>0</v>
      </c>
      <c r="AA18" s="22">
        <f t="shared" si="20"/>
        <v>29.912000000000035</v>
      </c>
      <c r="AB18" s="22">
        <f t="shared" si="21"/>
        <v>269.20800000000031</v>
      </c>
    </row>
    <row r="19" spans="1:28" x14ac:dyDescent="0.25">
      <c r="A19" s="10">
        <v>39758</v>
      </c>
      <c r="B19" t="s">
        <v>272</v>
      </c>
      <c r="C19">
        <v>100</v>
      </c>
      <c r="D19" s="22">
        <v>7.69</v>
      </c>
      <c r="E19" s="22">
        <f t="shared" ref="E19" si="31">C19*D19</f>
        <v>769</v>
      </c>
      <c r="F19" s="22">
        <v>0.06</v>
      </c>
      <c r="G19" s="22">
        <v>0.21</v>
      </c>
      <c r="H19" s="22">
        <v>15.99</v>
      </c>
      <c r="I19" s="22">
        <v>0</v>
      </c>
      <c r="J19" s="22">
        <f t="shared" ref="J19" si="32">E19+F19+G19+H19</f>
        <v>785.26</v>
      </c>
      <c r="K19" s="12"/>
      <c r="L19" s="10">
        <v>39933</v>
      </c>
      <c r="M19">
        <v>1461</v>
      </c>
      <c r="N19" t="s">
        <v>272</v>
      </c>
      <c r="O19">
        <v>100</v>
      </c>
      <c r="P19" s="22">
        <v>9.23</v>
      </c>
      <c r="Q19" s="22">
        <f t="shared" ref="Q19" si="33">O19*P19</f>
        <v>923</v>
      </c>
      <c r="R19" s="22">
        <v>7.0000000000000007E-2</v>
      </c>
      <c r="S19" s="22">
        <v>0.24</v>
      </c>
      <c r="T19" s="22">
        <v>15.99</v>
      </c>
      <c r="U19" s="22">
        <v>0</v>
      </c>
      <c r="V19" s="22">
        <v>0</v>
      </c>
      <c r="W19" s="22">
        <f>Q19-R19-S19-T19-V19</f>
        <v>906.69999999999993</v>
      </c>
      <c r="X19" s="22">
        <v>0</v>
      </c>
      <c r="Y19" s="22">
        <f>W19-X19-J19</f>
        <v>121.43999999999994</v>
      </c>
      <c r="Z19" s="22">
        <f>IF(Q20 &gt; 20000,((Y19+V19)*15%)-V19, 0)</f>
        <v>0</v>
      </c>
      <c r="AA19" s="22">
        <f t="shared" si="20"/>
        <v>12.143999999999995</v>
      </c>
      <c r="AB19" s="22">
        <f t="shared" si="21"/>
        <v>109.29599999999995</v>
      </c>
    </row>
    <row r="20" spans="1:28" x14ac:dyDescent="0.25">
      <c r="D20" s="22"/>
      <c r="E20" s="22">
        <f>SUM(E15:E19)</f>
        <v>10965</v>
      </c>
      <c r="F20" s="22">
        <f>SUM(F15:F19)</f>
        <v>0.83000000000000007</v>
      </c>
      <c r="G20" s="22">
        <f>SUM(G15:G19)</f>
        <v>2.79</v>
      </c>
      <c r="H20" s="22">
        <f>SUM(H15:H19)</f>
        <v>79.95</v>
      </c>
      <c r="I20" s="22">
        <v>0</v>
      </c>
      <c r="J20" s="22">
        <f>SUM(J15:J19)</f>
        <v>11048.57</v>
      </c>
      <c r="K20" s="12"/>
      <c r="P20" s="22"/>
      <c r="Q20" s="22">
        <f>SUM(Q15:Q19)</f>
        <v>12881</v>
      </c>
      <c r="R20" s="22"/>
      <c r="S20" s="22"/>
      <c r="T20" s="22"/>
      <c r="U20" s="22"/>
      <c r="V20" s="22">
        <f t="shared" ref="V20:AB20" si="34">SUM(V15:V19)</f>
        <v>0</v>
      </c>
      <c r="W20" s="22">
        <f t="shared" si="34"/>
        <v>12796.580000000002</v>
      </c>
      <c r="X20" s="22">
        <f>SUM(X15:X19)</f>
        <v>0</v>
      </c>
      <c r="Y20" s="22">
        <f t="shared" si="34"/>
        <v>1748.0100000000016</v>
      </c>
      <c r="Z20" s="38">
        <f t="shared" si="34"/>
        <v>0</v>
      </c>
      <c r="AA20" s="38">
        <f t="shared" si="34"/>
        <v>174.80100000000019</v>
      </c>
      <c r="AB20" s="52">
        <f t="shared" si="34"/>
        <v>1573.2090000000017</v>
      </c>
    </row>
    <row r="21" spans="1:28" x14ac:dyDescent="0.25">
      <c r="D21" s="22"/>
      <c r="E21" s="22"/>
      <c r="F21" s="22"/>
      <c r="G21" s="22"/>
      <c r="H21" s="22"/>
      <c r="I21" s="22"/>
      <c r="J21" s="22"/>
      <c r="K21" s="1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13"/>
    </row>
    <row r="22" spans="1:28" x14ac:dyDescent="0.25">
      <c r="A22" s="144" t="s">
        <v>381</v>
      </c>
      <c r="B22" s="144"/>
      <c r="C22" s="144"/>
      <c r="D22" s="144"/>
      <c r="E22" s="144"/>
      <c r="F22" s="144"/>
      <c r="G22" s="144"/>
      <c r="H22" s="144"/>
      <c r="I22" s="144"/>
      <c r="J22" s="144"/>
      <c r="K22" s="144"/>
      <c r="L22" s="144"/>
      <c r="M22" s="144"/>
      <c r="N22" s="144"/>
      <c r="O22" s="144"/>
      <c r="P22" s="144"/>
      <c r="Q22" s="144"/>
      <c r="R22" s="144"/>
      <c r="S22" s="144"/>
      <c r="T22" s="144"/>
      <c r="U22" s="144"/>
      <c r="V22" s="144"/>
      <c r="W22" s="144"/>
      <c r="X22" s="144"/>
      <c r="Y22" s="144"/>
      <c r="Z22" s="144"/>
      <c r="AA22" s="144"/>
      <c r="AB22" s="144"/>
    </row>
    <row r="23" spans="1:28" x14ac:dyDescent="0.25">
      <c r="A23" s="10">
        <v>39930</v>
      </c>
      <c r="B23" t="s">
        <v>269</v>
      </c>
      <c r="C23">
        <v>200</v>
      </c>
      <c r="D23" s="22">
        <v>29.7</v>
      </c>
      <c r="E23" s="22">
        <f t="shared" ref="E23" si="35">C23*D23</f>
        <v>5940</v>
      </c>
      <c r="F23" s="22">
        <v>0.47</v>
      </c>
      <c r="G23" s="22">
        <v>1.6</v>
      </c>
      <c r="H23" s="22">
        <v>15.99</v>
      </c>
      <c r="I23" s="22">
        <v>0</v>
      </c>
      <c r="J23" s="22">
        <f t="shared" ref="J23" si="36">E23+F23+G23+H23</f>
        <v>5958.06</v>
      </c>
      <c r="K23" s="12"/>
      <c r="L23" s="10">
        <v>39937</v>
      </c>
      <c r="M23">
        <v>2060</v>
      </c>
      <c r="N23" t="s">
        <v>269</v>
      </c>
      <c r="O23">
        <v>200</v>
      </c>
      <c r="P23" s="22">
        <v>33.15</v>
      </c>
      <c r="Q23" s="22">
        <f t="shared" ref="Q23" si="37">O23*P23</f>
        <v>6630</v>
      </c>
      <c r="R23" s="22">
        <f>0.7*(Q23/SUM(Q23:Q24))</f>
        <v>0.39464285714285713</v>
      </c>
      <c r="S23" s="22">
        <f>3.35*(Q23/SUM(Q23:Q24))</f>
        <v>1.8886479591836736</v>
      </c>
      <c r="T23" s="22">
        <v>15.99</v>
      </c>
      <c r="U23" s="22">
        <v>0</v>
      </c>
      <c r="V23" s="36">
        <v>0</v>
      </c>
      <c r="W23" s="22">
        <f>Q23-R23-S23-T23-V23</f>
        <v>6611.7267091836738</v>
      </c>
      <c r="X23" s="22">
        <v>0</v>
      </c>
      <c r="Y23" s="22">
        <f>W23-X23-J23</f>
        <v>653.66670918367345</v>
      </c>
      <c r="Z23" s="22">
        <f>IF(Q28 &gt; 20000,((Y23+V23)*15%)-V23, 0)</f>
        <v>98.050006377551014</v>
      </c>
      <c r="AA23" s="22">
        <f t="shared" ref="AA23:AA27" si="38">(Y23-Z23)*10%</f>
        <v>55.561670280612248</v>
      </c>
      <c r="AB23" s="22">
        <f t="shared" ref="AB23:AB27" si="39">Y23-Z23-AA23</f>
        <v>500.05503252551023</v>
      </c>
    </row>
    <row r="24" spans="1:28" x14ac:dyDescent="0.25">
      <c r="A24" s="10">
        <v>39931</v>
      </c>
      <c r="B24" t="s">
        <v>267</v>
      </c>
      <c r="C24">
        <v>300</v>
      </c>
      <c r="D24" s="22">
        <v>14.5</v>
      </c>
      <c r="E24" s="22">
        <f t="shared" ref="E24" si="40">C24*D24</f>
        <v>4350</v>
      </c>
      <c r="F24" s="22">
        <v>0.34</v>
      </c>
      <c r="G24" s="22">
        <v>1.17</v>
      </c>
      <c r="H24" s="22">
        <v>15.99</v>
      </c>
      <c r="I24" s="22">
        <v>0</v>
      </c>
      <c r="J24" s="22">
        <f t="shared" ref="J24" si="41">E24+F24+G24+H24</f>
        <v>4367.5</v>
      </c>
      <c r="K24" s="12"/>
      <c r="L24" s="10">
        <v>39937</v>
      </c>
      <c r="M24">
        <v>2060</v>
      </c>
      <c r="N24" t="s">
        <v>267</v>
      </c>
      <c r="O24">
        <v>300</v>
      </c>
      <c r="P24" s="22">
        <v>17.100000000000001</v>
      </c>
      <c r="Q24" s="22">
        <f t="shared" ref="Q24:Q25" si="42">O24*P24</f>
        <v>5130</v>
      </c>
      <c r="R24" s="22">
        <f>0.7*(Q24/SUM(Q23:Q24))</f>
        <v>0.30535714285714283</v>
      </c>
      <c r="S24" s="22">
        <f>3.35*(Q24/SUM(Q23:Q24))</f>
        <v>1.4613520408163265</v>
      </c>
      <c r="T24" s="22">
        <v>15.99</v>
      </c>
      <c r="U24" s="22">
        <v>0</v>
      </c>
      <c r="V24" s="36">
        <v>0</v>
      </c>
      <c r="W24" s="22">
        <f>Q24-R24-S24-T24-V24</f>
        <v>5112.2432908163264</v>
      </c>
      <c r="X24" s="22">
        <v>0</v>
      </c>
      <c r="Y24" s="22">
        <f>W24-X24-J24</f>
        <v>744.74329081632641</v>
      </c>
      <c r="Z24" s="22">
        <f>IF(Q28 &gt; 20000,((Y24+V24)*15%)-V24, 0)</f>
        <v>111.71149362244896</v>
      </c>
      <c r="AA24" s="22">
        <f t="shared" si="38"/>
        <v>63.303179719387742</v>
      </c>
      <c r="AB24" s="22">
        <f t="shared" si="39"/>
        <v>569.72861747448974</v>
      </c>
    </row>
    <row r="25" spans="1:28" x14ac:dyDescent="0.25">
      <c r="A25" s="10">
        <v>39758</v>
      </c>
      <c r="B25" t="s">
        <v>270</v>
      </c>
      <c r="C25">
        <v>100</v>
      </c>
      <c r="D25" s="22">
        <v>2.68</v>
      </c>
      <c r="E25" s="22">
        <f t="shared" ref="E25" si="43">C25*D25</f>
        <v>268</v>
      </c>
      <c r="F25" s="22">
        <v>0.02</v>
      </c>
      <c r="G25" s="22">
        <v>7.0000000000000007E-2</v>
      </c>
      <c r="H25" s="22">
        <v>15.99</v>
      </c>
      <c r="I25" s="22">
        <v>0</v>
      </c>
      <c r="J25" s="22">
        <f t="shared" ref="J25" si="44">E25+F25+G25+H25</f>
        <v>284.08</v>
      </c>
      <c r="K25" s="12"/>
      <c r="L25" s="10">
        <v>39938</v>
      </c>
      <c r="M25">
        <v>1648</v>
      </c>
      <c r="N25" t="s">
        <v>270</v>
      </c>
      <c r="O25">
        <v>100</v>
      </c>
      <c r="P25" s="22">
        <v>3.03</v>
      </c>
      <c r="Q25" s="22">
        <f t="shared" si="42"/>
        <v>303</v>
      </c>
      <c r="R25" s="22">
        <v>0.01</v>
      </c>
      <c r="S25" s="22">
        <v>0.08</v>
      </c>
      <c r="T25" s="22">
        <v>15.99</v>
      </c>
      <c r="U25" s="22">
        <v>0</v>
      </c>
      <c r="V25" s="36">
        <v>0</v>
      </c>
      <c r="W25" s="22">
        <f>Q25-R25-S25-T25-V25</f>
        <v>286.92</v>
      </c>
      <c r="X25" s="22">
        <v>0</v>
      </c>
      <c r="Y25" s="22">
        <f>W25-X25-J25</f>
        <v>2.8400000000000318</v>
      </c>
      <c r="Z25" s="22">
        <f>IF(Q28 &gt; 20000, ((Y25+V25)*15%)-V25, 0)</f>
        <v>0.42600000000000476</v>
      </c>
      <c r="AA25" s="22">
        <f t="shared" si="38"/>
        <v>0.24140000000000272</v>
      </c>
      <c r="AB25" s="22">
        <f t="shared" si="39"/>
        <v>2.1726000000000245</v>
      </c>
    </row>
    <row r="26" spans="1:28" x14ac:dyDescent="0.25">
      <c r="A26" s="10">
        <v>39946</v>
      </c>
      <c r="B26" t="s">
        <v>276</v>
      </c>
      <c r="C26">
        <v>200</v>
      </c>
      <c r="D26" s="22">
        <v>21.3</v>
      </c>
      <c r="E26" s="22">
        <f t="shared" ref="E26" si="45">C26*D26</f>
        <v>4260</v>
      </c>
      <c r="F26" s="22">
        <v>0.25</v>
      </c>
      <c r="G26" s="22">
        <v>1.21</v>
      </c>
      <c r="H26" s="22">
        <v>15.99</v>
      </c>
      <c r="I26" s="22">
        <v>0</v>
      </c>
      <c r="J26" s="22">
        <f t="shared" ref="J26" si="46">E26+F26+G26+H26</f>
        <v>4277.45</v>
      </c>
      <c r="K26" s="12"/>
      <c r="L26" s="10">
        <v>39959</v>
      </c>
      <c r="M26">
        <v>1430</v>
      </c>
      <c r="N26" t="s">
        <v>276</v>
      </c>
      <c r="O26">
        <v>200</v>
      </c>
      <c r="P26" s="22">
        <v>23.4</v>
      </c>
      <c r="Q26" s="22">
        <f t="shared" ref="Q26" si="47">O26*P26</f>
        <v>4680</v>
      </c>
      <c r="R26" s="22">
        <v>0.28000000000000003</v>
      </c>
      <c r="S26" s="22">
        <v>1.33</v>
      </c>
      <c r="T26" s="22">
        <v>15.99</v>
      </c>
      <c r="U26" s="22">
        <v>0</v>
      </c>
      <c r="V26" s="36">
        <v>0</v>
      </c>
      <c r="W26" s="22">
        <f>Q26-R26-S26-T26-V26</f>
        <v>4662.4000000000005</v>
      </c>
      <c r="X26" s="22">
        <v>0</v>
      </c>
      <c r="Y26" s="22">
        <f>W26-X26-J26</f>
        <v>384.95000000000073</v>
      </c>
      <c r="Z26" s="22">
        <f>IF(Q28 &gt; 20000, ((Y26+V26)*15%)-V26, 0)</f>
        <v>57.742500000000106</v>
      </c>
      <c r="AA26" s="22">
        <f t="shared" si="38"/>
        <v>32.720750000000059</v>
      </c>
      <c r="AB26" s="22">
        <f t="shared" si="39"/>
        <v>294.48675000000054</v>
      </c>
    </row>
    <row r="27" spans="1:28" x14ac:dyDescent="0.25">
      <c r="A27" s="10">
        <v>39927</v>
      </c>
      <c r="B27" t="s">
        <v>268</v>
      </c>
      <c r="C27">
        <v>200</v>
      </c>
      <c r="D27" s="22">
        <v>29.5</v>
      </c>
      <c r="E27" s="22">
        <f t="shared" ref="E27" si="48">C27*D27</f>
        <v>5900</v>
      </c>
      <c r="F27" s="22">
        <v>0.47</v>
      </c>
      <c r="G27" s="22">
        <v>1.59</v>
      </c>
      <c r="H27" s="22">
        <v>15.99</v>
      </c>
      <c r="I27" s="22">
        <v>0</v>
      </c>
      <c r="J27" s="22">
        <f t="shared" ref="J27" si="49">E27+F27+G27+H27</f>
        <v>5918.05</v>
      </c>
      <c r="K27" s="12"/>
      <c r="L27" s="10">
        <v>39960</v>
      </c>
      <c r="M27">
        <v>1681</v>
      </c>
      <c r="N27" t="s">
        <v>268</v>
      </c>
      <c r="O27">
        <v>200</v>
      </c>
      <c r="P27" s="22">
        <v>34.04</v>
      </c>
      <c r="Q27" s="22">
        <f t="shared" ref="Q27" si="50">O27*P27</f>
        <v>6808</v>
      </c>
      <c r="R27" s="22">
        <v>0.4</v>
      </c>
      <c r="S27" s="22">
        <v>1.94</v>
      </c>
      <c r="T27" s="22">
        <v>15.99</v>
      </c>
      <c r="U27" s="22">
        <v>0</v>
      </c>
      <c r="V27" s="36">
        <v>0</v>
      </c>
      <c r="W27" s="22">
        <f>Q27-R27-S27-T27-V27</f>
        <v>6789.670000000001</v>
      </c>
      <c r="X27" s="22">
        <v>0</v>
      </c>
      <c r="Y27" s="22">
        <f>W27-X27-J27</f>
        <v>871.6200000000008</v>
      </c>
      <c r="Z27" s="22">
        <f>IF(Q28 &gt; 20000, ((Y27+V27)*15%)-V27, 0)</f>
        <v>130.74300000000011</v>
      </c>
      <c r="AA27" s="22">
        <f t="shared" si="38"/>
        <v>74.087700000000069</v>
      </c>
      <c r="AB27" s="22">
        <f t="shared" si="39"/>
        <v>666.78930000000059</v>
      </c>
    </row>
    <row r="28" spans="1:28" x14ac:dyDescent="0.25">
      <c r="D28" s="22"/>
      <c r="E28" s="22">
        <f>SUM(E23:E27)</f>
        <v>20718</v>
      </c>
      <c r="F28" s="22">
        <f>SUM(F23:F27)</f>
        <v>1.55</v>
      </c>
      <c r="G28" s="22">
        <f>SUM(G23:G27)</f>
        <v>5.64</v>
      </c>
      <c r="H28" s="22">
        <f>SUM(H23:H27)</f>
        <v>79.95</v>
      </c>
      <c r="I28" s="22">
        <v>0</v>
      </c>
      <c r="J28" s="22">
        <f>SUM(J23:J27)</f>
        <v>20805.14</v>
      </c>
      <c r="K28" s="12"/>
      <c r="P28" s="22"/>
      <c r="Q28" s="22">
        <f>SUM(Q23:Q27)</f>
        <v>23551</v>
      </c>
      <c r="R28" s="22">
        <f>SUM(R23:R27)</f>
        <v>1.3900000000000001</v>
      </c>
      <c r="S28" s="22">
        <f>SUM(S23:S27)</f>
        <v>6.6999999999999993</v>
      </c>
      <c r="T28" s="22">
        <f>SUM(T23:T27)</f>
        <v>79.95</v>
      </c>
      <c r="U28" s="22">
        <v>0</v>
      </c>
      <c r="V28" s="22">
        <v>1.1599999999999999</v>
      </c>
      <c r="W28" s="22">
        <f t="shared" ref="W28:AB28" si="51">SUM(W23:W27)</f>
        <v>23462.960000000003</v>
      </c>
      <c r="X28" s="22">
        <f>SUM(X23:X27)</f>
        <v>0</v>
      </c>
      <c r="Y28" s="22">
        <f t="shared" si="51"/>
        <v>2657.8200000000015</v>
      </c>
      <c r="Z28" s="38">
        <f t="shared" si="51"/>
        <v>398.67300000000017</v>
      </c>
      <c r="AA28" s="38">
        <f t="shared" si="51"/>
        <v>225.91470000000012</v>
      </c>
      <c r="AB28" s="52">
        <f t="shared" si="51"/>
        <v>2033.232300000001</v>
      </c>
    </row>
    <row r="29" spans="1:28" x14ac:dyDescent="0.25">
      <c r="D29" s="22"/>
      <c r="E29" s="22"/>
      <c r="F29" s="22"/>
      <c r="G29" s="22"/>
      <c r="H29" s="22"/>
      <c r="I29" s="22"/>
      <c r="J29" s="22"/>
      <c r="K29" s="1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13"/>
    </row>
    <row r="30" spans="1:28" x14ac:dyDescent="0.25">
      <c r="A30" s="144" t="s">
        <v>382</v>
      </c>
      <c r="B30" s="144"/>
      <c r="C30" s="144"/>
      <c r="D30" s="144"/>
      <c r="E30" s="144"/>
      <c r="F30" s="144"/>
      <c r="G30" s="144"/>
      <c r="H30" s="144"/>
      <c r="I30" s="144"/>
      <c r="J30" s="144"/>
      <c r="K30" s="144"/>
      <c r="L30" s="144"/>
      <c r="M30" s="144"/>
      <c r="N30" s="144"/>
      <c r="O30" s="144"/>
      <c r="P30" s="144"/>
      <c r="Q30" s="144"/>
      <c r="R30" s="144"/>
      <c r="S30" s="144"/>
      <c r="T30" s="144"/>
      <c r="U30" s="144"/>
      <c r="V30" s="144"/>
      <c r="W30" s="144"/>
      <c r="X30" s="144"/>
      <c r="Y30" s="144"/>
      <c r="Z30" s="144"/>
      <c r="AA30" s="144"/>
      <c r="AB30" s="144"/>
    </row>
    <row r="31" spans="1:28" x14ac:dyDescent="0.25">
      <c r="A31" s="10">
        <v>39962</v>
      </c>
      <c r="B31" t="s">
        <v>275</v>
      </c>
      <c r="C31">
        <v>200</v>
      </c>
      <c r="D31" s="22">
        <v>27.5</v>
      </c>
      <c r="E31" s="22">
        <f t="shared" ref="E31" si="52">C31*D31</f>
        <v>5500</v>
      </c>
      <c r="F31" s="22">
        <v>0.33</v>
      </c>
      <c r="G31" s="22">
        <v>1.57</v>
      </c>
      <c r="H31" s="22">
        <v>15.99</v>
      </c>
      <c r="I31" s="22">
        <v>0</v>
      </c>
      <c r="J31" s="22">
        <f t="shared" ref="J31" si="53">E31+F31+G31+H31</f>
        <v>5517.8899999999994</v>
      </c>
      <c r="K31" s="12"/>
      <c r="L31" s="10">
        <v>39974</v>
      </c>
      <c r="M31">
        <v>993</v>
      </c>
      <c r="N31" t="s">
        <v>275</v>
      </c>
      <c r="O31">
        <v>200</v>
      </c>
      <c r="P31" s="22">
        <v>30.75</v>
      </c>
      <c r="Q31" s="22">
        <f t="shared" ref="Q31" si="54">O31*P31</f>
        <v>6150</v>
      </c>
      <c r="R31" s="22">
        <v>0.36</v>
      </c>
      <c r="S31" s="22">
        <v>1.75</v>
      </c>
      <c r="T31" s="22">
        <v>15.99</v>
      </c>
      <c r="U31" s="22">
        <v>0</v>
      </c>
      <c r="V31" s="22">
        <v>0</v>
      </c>
      <c r="W31" s="22">
        <f>Q31-R31-S31-T31-V31</f>
        <v>6131.9000000000005</v>
      </c>
      <c r="X31" s="22">
        <v>0</v>
      </c>
      <c r="Y31" s="22">
        <f>W31-X31-J31</f>
        <v>614.01000000000113</v>
      </c>
      <c r="Z31" s="22">
        <f>IF(Q33 &gt; 20000, ((Y31+V31)*15%)-V31, 0)</f>
        <v>0</v>
      </c>
      <c r="AA31" s="22">
        <f t="shared" ref="AA31:AA32" si="55">(Y31-Z31)*10%</f>
        <v>61.401000000000117</v>
      </c>
      <c r="AB31" s="22">
        <f t="shared" ref="AB31:AB32" si="56">Y31-Z31-AA31</f>
        <v>552.60900000000106</v>
      </c>
    </row>
    <row r="32" spans="1:28" x14ac:dyDescent="0.25">
      <c r="A32" s="10">
        <v>39979</v>
      </c>
      <c r="B32" t="s">
        <v>275</v>
      </c>
      <c r="C32">
        <v>200</v>
      </c>
      <c r="D32" s="22">
        <v>27.5</v>
      </c>
      <c r="E32" s="22">
        <f t="shared" ref="E32" si="57">C32*D32</f>
        <v>5500</v>
      </c>
      <c r="F32" s="22">
        <v>0.33</v>
      </c>
      <c r="G32" s="22">
        <v>1.56</v>
      </c>
      <c r="H32" s="22">
        <v>15.99</v>
      </c>
      <c r="I32" s="22">
        <v>0</v>
      </c>
      <c r="J32" s="22">
        <f t="shared" ref="J32" si="58">E32+F32+G32+H32</f>
        <v>5517.88</v>
      </c>
      <c r="K32" s="12"/>
      <c r="L32" s="10">
        <v>39983</v>
      </c>
      <c r="M32">
        <v>1048</v>
      </c>
      <c r="N32" t="s">
        <v>275</v>
      </c>
      <c r="O32">
        <v>200</v>
      </c>
      <c r="P32" s="22">
        <v>29.8</v>
      </c>
      <c r="Q32" s="22">
        <f t="shared" ref="Q32" si="59">O32*P32</f>
        <v>5960</v>
      </c>
      <c r="R32" s="22">
        <v>0.36</v>
      </c>
      <c r="S32" s="22">
        <v>1.7</v>
      </c>
      <c r="T32" s="22">
        <v>15.99</v>
      </c>
      <c r="U32" s="22">
        <v>0</v>
      </c>
      <c r="V32" s="22">
        <v>0</v>
      </c>
      <c r="W32" s="22">
        <f>Q32-R32-S32-T32-V32</f>
        <v>5941.9500000000007</v>
      </c>
      <c r="X32" s="22">
        <v>0</v>
      </c>
      <c r="Y32" s="22">
        <f>W32-X32-J32</f>
        <v>424.07000000000062</v>
      </c>
      <c r="Z32" s="22">
        <f>IF(Q33 &gt; 20000, ((Y32+V32)*15%)-V32, 0)</f>
        <v>0</v>
      </c>
      <c r="AA32" s="22">
        <f t="shared" si="55"/>
        <v>42.407000000000068</v>
      </c>
      <c r="AB32" s="22">
        <f t="shared" si="56"/>
        <v>381.66300000000058</v>
      </c>
    </row>
    <row r="33" spans="1:28" x14ac:dyDescent="0.25">
      <c r="D33" s="22"/>
      <c r="E33" s="22">
        <f>SUM(E31:E32)</f>
        <v>11000</v>
      </c>
      <c r="F33" s="22">
        <f>SUM(F31:F32)</f>
        <v>0.66</v>
      </c>
      <c r="G33" s="22">
        <f>SUM(G31:G32)</f>
        <v>3.13</v>
      </c>
      <c r="H33" s="22">
        <f>SUM(H31:H32)</f>
        <v>31.98</v>
      </c>
      <c r="I33" s="22">
        <v>0</v>
      </c>
      <c r="J33" s="22">
        <f>SUM(J31:J32)</f>
        <v>11035.77</v>
      </c>
      <c r="K33" s="12"/>
      <c r="P33" s="22"/>
      <c r="Q33" s="22">
        <f>SUM(Q31:Q32)</f>
        <v>12110</v>
      </c>
      <c r="R33" s="22">
        <f>SUM(R31:R32)</f>
        <v>0.72</v>
      </c>
      <c r="S33" s="22">
        <f>SUM(S31:S32)</f>
        <v>3.45</v>
      </c>
      <c r="T33" s="22">
        <f>SUM(T31:T32)</f>
        <v>31.98</v>
      </c>
      <c r="U33" s="22">
        <v>0</v>
      </c>
      <c r="V33" s="22">
        <f t="shared" ref="V33:AB33" si="60">SUM(V31:V32)</f>
        <v>0</v>
      </c>
      <c r="W33" s="22">
        <f t="shared" si="60"/>
        <v>12073.850000000002</v>
      </c>
      <c r="X33" s="22">
        <f>SUM(X31:X32)</f>
        <v>0</v>
      </c>
      <c r="Y33" s="22">
        <f t="shared" si="60"/>
        <v>1038.0800000000017</v>
      </c>
      <c r="Z33" s="38">
        <f t="shared" si="60"/>
        <v>0</v>
      </c>
      <c r="AA33" s="38">
        <f t="shared" si="60"/>
        <v>103.80800000000019</v>
      </c>
      <c r="AB33" s="52">
        <f t="shared" si="60"/>
        <v>934.27200000000164</v>
      </c>
    </row>
    <row r="34" spans="1:28" x14ac:dyDescent="0.25">
      <c r="D34" s="22"/>
      <c r="E34" s="22"/>
      <c r="F34" s="22"/>
      <c r="G34" s="22"/>
      <c r="H34" s="22"/>
      <c r="I34" s="22"/>
      <c r="J34" s="22"/>
      <c r="K34" s="1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13"/>
    </row>
    <row r="35" spans="1:28" x14ac:dyDescent="0.25">
      <c r="A35" s="144" t="s">
        <v>383</v>
      </c>
      <c r="B35" s="144"/>
      <c r="C35" s="144"/>
      <c r="D35" s="144"/>
      <c r="E35" s="144"/>
      <c r="F35" s="144"/>
      <c r="G35" s="144"/>
      <c r="H35" s="144"/>
      <c r="I35" s="144"/>
      <c r="J35" s="144"/>
      <c r="K35" s="144"/>
      <c r="L35" s="144"/>
      <c r="M35" s="144"/>
      <c r="N35" s="144"/>
      <c r="O35" s="144"/>
      <c r="P35" s="144"/>
      <c r="Q35" s="144"/>
      <c r="R35" s="144"/>
      <c r="S35" s="144"/>
      <c r="T35" s="144"/>
      <c r="U35" s="144"/>
      <c r="V35" s="144"/>
      <c r="W35" s="144"/>
      <c r="X35" s="144"/>
      <c r="Y35" s="144"/>
      <c r="Z35" s="144"/>
      <c r="AA35" s="144"/>
      <c r="AB35" s="144"/>
    </row>
    <row r="36" spans="1:28" x14ac:dyDescent="0.25">
      <c r="A36" s="10">
        <v>39962</v>
      </c>
      <c r="B36" t="s">
        <v>278</v>
      </c>
      <c r="C36">
        <v>100</v>
      </c>
      <c r="D36" s="22">
        <v>25</v>
      </c>
      <c r="E36" s="22">
        <f t="shared" ref="E36" si="61">C36*D36</f>
        <v>2500</v>
      </c>
      <c r="F36" s="22">
        <v>0.15</v>
      </c>
      <c r="G36" s="22">
        <v>0.71</v>
      </c>
      <c r="H36" s="22">
        <v>15.99</v>
      </c>
      <c r="I36" s="22">
        <v>0</v>
      </c>
      <c r="J36" s="22">
        <f t="shared" ref="J36" si="62">E36+F36+G36+H36</f>
        <v>2516.85</v>
      </c>
      <c r="K36" s="12"/>
      <c r="L36" s="10">
        <v>40010</v>
      </c>
      <c r="M36">
        <v>1298</v>
      </c>
      <c r="N36" t="s">
        <v>278</v>
      </c>
      <c r="O36">
        <v>100</v>
      </c>
      <c r="P36" s="22">
        <v>28.31</v>
      </c>
      <c r="Q36" s="22">
        <f t="shared" ref="Q36" si="63">O36*P36</f>
        <v>2831</v>
      </c>
      <c r="R36" s="22">
        <v>0.16</v>
      </c>
      <c r="S36" s="22">
        <v>0.8</v>
      </c>
      <c r="T36" s="22">
        <v>15.99</v>
      </c>
      <c r="U36" s="22">
        <v>0</v>
      </c>
      <c r="V36" s="22">
        <v>0</v>
      </c>
      <c r="W36" s="22">
        <f>Q36-R36-S36-T36-V36</f>
        <v>2814.05</v>
      </c>
      <c r="X36" s="22">
        <v>0</v>
      </c>
      <c r="Y36" s="22">
        <f>W36-X36-J36</f>
        <v>297.20000000000027</v>
      </c>
      <c r="Z36" s="22">
        <f>IF(Q38 &gt; 20000, ((Y36+V36)*15%)-V36, 0)</f>
        <v>0</v>
      </c>
      <c r="AA36" s="22">
        <f t="shared" ref="AA36:AA37" si="64">(Y36-Z36)*10%</f>
        <v>29.720000000000027</v>
      </c>
      <c r="AB36" s="22">
        <f t="shared" ref="AB36:AB37" si="65">Y36-Z36-AA36</f>
        <v>267.48000000000025</v>
      </c>
    </row>
    <row r="37" spans="1:28" x14ac:dyDescent="0.25">
      <c r="A37" s="10">
        <v>39946</v>
      </c>
      <c r="B37" t="s">
        <v>270</v>
      </c>
      <c r="C37">
        <v>1000</v>
      </c>
      <c r="D37" s="22">
        <v>3</v>
      </c>
      <c r="E37" s="22">
        <f t="shared" ref="E37" si="66">C37*D37</f>
        <v>3000</v>
      </c>
      <c r="F37" s="22">
        <v>0.18</v>
      </c>
      <c r="G37" s="22">
        <v>0.85</v>
      </c>
      <c r="H37" s="22">
        <v>15.99</v>
      </c>
      <c r="I37" s="22">
        <v>0</v>
      </c>
      <c r="J37" s="22">
        <f t="shared" ref="J37" si="67">E37+F37+G37+H37</f>
        <v>3017.0199999999995</v>
      </c>
      <c r="K37" s="12"/>
      <c r="L37" s="10">
        <v>40022</v>
      </c>
      <c r="M37">
        <v>1240</v>
      </c>
      <c r="N37" t="s">
        <v>270</v>
      </c>
      <c r="O37">
        <v>1000</v>
      </c>
      <c r="P37" s="22">
        <v>3.5</v>
      </c>
      <c r="Q37" s="22">
        <f t="shared" ref="Q37" si="68">O37*P37</f>
        <v>3500</v>
      </c>
      <c r="R37" s="22">
        <v>0.21</v>
      </c>
      <c r="S37" s="22">
        <v>0.99</v>
      </c>
      <c r="T37" s="22">
        <v>15.99</v>
      </c>
      <c r="U37" s="22">
        <v>0</v>
      </c>
      <c r="V37" s="22">
        <v>0</v>
      </c>
      <c r="W37" s="22">
        <f>Q37-R37-S37-T37-V37</f>
        <v>3482.8100000000004</v>
      </c>
      <c r="X37" s="22">
        <v>0</v>
      </c>
      <c r="Y37" s="22">
        <f>W37-X37-J37</f>
        <v>465.79000000000087</v>
      </c>
      <c r="Z37" s="22">
        <f>IF(Q38 &gt; 20000, ((Y37+V37)*15%)-V37, 0)</f>
        <v>0</v>
      </c>
      <c r="AA37" s="22">
        <f t="shared" si="64"/>
        <v>46.579000000000093</v>
      </c>
      <c r="AB37" s="22">
        <f t="shared" si="65"/>
        <v>419.21100000000081</v>
      </c>
    </row>
    <row r="38" spans="1:28" x14ac:dyDescent="0.25">
      <c r="D38" s="22"/>
      <c r="E38" s="22">
        <f>SUM(E36:E37)</f>
        <v>5500</v>
      </c>
      <c r="F38" s="22">
        <f>SUM(F36:F37)</f>
        <v>0.32999999999999996</v>
      </c>
      <c r="G38" s="22">
        <f>SUM(G36:G37)</f>
        <v>1.56</v>
      </c>
      <c r="H38" s="22">
        <f>SUM(H36:H37)</f>
        <v>31.98</v>
      </c>
      <c r="I38" s="22">
        <v>0</v>
      </c>
      <c r="J38" s="22">
        <f>SUM(J36:J37)</f>
        <v>5533.869999999999</v>
      </c>
      <c r="K38" s="12"/>
      <c r="P38" s="22"/>
      <c r="Q38" s="22">
        <f>SUM(Q36:Q37)</f>
        <v>6331</v>
      </c>
      <c r="R38" s="22">
        <f>SUM(R36:R37)</f>
        <v>0.37</v>
      </c>
      <c r="S38" s="22">
        <f>SUM(S36:S37)</f>
        <v>1.79</v>
      </c>
      <c r="T38" s="22">
        <f>SUM(T36:T37)</f>
        <v>31.98</v>
      </c>
      <c r="U38" s="22">
        <v>0</v>
      </c>
      <c r="V38" s="22">
        <f t="shared" ref="V38:AB38" si="69">SUM(V36:V37)</f>
        <v>0</v>
      </c>
      <c r="W38" s="22">
        <f t="shared" si="69"/>
        <v>6296.8600000000006</v>
      </c>
      <c r="X38" s="22">
        <f>SUM(X36:X37)</f>
        <v>0</v>
      </c>
      <c r="Y38" s="22">
        <f t="shared" si="69"/>
        <v>762.99000000000115</v>
      </c>
      <c r="Z38" s="38">
        <f t="shared" si="69"/>
        <v>0</v>
      </c>
      <c r="AA38" s="38">
        <f t="shared" si="69"/>
        <v>76.29900000000012</v>
      </c>
      <c r="AB38" s="53">
        <f t="shared" si="69"/>
        <v>686.69100000000105</v>
      </c>
    </row>
    <row r="39" spans="1:28" x14ac:dyDescent="0.25">
      <c r="D39" s="22"/>
      <c r="E39" s="22"/>
      <c r="F39" s="22"/>
      <c r="G39" s="22"/>
      <c r="H39" s="22"/>
      <c r="I39" s="22"/>
      <c r="J39" s="22"/>
      <c r="K39" s="1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13"/>
    </row>
    <row r="40" spans="1:28" x14ac:dyDescent="0.25">
      <c r="A40" s="144" t="s">
        <v>384</v>
      </c>
      <c r="B40" s="144"/>
      <c r="C40" s="144"/>
      <c r="D40" s="144"/>
      <c r="E40" s="144"/>
      <c r="F40" s="144"/>
      <c r="G40" s="144"/>
      <c r="H40" s="144"/>
      <c r="I40" s="144"/>
      <c r="J40" s="144"/>
      <c r="K40" s="144"/>
      <c r="L40" s="144"/>
      <c r="M40" s="144"/>
      <c r="N40" s="144"/>
      <c r="O40" s="144"/>
      <c r="P40" s="144"/>
      <c r="Q40" s="144"/>
      <c r="R40" s="144"/>
      <c r="S40" s="144"/>
      <c r="T40" s="144"/>
      <c r="U40" s="144"/>
      <c r="V40" s="144"/>
      <c r="W40" s="144"/>
      <c r="X40" s="144"/>
      <c r="Y40" s="144"/>
      <c r="Z40" s="144"/>
      <c r="AA40" s="144"/>
      <c r="AB40" s="144"/>
    </row>
    <row r="41" spans="1:28" x14ac:dyDescent="0.25">
      <c r="A41" s="10">
        <v>39961</v>
      </c>
      <c r="B41" t="s">
        <v>277</v>
      </c>
      <c r="C41">
        <v>1000</v>
      </c>
      <c r="D41" s="22">
        <v>3.31</v>
      </c>
      <c r="E41" s="22">
        <f t="shared" ref="E41" si="70">C41*D41</f>
        <v>3310</v>
      </c>
      <c r="F41" s="22">
        <v>0.19</v>
      </c>
      <c r="G41" s="22">
        <v>0.94</v>
      </c>
      <c r="H41" s="22">
        <v>15.99</v>
      </c>
      <c r="I41" s="22">
        <v>0</v>
      </c>
      <c r="J41" s="22">
        <f t="shared" ref="J41" si="71">E41+F41+G41+H41</f>
        <v>3327.12</v>
      </c>
      <c r="K41" s="12"/>
      <c r="L41" s="10">
        <v>40030</v>
      </c>
      <c r="M41">
        <v>1305</v>
      </c>
      <c r="N41" t="s">
        <v>277</v>
      </c>
      <c r="O41">
        <v>1000</v>
      </c>
      <c r="P41" s="22">
        <v>3.77</v>
      </c>
      <c r="Q41" s="22">
        <f t="shared" ref="Q41" si="72">O41*P41</f>
        <v>3770</v>
      </c>
      <c r="R41" s="22">
        <v>0.22</v>
      </c>
      <c r="S41" s="22">
        <v>1.07</v>
      </c>
      <c r="T41" s="22">
        <v>15.99</v>
      </c>
      <c r="U41" s="22">
        <v>0</v>
      </c>
      <c r="V41" s="22">
        <v>0</v>
      </c>
      <c r="W41" s="22">
        <f>Q41-R41-S41-T41-V41</f>
        <v>3752.7200000000003</v>
      </c>
      <c r="X41" s="22">
        <v>0</v>
      </c>
      <c r="Y41" s="22">
        <f>W41-X41-J41</f>
        <v>425.60000000000036</v>
      </c>
      <c r="Z41" s="22">
        <f>IF(Q42 &gt; 20000, ((Y41+V41)*15%)-V41, 0)</f>
        <v>0</v>
      </c>
      <c r="AA41" s="22">
        <f t="shared" ref="AA41" si="73">(Y41-Z41)*10%</f>
        <v>42.560000000000038</v>
      </c>
      <c r="AB41" s="22">
        <f t="shared" ref="AB41" si="74">Y41-Z41-AA41</f>
        <v>383.0400000000003</v>
      </c>
    </row>
    <row r="42" spans="1:28" x14ac:dyDescent="0.25">
      <c r="D42" s="22"/>
      <c r="E42" s="22">
        <f>SUM(E41)</f>
        <v>3310</v>
      </c>
      <c r="F42" s="22">
        <f>SUM(F41)</f>
        <v>0.19</v>
      </c>
      <c r="G42" s="22">
        <f>SUM(G41)</f>
        <v>0.94</v>
      </c>
      <c r="H42" s="22">
        <f>SUM(H41)</f>
        <v>15.99</v>
      </c>
      <c r="I42" s="22">
        <v>0</v>
      </c>
      <c r="J42" s="22">
        <f>SUM(J41)</f>
        <v>3327.12</v>
      </c>
      <c r="K42" s="12"/>
      <c r="P42" s="22"/>
      <c r="Q42" s="22">
        <f>SUM(Q41)</f>
        <v>3770</v>
      </c>
      <c r="R42" s="22">
        <f>SUM(R41)</f>
        <v>0.22</v>
      </c>
      <c r="S42" s="22">
        <f>SUM(S41)</f>
        <v>1.07</v>
      </c>
      <c r="T42" s="22">
        <f>SUM(T41)</f>
        <v>15.99</v>
      </c>
      <c r="U42" s="22">
        <v>0</v>
      </c>
      <c r="V42" s="22">
        <f t="shared" ref="V42:AB42" si="75">SUM(V41)</f>
        <v>0</v>
      </c>
      <c r="W42" s="22">
        <f t="shared" si="75"/>
        <v>3752.7200000000003</v>
      </c>
      <c r="X42" s="22">
        <f>SUM(X41)</f>
        <v>0</v>
      </c>
      <c r="Y42" s="22">
        <f t="shared" si="75"/>
        <v>425.60000000000036</v>
      </c>
      <c r="Z42" s="38">
        <f t="shared" si="75"/>
        <v>0</v>
      </c>
      <c r="AA42" s="38">
        <f t="shared" si="75"/>
        <v>42.560000000000038</v>
      </c>
      <c r="AB42" s="52">
        <f t="shared" si="75"/>
        <v>383.0400000000003</v>
      </c>
    </row>
    <row r="43" spans="1:28" x14ac:dyDescent="0.25">
      <c r="D43" s="22"/>
      <c r="E43" s="22"/>
      <c r="F43" s="22"/>
      <c r="G43" s="22"/>
      <c r="H43" s="22"/>
      <c r="I43" s="22"/>
      <c r="J43" s="22"/>
      <c r="K43" s="1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13"/>
    </row>
    <row r="44" spans="1:28" x14ac:dyDescent="0.25">
      <c r="A44" s="144" t="s">
        <v>385</v>
      </c>
      <c r="B44" s="144"/>
      <c r="C44" s="144"/>
      <c r="D44" s="144"/>
      <c r="E44" s="144"/>
      <c r="F44" s="144"/>
      <c r="G44" s="144"/>
      <c r="H44" s="144"/>
      <c r="I44" s="144"/>
      <c r="J44" s="144"/>
      <c r="K44" s="144"/>
      <c r="L44" s="144"/>
      <c r="M44" s="144"/>
      <c r="N44" s="144"/>
      <c r="O44" s="144"/>
      <c r="P44" s="144"/>
      <c r="Q44" s="144"/>
      <c r="R44" s="144"/>
      <c r="S44" s="144"/>
      <c r="T44" s="144"/>
      <c r="U44" s="144"/>
      <c r="V44" s="144"/>
      <c r="W44" s="144"/>
      <c r="X44" s="144"/>
      <c r="Y44" s="144"/>
      <c r="Z44" s="144"/>
      <c r="AA44" s="144"/>
      <c r="AB44" s="144"/>
    </row>
    <row r="45" spans="1:28" x14ac:dyDescent="0.25">
      <c r="A45" s="10">
        <v>39944</v>
      </c>
      <c r="B45" t="s">
        <v>269</v>
      </c>
      <c r="C45">
        <v>200</v>
      </c>
      <c r="D45" s="22">
        <v>32</v>
      </c>
      <c r="E45" s="22">
        <f t="shared" ref="E45" si="76">C45*D45</f>
        <v>6400</v>
      </c>
      <c r="F45" s="22">
        <v>0.38</v>
      </c>
      <c r="G45" s="22">
        <v>1.82</v>
      </c>
      <c r="H45" s="22">
        <v>15.99</v>
      </c>
      <c r="I45" s="22">
        <v>0</v>
      </c>
      <c r="J45" s="22">
        <f t="shared" ref="J45" si="77">E45+F45+G45+H45</f>
        <v>6418.19</v>
      </c>
      <c r="K45" s="12"/>
      <c r="L45" s="10">
        <v>40073</v>
      </c>
      <c r="M45">
        <v>1462</v>
      </c>
      <c r="N45" t="s">
        <v>269</v>
      </c>
      <c r="O45">
        <v>200</v>
      </c>
      <c r="P45" s="22">
        <v>35.15</v>
      </c>
      <c r="Q45" s="22">
        <f t="shared" ref="Q45" si="78">O45*P45</f>
        <v>7030</v>
      </c>
      <c r="R45" s="22">
        <f>1.16*(Q45/SUM(Q45:Q47))</f>
        <v>0.42000412031314377</v>
      </c>
      <c r="S45" s="22">
        <f>5.53*(Q45/SUM(Q45:Q47))</f>
        <v>2.0022610218376595</v>
      </c>
      <c r="T45" s="22">
        <v>15.99</v>
      </c>
      <c r="U45" s="22">
        <v>0</v>
      </c>
      <c r="V45" s="22">
        <v>0</v>
      </c>
      <c r="W45" s="22">
        <f>Q45-R45-S45-T45-V45</f>
        <v>7011.5877348578497</v>
      </c>
      <c r="X45" s="22">
        <v>0</v>
      </c>
      <c r="Y45" s="22">
        <f>W45-X45-J45</f>
        <v>593.39773485785008</v>
      </c>
      <c r="Z45" s="22">
        <f>IF(Q48 &gt; 20000, ((Y45+V45)*15%)-V45, 0)</f>
        <v>0</v>
      </c>
      <c r="AA45" s="22">
        <f t="shared" ref="AA45:AA47" si="79">(Y45-Z45)*10%</f>
        <v>59.33977348578501</v>
      </c>
      <c r="AB45" s="22">
        <f t="shared" ref="AB45:AB47" si="80">Y45-Z45-AA45</f>
        <v>534.05796137206505</v>
      </c>
    </row>
    <row r="46" spans="1:28" x14ac:dyDescent="0.25">
      <c r="A46" s="10">
        <v>39983</v>
      </c>
      <c r="B46" t="s">
        <v>268</v>
      </c>
      <c r="C46">
        <v>200</v>
      </c>
      <c r="D46" s="22">
        <v>32.19</v>
      </c>
      <c r="E46" s="22">
        <f t="shared" ref="E46" si="81">C46*D46</f>
        <v>6438</v>
      </c>
      <c r="F46" s="22">
        <v>0.38</v>
      </c>
      <c r="G46" s="22">
        <v>1.83</v>
      </c>
      <c r="H46" s="22">
        <v>15.99</v>
      </c>
      <c r="I46" s="22">
        <v>0</v>
      </c>
      <c r="J46" s="22">
        <f t="shared" ref="J46" si="82">E46+F46+G46+H46</f>
        <v>6456.2</v>
      </c>
      <c r="K46" s="12"/>
      <c r="L46" s="10">
        <v>40073</v>
      </c>
      <c r="M46">
        <v>1462</v>
      </c>
      <c r="N46" t="s">
        <v>268</v>
      </c>
      <c r="O46">
        <v>200</v>
      </c>
      <c r="P46" s="22">
        <v>34.479999999999997</v>
      </c>
      <c r="Q46" s="22">
        <f t="shared" ref="Q46" si="83">O46*P46</f>
        <v>6895.9999999999991</v>
      </c>
      <c r="R46" s="22">
        <f>1.16*(Q46/SUM(Q45:Q47))</f>
        <v>0.41199835187474243</v>
      </c>
      <c r="S46" s="22">
        <f>5.53*(Q46/SUM(Q45:Q47))</f>
        <v>1.964095591264936</v>
      </c>
      <c r="T46" s="22">
        <v>15.99</v>
      </c>
      <c r="U46" s="22">
        <v>0</v>
      </c>
      <c r="V46" s="22">
        <v>0</v>
      </c>
      <c r="W46" s="22">
        <f>Q46-R46-S46-T46-V46</f>
        <v>6877.6339060568598</v>
      </c>
      <c r="X46" s="22">
        <v>0</v>
      </c>
      <c r="Y46" s="22">
        <f>W46-X46-J46</f>
        <v>421.43390605686</v>
      </c>
      <c r="Z46" s="22">
        <f>IF(Q48 &gt; 20000, ((Y46+V46)*15%)-V46, 0)</f>
        <v>0</v>
      </c>
      <c r="AA46" s="22">
        <f t="shared" si="79"/>
        <v>42.143390605686001</v>
      </c>
      <c r="AB46" s="22">
        <f t="shared" si="80"/>
        <v>379.29051545117397</v>
      </c>
    </row>
    <row r="47" spans="1:28" x14ac:dyDescent="0.25">
      <c r="A47" s="10">
        <v>40037</v>
      </c>
      <c r="B47" t="s">
        <v>275</v>
      </c>
      <c r="C47">
        <v>200</v>
      </c>
      <c r="D47" s="22">
        <v>26.4</v>
      </c>
      <c r="E47" s="22">
        <f t="shared" ref="E47" si="84">C47*D47</f>
        <v>5280</v>
      </c>
      <c r="F47" s="22">
        <v>0.31</v>
      </c>
      <c r="G47" s="22">
        <v>1.5</v>
      </c>
      <c r="H47" s="22">
        <v>15.99</v>
      </c>
      <c r="I47" s="22">
        <v>0</v>
      </c>
      <c r="J47" s="22">
        <f t="shared" ref="J47" si="85">E47+F47+G47+H47</f>
        <v>5297.8</v>
      </c>
      <c r="K47" s="12"/>
      <c r="L47" s="10">
        <v>40073</v>
      </c>
      <c r="M47">
        <v>1462</v>
      </c>
      <c r="N47" t="s">
        <v>275</v>
      </c>
      <c r="O47">
        <v>200</v>
      </c>
      <c r="P47" s="22">
        <v>27.45</v>
      </c>
      <c r="Q47" s="22">
        <f t="shared" ref="Q47" si="86">O47*P47</f>
        <v>5490</v>
      </c>
      <c r="R47" s="22">
        <f>1.16*(Q47/SUM(Q45:Q47))</f>
        <v>0.32799752781211372</v>
      </c>
      <c r="S47" s="22">
        <f>5.53*(Q47/SUM(Q45:Q47))</f>
        <v>1.5636433868974042</v>
      </c>
      <c r="T47" s="22">
        <v>15.99</v>
      </c>
      <c r="U47" s="22">
        <v>0</v>
      </c>
      <c r="V47" s="22">
        <v>0</v>
      </c>
      <c r="W47" s="22">
        <f>Q47-R47-S47-T47-V47</f>
        <v>5472.1183590852906</v>
      </c>
      <c r="X47" s="22">
        <v>0</v>
      </c>
      <c r="Y47" s="22">
        <f>W47-X47-J47</f>
        <v>174.31835908529047</v>
      </c>
      <c r="Z47" s="22">
        <f>IF(Q48 &gt; 20000, ((Y47+V47)*15%)-V47, 0)</f>
        <v>0</v>
      </c>
      <c r="AA47" s="22">
        <f t="shared" si="79"/>
        <v>17.431835908529049</v>
      </c>
      <c r="AB47" s="22">
        <f t="shared" si="80"/>
        <v>156.88652317676141</v>
      </c>
    </row>
    <row r="48" spans="1:28" x14ac:dyDescent="0.25">
      <c r="D48" s="22"/>
      <c r="E48" s="22">
        <f>SUM(E45:E47)</f>
        <v>18118</v>
      </c>
      <c r="F48" s="22">
        <f>SUM(F45:F47)</f>
        <v>1.07</v>
      </c>
      <c r="G48" s="22">
        <f>SUM(G45:G47)</f>
        <v>5.15</v>
      </c>
      <c r="H48" s="22">
        <f>SUM(H45:H47)</f>
        <v>47.97</v>
      </c>
      <c r="I48" s="22">
        <v>0</v>
      </c>
      <c r="J48" s="22">
        <f>SUM(J45:J47)</f>
        <v>18172.189999999999</v>
      </c>
      <c r="K48" s="12"/>
      <c r="P48" s="22"/>
      <c r="Q48" s="22">
        <f>SUM(Q45:Q47)</f>
        <v>19416</v>
      </c>
      <c r="R48" s="22">
        <f>SUM(R45:R47)</f>
        <v>1.1599999999999999</v>
      </c>
      <c r="S48" s="22">
        <f>SUM(S45:S47)</f>
        <v>5.5299999999999994</v>
      </c>
      <c r="T48" s="22">
        <f>SUM(T45:T47)</f>
        <v>47.97</v>
      </c>
      <c r="U48" s="22">
        <v>0</v>
      </c>
      <c r="V48" s="22">
        <f t="shared" ref="V48:AB48" si="87">SUM(V45:V47)</f>
        <v>0</v>
      </c>
      <c r="W48" s="22">
        <f t="shared" si="87"/>
        <v>19361.34</v>
      </c>
      <c r="X48" s="22">
        <f>SUM(X45:X47)</f>
        <v>0</v>
      </c>
      <c r="Y48" s="22">
        <f t="shared" si="87"/>
        <v>1189.1500000000005</v>
      </c>
      <c r="Z48" s="38">
        <f t="shared" si="87"/>
        <v>0</v>
      </c>
      <c r="AA48" s="38">
        <f t="shared" si="87"/>
        <v>118.91500000000006</v>
      </c>
      <c r="AB48" s="53">
        <f t="shared" si="87"/>
        <v>1070.2350000000004</v>
      </c>
    </row>
    <row r="49" spans="1:28" x14ac:dyDescent="0.25">
      <c r="D49" s="22"/>
      <c r="E49" s="22"/>
      <c r="F49" s="22"/>
      <c r="G49" s="22"/>
      <c r="H49" s="22"/>
      <c r="I49" s="22"/>
      <c r="J49" s="22"/>
      <c r="K49" s="1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13"/>
    </row>
    <row r="50" spans="1:28" x14ac:dyDescent="0.25">
      <c r="A50" s="144" t="s">
        <v>386</v>
      </c>
      <c r="B50" s="144"/>
      <c r="C50" s="144"/>
      <c r="D50" s="144"/>
      <c r="E50" s="144"/>
      <c r="F50" s="144"/>
      <c r="G50" s="144"/>
      <c r="H50" s="144"/>
      <c r="I50" s="144"/>
      <c r="J50" s="144"/>
      <c r="K50" s="144"/>
      <c r="L50" s="144"/>
      <c r="M50" s="144"/>
      <c r="N50" s="144"/>
      <c r="O50" s="144"/>
      <c r="P50" s="144"/>
      <c r="Q50" s="144"/>
      <c r="R50" s="144"/>
      <c r="S50" s="144"/>
      <c r="T50" s="144"/>
      <c r="U50" s="144"/>
      <c r="V50" s="144"/>
      <c r="W50" s="144"/>
      <c r="X50" s="144"/>
      <c r="Y50" s="144"/>
      <c r="Z50" s="144"/>
      <c r="AA50" s="144"/>
      <c r="AB50" s="144"/>
    </row>
    <row r="51" spans="1:28" x14ac:dyDescent="0.25">
      <c r="A51" s="48">
        <v>40080</v>
      </c>
      <c r="B51" s="49" t="s">
        <v>270</v>
      </c>
      <c r="C51" s="49">
        <v>6000</v>
      </c>
      <c r="D51" s="50">
        <v>4</v>
      </c>
      <c r="E51" s="22">
        <f t="shared" ref="E51" si="88">C51*D51</f>
        <v>24000</v>
      </c>
      <c r="F51" s="50">
        <v>1.44</v>
      </c>
      <c r="G51" s="50">
        <v>6.84</v>
      </c>
      <c r="H51" s="50">
        <v>15.99</v>
      </c>
      <c r="I51" s="50">
        <v>0</v>
      </c>
      <c r="J51" s="22">
        <f t="shared" ref="J51" si="89">E51+F51+G51+H51</f>
        <v>24024.27</v>
      </c>
      <c r="K51" s="49"/>
      <c r="L51" s="48">
        <v>40149</v>
      </c>
      <c r="M51" s="49">
        <v>1267</v>
      </c>
      <c r="N51" s="21" t="s">
        <v>279</v>
      </c>
      <c r="O51" s="21">
        <v>809</v>
      </c>
      <c r="P51" s="50">
        <v>30.5</v>
      </c>
      <c r="Q51" s="22">
        <f t="shared" ref="Q51" si="90">O51*P51</f>
        <v>24674.5</v>
      </c>
      <c r="R51" s="50">
        <v>1.48</v>
      </c>
      <c r="S51" s="50">
        <v>7.03</v>
      </c>
      <c r="T51" s="50">
        <v>31.98</v>
      </c>
      <c r="U51" s="50">
        <v>0</v>
      </c>
      <c r="V51" s="50">
        <v>1.23</v>
      </c>
      <c r="W51" s="22">
        <f>Q51-R51-S51-T51-V51</f>
        <v>24632.780000000002</v>
      </c>
      <c r="X51" s="22">
        <v>0</v>
      </c>
      <c r="Y51" s="22">
        <f>W51-X51-J51</f>
        <v>608.51000000000204</v>
      </c>
      <c r="Z51" s="22">
        <f>IF(Q56 &gt; 20000, ((Y51+V51)*15%)-V51, 0)</f>
        <v>90.231000000000307</v>
      </c>
      <c r="AA51" s="22">
        <f t="shared" ref="AA51:AA55" si="91">(Y51-Z51)*10%</f>
        <v>51.82790000000017</v>
      </c>
      <c r="AB51" s="22">
        <f t="shared" ref="AB51:AB55" si="92">Y51-Z51-AA51</f>
        <v>466.45110000000153</v>
      </c>
    </row>
    <row r="52" spans="1:28" x14ac:dyDescent="0.25">
      <c r="A52" s="10">
        <v>40156</v>
      </c>
      <c r="B52" t="s">
        <v>280</v>
      </c>
      <c r="C52">
        <v>1000</v>
      </c>
      <c r="D52" s="22">
        <v>11.9</v>
      </c>
      <c r="E52" s="22">
        <f t="shared" ref="E52" si="93">C52*D52</f>
        <v>11900</v>
      </c>
      <c r="F52" s="22">
        <v>0.71</v>
      </c>
      <c r="G52" s="22">
        <v>3.39</v>
      </c>
      <c r="H52" s="22">
        <v>15.99</v>
      </c>
      <c r="I52" s="22">
        <v>0</v>
      </c>
      <c r="J52" s="22">
        <f t="shared" ref="J52" si="94">E52+F52+G52+H52</f>
        <v>11920.089999999998</v>
      </c>
      <c r="K52" s="12"/>
      <c r="L52" s="10">
        <v>40157</v>
      </c>
      <c r="M52">
        <v>1281</v>
      </c>
      <c r="N52" t="s">
        <v>280</v>
      </c>
      <c r="O52">
        <v>1000</v>
      </c>
      <c r="P52" s="22">
        <v>12.11</v>
      </c>
      <c r="Q52" s="22">
        <f t="shared" ref="Q52" si="95">O52*P52</f>
        <v>12110</v>
      </c>
      <c r="R52" s="22">
        <v>0.73</v>
      </c>
      <c r="S52" s="22">
        <v>2.2999999999999998</v>
      </c>
      <c r="T52" s="22">
        <v>15.99</v>
      </c>
      <c r="U52" s="22">
        <v>0</v>
      </c>
      <c r="V52" s="22">
        <v>0</v>
      </c>
      <c r="W52" s="22">
        <f>Q52-R52-S52-T52-V52</f>
        <v>12090.980000000001</v>
      </c>
      <c r="X52" s="22">
        <v>0</v>
      </c>
      <c r="Y52" s="22">
        <f>W52-X52-J52</f>
        <v>170.89000000000306</v>
      </c>
      <c r="Z52" s="22">
        <f>IF(Q56 &gt; 20000, ((Y52+V52)*15%)-V52, 0)</f>
        <v>25.633500000000456</v>
      </c>
      <c r="AA52" s="22">
        <f t="shared" si="91"/>
        <v>14.525650000000262</v>
      </c>
      <c r="AB52" s="22">
        <f t="shared" si="92"/>
        <v>130.73085000000233</v>
      </c>
    </row>
    <row r="53" spans="1:28" x14ac:dyDescent="0.25">
      <c r="A53" s="10">
        <v>40154</v>
      </c>
      <c r="B53" t="s">
        <v>275</v>
      </c>
      <c r="C53">
        <v>500</v>
      </c>
      <c r="D53" s="22">
        <v>25</v>
      </c>
      <c r="E53" s="22">
        <f t="shared" ref="E53" si="96">C53*D53</f>
        <v>12500</v>
      </c>
      <c r="F53" s="22">
        <v>0.75</v>
      </c>
      <c r="G53" s="22">
        <v>3.56</v>
      </c>
      <c r="H53" s="22">
        <v>15.99</v>
      </c>
      <c r="I53" s="22">
        <v>0</v>
      </c>
      <c r="J53" s="22">
        <f t="shared" ref="J53" si="97">E53+F53+G53+H53</f>
        <v>12520.3</v>
      </c>
      <c r="K53" s="12"/>
      <c r="L53" s="10">
        <v>40158</v>
      </c>
      <c r="M53">
        <v>1171</v>
      </c>
      <c r="N53" t="s">
        <v>275</v>
      </c>
      <c r="O53">
        <v>500</v>
      </c>
      <c r="P53" s="22">
        <v>26.1</v>
      </c>
      <c r="Q53" s="22">
        <f t="shared" ref="Q53" si="98">O53*P53</f>
        <v>13050</v>
      </c>
      <c r="R53" s="22">
        <f>1.51*(Q53/SUM(Q53:Q54))</f>
        <v>0.78289630512514907</v>
      </c>
      <c r="S53" s="22">
        <f>7.17*(Q53/SUM(Q53:Q54))</f>
        <v>3.7174612634088202</v>
      </c>
      <c r="T53" s="22">
        <v>15.99</v>
      </c>
      <c r="U53" s="22">
        <v>0</v>
      </c>
      <c r="V53" s="22">
        <f>1.25*(Q53/SUM(Q53:Q54))</f>
        <v>0.64809296781883197</v>
      </c>
      <c r="W53" s="22">
        <f>Q53-R53-S53-T53-V53</f>
        <v>13028.861549463649</v>
      </c>
      <c r="X53" s="22">
        <v>0</v>
      </c>
      <c r="Y53" s="22">
        <f>W53-X53-J53</f>
        <v>508.5615494636495</v>
      </c>
      <c r="Z53" s="22">
        <f>IF(Q56 &gt; 20000, ((Y53+V53)*15%)-V53, 0)</f>
        <v>75.733353396901421</v>
      </c>
      <c r="AA53" s="22">
        <f t="shared" si="91"/>
        <v>43.282819606674813</v>
      </c>
      <c r="AB53" s="22">
        <f t="shared" si="92"/>
        <v>389.54537646007327</v>
      </c>
    </row>
    <row r="54" spans="1:28" x14ac:dyDescent="0.25">
      <c r="A54" s="10">
        <v>40157</v>
      </c>
      <c r="B54" t="s">
        <v>280</v>
      </c>
      <c r="C54">
        <v>1000</v>
      </c>
      <c r="D54" s="22">
        <v>11.9</v>
      </c>
      <c r="E54" s="22">
        <f t="shared" ref="E54" si="99">C54*D54</f>
        <v>11900</v>
      </c>
      <c r="F54" s="22">
        <v>0.71</v>
      </c>
      <c r="G54" s="22">
        <v>2.2599999999999998</v>
      </c>
      <c r="H54" s="22">
        <v>15.99</v>
      </c>
      <c r="I54" s="22">
        <v>0</v>
      </c>
      <c r="J54" s="22">
        <f t="shared" ref="J54" si="100">E54+F54+G54+H54</f>
        <v>11918.96</v>
      </c>
      <c r="K54" s="12"/>
      <c r="L54" s="10">
        <v>40158</v>
      </c>
      <c r="M54">
        <v>1171</v>
      </c>
      <c r="N54" t="s">
        <v>280</v>
      </c>
      <c r="O54">
        <v>1000</v>
      </c>
      <c r="P54" s="22">
        <v>12.12</v>
      </c>
      <c r="Q54" s="22">
        <f t="shared" ref="Q54" si="101">O54*P54</f>
        <v>12120</v>
      </c>
      <c r="R54" s="22">
        <f>1.51*(Q54/SUM(Q53:Q54))</f>
        <v>0.72710369487485105</v>
      </c>
      <c r="S54" s="22">
        <f>7.17*(Q54/SUM(Q53:Q54))</f>
        <v>3.4525387365911802</v>
      </c>
      <c r="T54" s="22">
        <v>15.99</v>
      </c>
      <c r="U54" s="22">
        <v>0</v>
      </c>
      <c r="V54" s="22">
        <f>1.25*(Q54/SUM(Q53:Q54))</f>
        <v>0.60190703218116803</v>
      </c>
      <c r="W54" s="22">
        <f>Q54-R54-S54-T54-V54</f>
        <v>12099.228450536351</v>
      </c>
      <c r="X54" s="22">
        <v>0</v>
      </c>
      <c r="Y54" s="22">
        <f>W54-X54-J54</f>
        <v>180.26845053635225</v>
      </c>
      <c r="Z54" s="22">
        <f>IF(Q56 &gt; 20000, ((Y54+V54)*15%)-V54, 0)</f>
        <v>26.528646603098846</v>
      </c>
      <c r="AA54" s="22">
        <f t="shared" si="91"/>
        <v>15.37398039332534</v>
      </c>
      <c r="AB54" s="22">
        <f t="shared" si="92"/>
        <v>138.36582353992804</v>
      </c>
    </row>
    <row r="55" spans="1:28" x14ac:dyDescent="0.25">
      <c r="A55" s="10">
        <v>40163</v>
      </c>
      <c r="B55" t="s">
        <v>280</v>
      </c>
      <c r="C55">
        <v>400</v>
      </c>
      <c r="D55" s="22">
        <v>11.9</v>
      </c>
      <c r="E55" s="22">
        <f t="shared" ref="E55" si="102">C55*D55</f>
        <v>4760</v>
      </c>
      <c r="F55" s="22">
        <v>0.28000000000000003</v>
      </c>
      <c r="G55" s="22">
        <v>1.35</v>
      </c>
      <c r="H55" s="22">
        <v>15.99</v>
      </c>
      <c r="I55" s="22">
        <v>0</v>
      </c>
      <c r="J55" s="22">
        <f t="shared" ref="J55" si="103">E55+F55+G55+H55</f>
        <v>4777.62</v>
      </c>
      <c r="K55" s="12"/>
      <c r="L55" s="26">
        <v>40177</v>
      </c>
      <c r="M55">
        <v>812</v>
      </c>
      <c r="N55" t="s">
        <v>280</v>
      </c>
      <c r="O55">
        <v>400</v>
      </c>
      <c r="P55" s="22">
        <v>12.35</v>
      </c>
      <c r="Q55" s="22">
        <f t="shared" ref="Q55" si="104">O55*P55</f>
        <v>4940</v>
      </c>
      <c r="R55" s="75">
        <f t="shared" ref="R55" si="105">Q55*0.0275%</f>
        <v>1.3585</v>
      </c>
      <c r="S55" s="75">
        <f>Q55*0.007%</f>
        <v>0.34580000000000005</v>
      </c>
      <c r="T55" s="75">
        <v>15.99</v>
      </c>
      <c r="U55" s="75">
        <v>0</v>
      </c>
      <c r="V55" s="36">
        <v>0</v>
      </c>
      <c r="W55" s="22">
        <f>Q55-R55-S55-T55-V55</f>
        <v>4922.3056999999999</v>
      </c>
      <c r="X55" s="22">
        <v>0</v>
      </c>
      <c r="Y55" s="22">
        <f>W55-X55-J55</f>
        <v>144.6857</v>
      </c>
      <c r="Z55" s="22">
        <f>IF(Q56 &gt; 20000, ((Y55+V55)*15%)-V55, 0)</f>
        <v>21.702855</v>
      </c>
      <c r="AA55" s="22">
        <f t="shared" si="91"/>
        <v>12.298284500000001</v>
      </c>
      <c r="AB55" s="22">
        <f t="shared" si="92"/>
        <v>110.6845605</v>
      </c>
    </row>
    <row r="56" spans="1:28" x14ac:dyDescent="0.25">
      <c r="D56" s="22"/>
      <c r="E56" s="22">
        <f>SUM(E51:E55)</f>
        <v>65060</v>
      </c>
      <c r="F56" s="22">
        <f>SUM(F51:F55)</f>
        <v>3.8899999999999997</v>
      </c>
      <c r="G56" s="22">
        <f>SUM(G51:G55)</f>
        <v>17.400000000000002</v>
      </c>
      <c r="H56" s="22">
        <f>SUM(H51:H55)</f>
        <v>79.95</v>
      </c>
      <c r="I56" s="22">
        <v>0</v>
      </c>
      <c r="J56" s="22">
        <f>SUM(J51:J55)</f>
        <v>65161.240000000005</v>
      </c>
      <c r="K56" s="12"/>
      <c r="P56" s="22"/>
      <c r="Q56" s="22">
        <f>SUM(Q51:Q55)</f>
        <v>66894.5</v>
      </c>
      <c r="R56" s="22">
        <f>SUM(R51:R55)</f>
        <v>5.0785</v>
      </c>
      <c r="S56" s="22">
        <f>SUM(S51:S55)</f>
        <v>16.845800000000001</v>
      </c>
      <c r="T56" s="22">
        <f>SUM(T51:T55)</f>
        <v>95.94</v>
      </c>
      <c r="U56" s="22">
        <v>0</v>
      </c>
      <c r="V56" s="22">
        <f>SUM(V51:V55) + 0.24</f>
        <v>2.7199999999999998</v>
      </c>
      <c r="W56" s="22">
        <f t="shared" ref="W56:AB56" si="106">SUM(W51:W55)</f>
        <v>66774.155700000003</v>
      </c>
      <c r="X56" s="22">
        <f>SUM(X51:X55)</f>
        <v>0</v>
      </c>
      <c r="Y56" s="22">
        <f t="shared" si="106"/>
        <v>1612.9157000000068</v>
      </c>
      <c r="Z56" s="38">
        <f t="shared" si="106"/>
        <v>239.82935500000102</v>
      </c>
      <c r="AA56" s="38">
        <f t="shared" si="106"/>
        <v>137.30863450000061</v>
      </c>
      <c r="AB56" s="53">
        <f t="shared" si="106"/>
        <v>1235.7777105000052</v>
      </c>
    </row>
    <row r="57" spans="1:28" x14ac:dyDescent="0.25">
      <c r="D57" s="22"/>
      <c r="E57" s="22"/>
      <c r="F57" s="22"/>
      <c r="G57" s="22"/>
      <c r="H57" s="22"/>
      <c r="I57" s="22"/>
      <c r="J57" s="22"/>
      <c r="K57" s="1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13"/>
    </row>
    <row r="58" spans="1:28" x14ac:dyDescent="0.25">
      <c r="A58" s="144" t="s">
        <v>387</v>
      </c>
      <c r="B58" s="144"/>
      <c r="C58" s="144"/>
      <c r="D58" s="144"/>
      <c r="E58" s="144"/>
      <c r="F58" s="144"/>
      <c r="G58" s="144"/>
      <c r="H58" s="144"/>
      <c r="I58" s="144"/>
      <c r="J58" s="144"/>
      <c r="K58" s="144"/>
      <c r="L58" s="144"/>
      <c r="M58" s="144"/>
      <c r="N58" s="144"/>
      <c r="O58" s="144"/>
      <c r="P58" s="144"/>
      <c r="Q58" s="144"/>
      <c r="R58" s="144"/>
      <c r="S58" s="144"/>
      <c r="T58" s="144"/>
      <c r="U58" s="144"/>
      <c r="V58" s="144"/>
      <c r="W58" s="144"/>
      <c r="X58" s="144"/>
      <c r="Y58" s="144"/>
      <c r="Z58" s="144"/>
      <c r="AA58" s="144"/>
      <c r="AB58" s="144"/>
    </row>
    <row r="59" spans="1:28" x14ac:dyDescent="0.25">
      <c r="A59" s="10">
        <v>40161</v>
      </c>
      <c r="B59" t="s">
        <v>281</v>
      </c>
      <c r="C59">
        <v>1800</v>
      </c>
      <c r="D59" s="22">
        <v>4.74</v>
      </c>
      <c r="E59" s="22">
        <f t="shared" ref="E59" si="107">C59*D59</f>
        <v>8532</v>
      </c>
      <c r="F59" s="22">
        <v>0.51</v>
      </c>
      <c r="G59" s="22">
        <v>2.4300000000000002</v>
      </c>
      <c r="H59" s="22">
        <v>15.99</v>
      </c>
      <c r="I59" s="22">
        <v>0</v>
      </c>
      <c r="J59" s="22">
        <f t="shared" ref="J59" si="108">E59+F59+G59+H59</f>
        <v>8550.93</v>
      </c>
      <c r="K59" s="12"/>
      <c r="L59" s="26">
        <v>40184</v>
      </c>
      <c r="M59">
        <v>1288</v>
      </c>
      <c r="N59" t="s">
        <v>281</v>
      </c>
      <c r="O59">
        <v>1800</v>
      </c>
      <c r="P59" s="22">
        <v>4.92</v>
      </c>
      <c r="Q59" s="22">
        <f t="shared" ref="Q59" si="109">O59*P59</f>
        <v>8856</v>
      </c>
      <c r="R59" s="75">
        <f t="shared" ref="R59:R60" si="110">Q59*0.0275%</f>
        <v>2.4354</v>
      </c>
      <c r="S59" s="75">
        <f>Q59*0.007%</f>
        <v>0.61992000000000003</v>
      </c>
      <c r="T59" s="75">
        <v>15.99</v>
      </c>
      <c r="U59" s="75">
        <v>0</v>
      </c>
      <c r="V59" s="36">
        <v>0</v>
      </c>
      <c r="W59" s="22">
        <f>Q59-R59-S59-T59-V59</f>
        <v>8836.9546800000007</v>
      </c>
      <c r="X59" s="22">
        <v>0</v>
      </c>
      <c r="Y59" s="22">
        <f>W59-X59-J59</f>
        <v>286.02468000000044</v>
      </c>
      <c r="Z59" s="22">
        <f>IF(Q62 &gt; 20000, ((Y59+V59)*15%)-V59, 0)</f>
        <v>42.903702000000067</v>
      </c>
      <c r="AA59" s="22">
        <f t="shared" ref="AA59:AA61" si="111">(Y59-Z59)*10%</f>
        <v>24.312097800000039</v>
      </c>
      <c r="AB59" s="22">
        <f t="shared" ref="AB59:AB61" si="112">Y59-Z59-AA59</f>
        <v>218.80888020000035</v>
      </c>
    </row>
    <row r="60" spans="1:28" x14ac:dyDescent="0.25">
      <c r="A60" s="10">
        <v>40162</v>
      </c>
      <c r="B60" t="s">
        <v>282</v>
      </c>
      <c r="C60">
        <v>1200</v>
      </c>
      <c r="D60" s="22">
        <v>9.6999999999999993</v>
      </c>
      <c r="E60" s="22">
        <f t="shared" ref="E60" si="113">C60*D60</f>
        <v>11640</v>
      </c>
      <c r="F60" s="22">
        <v>0.69</v>
      </c>
      <c r="G60" s="22">
        <v>3.31</v>
      </c>
      <c r="H60" s="22">
        <v>15.99</v>
      </c>
      <c r="I60" s="22">
        <v>0</v>
      </c>
      <c r="J60" s="22">
        <f t="shared" ref="J60" si="114">E60+F60+G60+H60</f>
        <v>11659.99</v>
      </c>
      <c r="K60" s="12"/>
      <c r="L60" s="26">
        <v>40192</v>
      </c>
      <c r="M60">
        <v>1256</v>
      </c>
      <c r="N60" t="s">
        <v>282</v>
      </c>
      <c r="O60">
        <v>1200</v>
      </c>
      <c r="P60" s="22">
        <v>10.33</v>
      </c>
      <c r="Q60" s="22">
        <f t="shared" ref="Q60" si="115">O60*P60</f>
        <v>12396</v>
      </c>
      <c r="R60" s="75">
        <f t="shared" si="110"/>
        <v>3.4089</v>
      </c>
      <c r="S60" s="75">
        <f>Q60*0.007%</f>
        <v>0.86772000000000005</v>
      </c>
      <c r="T60" s="75">
        <v>15.99</v>
      </c>
      <c r="U60" s="75">
        <v>0</v>
      </c>
      <c r="V60" s="36">
        <v>0</v>
      </c>
      <c r="W60" s="22">
        <f>Q60-R60-S60-T60-V60</f>
        <v>12375.73338</v>
      </c>
      <c r="X60" s="22">
        <v>0</v>
      </c>
      <c r="Y60" s="22">
        <f>W60-X60-J60</f>
        <v>715.74337999999989</v>
      </c>
      <c r="Z60" s="22">
        <f>IF(Q62 &gt; 20000, ((Y60+V60)*15%)-V60, 0)</f>
        <v>107.36150699999997</v>
      </c>
      <c r="AA60" s="22">
        <f t="shared" si="111"/>
        <v>60.838187299999994</v>
      </c>
      <c r="AB60" s="22">
        <f t="shared" si="112"/>
        <v>547.54368569999997</v>
      </c>
    </row>
    <row r="61" spans="1:28" x14ac:dyDescent="0.25">
      <c r="A61" s="10">
        <v>40193</v>
      </c>
      <c r="B61" t="s">
        <v>283</v>
      </c>
      <c r="C61">
        <v>700</v>
      </c>
      <c r="D61" s="22">
        <v>16.899999999999999</v>
      </c>
      <c r="E61" s="22">
        <f t="shared" ref="E61" si="116">C61*D61</f>
        <v>11829.999999999998</v>
      </c>
      <c r="F61" s="22">
        <v>0.7</v>
      </c>
      <c r="G61" s="22">
        <v>3.37</v>
      </c>
      <c r="H61" s="22">
        <v>15.99</v>
      </c>
      <c r="I61" s="22">
        <v>0</v>
      </c>
      <c r="J61" s="22">
        <f t="shared" ref="J61" si="117">E61+F61+G61+H61</f>
        <v>11850.06</v>
      </c>
      <c r="K61" s="12"/>
      <c r="L61" s="10">
        <v>40205</v>
      </c>
      <c r="M61">
        <v>1165</v>
      </c>
      <c r="N61" t="s">
        <v>283</v>
      </c>
      <c r="O61">
        <v>700</v>
      </c>
      <c r="P61" s="22">
        <v>17</v>
      </c>
      <c r="Q61" s="22">
        <f t="shared" ref="Q61" si="118">O61*P61</f>
        <v>11900</v>
      </c>
      <c r="R61" s="22">
        <v>0.71</v>
      </c>
      <c r="S61" s="22">
        <v>3.39</v>
      </c>
      <c r="T61" s="22">
        <v>15.99</v>
      </c>
      <c r="U61" s="22">
        <v>0</v>
      </c>
      <c r="V61" s="36">
        <v>0</v>
      </c>
      <c r="W61" s="22">
        <f>Q61-R61-S61-T61-V61</f>
        <v>11879.910000000002</v>
      </c>
      <c r="X61" s="22">
        <v>0</v>
      </c>
      <c r="Y61" s="22">
        <f>W61-X61-J61</f>
        <v>29.850000000002183</v>
      </c>
      <c r="Z61" s="22">
        <f>IF(Q62 &gt; 20000, ((Y61+V61)*15%)-V61, 0)</f>
        <v>4.4775000000003269</v>
      </c>
      <c r="AA61" s="22">
        <f t="shared" si="111"/>
        <v>2.5372500000001859</v>
      </c>
      <c r="AB61" s="22">
        <f t="shared" si="112"/>
        <v>22.835250000001672</v>
      </c>
    </row>
    <row r="62" spans="1:28" x14ac:dyDescent="0.25">
      <c r="D62" s="22"/>
      <c r="E62" s="22">
        <f>SUM(E59:E61)</f>
        <v>32002</v>
      </c>
      <c r="F62" s="22">
        <f>SUM(F59:F61)</f>
        <v>1.9</v>
      </c>
      <c r="G62" s="22">
        <f>SUM(G59:G61)</f>
        <v>9.11</v>
      </c>
      <c r="H62" s="22">
        <f>SUM(H59:H61)</f>
        <v>47.97</v>
      </c>
      <c r="I62" s="22">
        <v>0</v>
      </c>
      <c r="J62" s="22">
        <f>SUM(J59:J61)</f>
        <v>32060.979999999996</v>
      </c>
      <c r="K62" s="12"/>
      <c r="P62" s="22"/>
      <c r="Q62" s="22">
        <f>SUM(Q59:Q61)</f>
        <v>33152</v>
      </c>
      <c r="R62" s="22">
        <f>SUM(R59:R61)</f>
        <v>6.5543000000000005</v>
      </c>
      <c r="S62" s="22">
        <f>SUM(S59:S61)</f>
        <v>4.8776400000000004</v>
      </c>
      <c r="T62" s="22">
        <f>SUM(T59:T61)</f>
        <v>47.97</v>
      </c>
      <c r="U62" s="22">
        <v>0</v>
      </c>
      <c r="V62" s="22">
        <v>1.64</v>
      </c>
      <c r="W62" s="22">
        <f t="shared" ref="W62:AB62" si="119">SUM(W59:W61)</f>
        <v>33092.598060000004</v>
      </c>
      <c r="X62" s="22">
        <f>SUM(X59:X61)</f>
        <v>0</v>
      </c>
      <c r="Y62" s="22">
        <f t="shared" si="119"/>
        <v>1031.6180600000025</v>
      </c>
      <c r="Z62" s="38">
        <f t="shared" si="119"/>
        <v>154.74270900000036</v>
      </c>
      <c r="AA62" s="38">
        <f t="shared" si="119"/>
        <v>87.687535100000218</v>
      </c>
      <c r="AB62" s="53">
        <f t="shared" si="119"/>
        <v>789.18781590000197</v>
      </c>
    </row>
    <row r="63" spans="1:28" x14ac:dyDescent="0.25">
      <c r="D63" s="22"/>
      <c r="E63" s="22"/>
      <c r="F63" s="22"/>
      <c r="G63" s="22"/>
      <c r="H63" s="22"/>
      <c r="I63" s="22"/>
      <c r="J63" s="22"/>
      <c r="K63" s="1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13"/>
    </row>
    <row r="64" spans="1:28" x14ac:dyDescent="0.25">
      <c r="A64" s="144" t="s">
        <v>388</v>
      </c>
      <c r="B64" s="144"/>
      <c r="C64" s="144"/>
      <c r="D64" s="144"/>
      <c r="E64" s="144"/>
      <c r="F64" s="144"/>
      <c r="G64" s="144"/>
      <c r="H64" s="144"/>
      <c r="I64" s="144"/>
      <c r="J64" s="144"/>
      <c r="K64" s="144"/>
      <c r="L64" s="144"/>
      <c r="M64" s="144"/>
      <c r="N64" s="144"/>
      <c r="O64" s="144"/>
      <c r="P64" s="144"/>
      <c r="Q64" s="144"/>
      <c r="R64" s="144"/>
      <c r="S64" s="144"/>
      <c r="T64" s="144"/>
      <c r="U64" s="144"/>
      <c r="V64" s="144"/>
      <c r="W64" s="144"/>
      <c r="X64" s="144"/>
      <c r="Y64" s="144"/>
      <c r="Z64" s="144"/>
      <c r="AA64" s="144"/>
      <c r="AB64" s="144"/>
    </row>
    <row r="65" spans="1:28" x14ac:dyDescent="0.25">
      <c r="A65" s="10">
        <v>40210</v>
      </c>
      <c r="B65" t="s">
        <v>277</v>
      </c>
      <c r="C65">
        <v>2700</v>
      </c>
      <c r="D65" s="22">
        <v>4.8</v>
      </c>
      <c r="E65" s="22">
        <f t="shared" ref="E65" si="120">C65*D65</f>
        <v>12960</v>
      </c>
      <c r="F65" s="22">
        <v>0.77</v>
      </c>
      <c r="G65" s="22">
        <v>3.69</v>
      </c>
      <c r="H65" s="22">
        <v>15.99</v>
      </c>
      <c r="I65" s="22">
        <v>0</v>
      </c>
      <c r="J65" s="22">
        <f t="shared" ref="J65" si="121">E65+F65+G65+H65</f>
        <v>12980.45</v>
      </c>
      <c r="K65" s="12"/>
      <c r="L65" s="26">
        <v>40211</v>
      </c>
      <c r="M65">
        <v>1147</v>
      </c>
      <c r="N65" t="s">
        <v>277</v>
      </c>
      <c r="O65">
        <v>2700</v>
      </c>
      <c r="P65" s="22">
        <v>4.95</v>
      </c>
      <c r="Q65" s="22">
        <f t="shared" ref="Q65" si="122">O65*P65</f>
        <v>13365</v>
      </c>
      <c r="R65" s="75">
        <f t="shared" ref="R65" si="123">Q65*0.0275%</f>
        <v>3.6753750000000003</v>
      </c>
      <c r="S65" s="75">
        <f>Q65*0.007%</f>
        <v>0.9355500000000001</v>
      </c>
      <c r="T65" s="75">
        <v>15.99</v>
      </c>
      <c r="U65" s="75">
        <v>0</v>
      </c>
      <c r="V65" s="22">
        <v>0</v>
      </c>
      <c r="W65" s="22">
        <f>Q65-R65-S65-T65-V65</f>
        <v>13344.399074999999</v>
      </c>
      <c r="X65" s="22">
        <v>0</v>
      </c>
      <c r="Y65" s="22">
        <f>W65-X65-J65</f>
        <v>363.94907499999863</v>
      </c>
      <c r="Z65" s="22">
        <f>IF(Q66 &gt; 20000, ((Y65+V65)*15%)-V65, 0)</f>
        <v>0</v>
      </c>
      <c r="AA65" s="22">
        <f t="shared" ref="AA65" si="124">(Y65-Z65)*10%</f>
        <v>36.394907499999867</v>
      </c>
      <c r="AB65" s="22">
        <f t="shared" ref="AB65" si="125">Y65-Z65-AA65</f>
        <v>327.55416749999875</v>
      </c>
    </row>
    <row r="66" spans="1:28" x14ac:dyDescent="0.25">
      <c r="D66" s="22"/>
      <c r="E66" s="22">
        <f>SUM(E65)</f>
        <v>12960</v>
      </c>
      <c r="F66" s="22">
        <f>SUM(F65)</f>
        <v>0.77</v>
      </c>
      <c r="G66" s="22">
        <f>SUM(G65)</f>
        <v>3.69</v>
      </c>
      <c r="H66" s="22">
        <f>SUM(H65)</f>
        <v>15.99</v>
      </c>
      <c r="I66" s="22">
        <v>0</v>
      </c>
      <c r="J66" s="22">
        <f>SUM(J65)</f>
        <v>12980.45</v>
      </c>
      <c r="K66" s="12"/>
      <c r="P66" s="22"/>
      <c r="Q66" s="22">
        <f>SUM(Q65)</f>
        <v>13365</v>
      </c>
      <c r="R66" s="22">
        <f>SUM(R65)</f>
        <v>3.6753750000000003</v>
      </c>
      <c r="S66" s="22">
        <f>SUM(S65)</f>
        <v>0.9355500000000001</v>
      </c>
      <c r="T66" s="22">
        <f>SUM(T65)</f>
        <v>15.99</v>
      </c>
      <c r="U66" s="22">
        <v>0</v>
      </c>
      <c r="V66" s="22">
        <f t="shared" ref="V66:AB66" si="126">SUM(V65)</f>
        <v>0</v>
      </c>
      <c r="W66" s="22">
        <f t="shared" si="126"/>
        <v>13344.399074999999</v>
      </c>
      <c r="X66" s="22">
        <f>SUM(X65)</f>
        <v>0</v>
      </c>
      <c r="Y66" s="22">
        <f t="shared" si="126"/>
        <v>363.94907499999863</v>
      </c>
      <c r="Z66" s="38">
        <f t="shared" si="126"/>
        <v>0</v>
      </c>
      <c r="AA66" s="38">
        <f t="shared" si="126"/>
        <v>36.394907499999867</v>
      </c>
      <c r="AB66" s="53">
        <f t="shared" si="126"/>
        <v>327.55416749999875</v>
      </c>
    </row>
    <row r="67" spans="1:28" x14ac:dyDescent="0.25">
      <c r="D67" s="22"/>
      <c r="E67" s="22"/>
      <c r="F67" s="22"/>
      <c r="G67" s="22"/>
      <c r="H67" s="22"/>
      <c r="I67" s="22"/>
      <c r="J67" s="22"/>
      <c r="K67" s="1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13"/>
    </row>
    <row r="68" spans="1:28" x14ac:dyDescent="0.25">
      <c r="A68" s="144" t="s">
        <v>389</v>
      </c>
      <c r="B68" s="144"/>
      <c r="C68" s="144"/>
      <c r="D68" s="144"/>
      <c r="E68" s="144"/>
      <c r="F68" s="144"/>
      <c r="G68" s="144"/>
      <c r="H68" s="144"/>
      <c r="I68" s="144"/>
      <c r="J68" s="144"/>
      <c r="K68" s="144"/>
      <c r="L68" s="144"/>
      <c r="M68" s="144"/>
      <c r="N68" s="144"/>
      <c r="O68" s="144"/>
      <c r="P68" s="144"/>
      <c r="Q68" s="144"/>
      <c r="R68" s="144"/>
      <c r="S68" s="144"/>
      <c r="T68" s="144"/>
      <c r="U68" s="144"/>
      <c r="V68" s="144"/>
      <c r="W68" s="144"/>
      <c r="X68" s="144"/>
      <c r="Y68" s="144"/>
      <c r="Z68" s="144"/>
      <c r="AA68" s="144"/>
      <c r="AB68" s="144"/>
    </row>
    <row r="69" spans="1:28" x14ac:dyDescent="0.25">
      <c r="A69" s="26">
        <v>40213</v>
      </c>
      <c r="B69" t="s">
        <v>277</v>
      </c>
      <c r="C69">
        <v>900</v>
      </c>
      <c r="D69" s="22">
        <v>4.8499999999999996</v>
      </c>
      <c r="E69" s="22">
        <f t="shared" ref="E69" si="127">C69*D69</f>
        <v>4365</v>
      </c>
      <c r="F69" s="57">
        <f t="shared" ref="F69" si="128">E69*0.0275%</f>
        <v>1.200375</v>
      </c>
      <c r="G69" s="57">
        <f>E69*0.007%</f>
        <v>0.30555000000000004</v>
      </c>
      <c r="H69" s="57">
        <v>15.99</v>
      </c>
      <c r="I69" s="57">
        <v>0</v>
      </c>
      <c r="J69" s="22">
        <f t="shared" ref="J69" si="129">E69+F69+G69+H69</f>
        <v>4382.4959250000002</v>
      </c>
      <c r="K69" s="12"/>
      <c r="L69" s="26">
        <v>40246</v>
      </c>
      <c r="M69">
        <v>1286</v>
      </c>
      <c r="N69" t="s">
        <v>277</v>
      </c>
      <c r="O69">
        <v>900</v>
      </c>
      <c r="P69" s="22">
        <v>5.15</v>
      </c>
      <c r="Q69" s="22">
        <f t="shared" ref="Q69" si="130">O69*P69</f>
        <v>4635</v>
      </c>
      <c r="R69" s="75">
        <f t="shared" ref="R69" si="131">Q69*0.0275%</f>
        <v>1.2746250000000001</v>
      </c>
      <c r="S69" s="75">
        <f>Q69*0.007%</f>
        <v>0.32445000000000002</v>
      </c>
      <c r="T69" s="75">
        <v>15.99</v>
      </c>
      <c r="U69" s="75">
        <v>0</v>
      </c>
      <c r="V69" s="22">
        <v>0</v>
      </c>
      <c r="W69" s="22">
        <f>Q69-R69-S69-T69-V69</f>
        <v>4617.4109250000001</v>
      </c>
      <c r="X69" s="22">
        <v>0</v>
      </c>
      <c r="Y69" s="22">
        <f>W69-X69-J69</f>
        <v>234.91499999999996</v>
      </c>
      <c r="Z69" s="22">
        <f>IF(Q70 &gt; 20000, ((Y69+V69)*15%)-V69, 0)</f>
        <v>0</v>
      </c>
      <c r="AA69" s="22">
        <f t="shared" ref="AA69" si="132">(Y69-Z69)*10%</f>
        <v>23.491499999999998</v>
      </c>
      <c r="AB69" s="22">
        <f t="shared" ref="AB69" si="133">Y69-Z69-AA69</f>
        <v>211.42349999999996</v>
      </c>
    </row>
    <row r="70" spans="1:28" x14ac:dyDescent="0.25">
      <c r="D70" s="22"/>
      <c r="E70" s="22">
        <f>SUM(E69)</f>
        <v>4365</v>
      </c>
      <c r="F70" s="22">
        <f>SUM(F69)</f>
        <v>1.200375</v>
      </c>
      <c r="G70" s="22">
        <f>SUM(G69)</f>
        <v>0.30555000000000004</v>
      </c>
      <c r="H70" s="22">
        <f>SUM(H69)</f>
        <v>15.99</v>
      </c>
      <c r="I70" s="22">
        <v>0</v>
      </c>
      <c r="J70" s="22">
        <f>SUM(J69)</f>
        <v>4382.4959250000002</v>
      </c>
      <c r="K70" s="12"/>
      <c r="P70" s="22"/>
      <c r="Q70" s="22">
        <f>SUM(Q69)</f>
        <v>4635</v>
      </c>
      <c r="R70" s="22">
        <f>SUM(R69)</f>
        <v>1.2746250000000001</v>
      </c>
      <c r="S70" s="22">
        <f>SUM(S69)</f>
        <v>0.32445000000000002</v>
      </c>
      <c r="T70" s="22">
        <f>SUM(T69)</f>
        <v>15.99</v>
      </c>
      <c r="U70" s="22">
        <v>0</v>
      </c>
      <c r="V70" s="22">
        <f t="shared" ref="V70:AB70" si="134">SUM(V69)</f>
        <v>0</v>
      </c>
      <c r="W70" s="22">
        <f t="shared" si="134"/>
        <v>4617.4109250000001</v>
      </c>
      <c r="X70" s="22">
        <f>SUM(X69)</f>
        <v>0</v>
      </c>
      <c r="Y70" s="22">
        <f t="shared" si="134"/>
        <v>234.91499999999996</v>
      </c>
      <c r="Z70" s="38">
        <f t="shared" si="134"/>
        <v>0</v>
      </c>
      <c r="AA70" s="38">
        <f t="shared" si="134"/>
        <v>23.491499999999998</v>
      </c>
      <c r="AB70" s="53">
        <f t="shared" si="134"/>
        <v>211.42349999999996</v>
      </c>
    </row>
    <row r="71" spans="1:28" x14ac:dyDescent="0.25">
      <c r="D71" s="22"/>
      <c r="E71" s="22"/>
      <c r="F71" s="22"/>
      <c r="G71" s="22"/>
      <c r="H71" s="22"/>
      <c r="I71" s="22"/>
      <c r="J71" s="22"/>
      <c r="K71" s="1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13"/>
    </row>
    <row r="72" spans="1:28" x14ac:dyDescent="0.25">
      <c r="A72" s="144" t="s">
        <v>390</v>
      </c>
      <c r="B72" s="144"/>
      <c r="C72" s="144"/>
      <c r="D72" s="144"/>
      <c r="E72" s="144"/>
      <c r="F72" s="144"/>
      <c r="G72" s="144"/>
      <c r="H72" s="144"/>
      <c r="I72" s="144"/>
      <c r="J72" s="144"/>
      <c r="K72" s="144"/>
      <c r="L72" s="144"/>
      <c r="M72" s="144"/>
      <c r="N72" s="144"/>
      <c r="O72" s="144"/>
      <c r="P72" s="144"/>
      <c r="Q72" s="144"/>
      <c r="R72" s="144"/>
      <c r="S72" s="144"/>
      <c r="T72" s="144"/>
      <c r="U72" s="144"/>
      <c r="V72" s="144"/>
      <c r="W72" s="144"/>
      <c r="X72" s="144"/>
      <c r="Y72" s="144"/>
      <c r="Z72" s="144"/>
      <c r="AA72" s="144"/>
      <c r="AB72" s="144"/>
    </row>
    <row r="73" spans="1:28" x14ac:dyDescent="0.25">
      <c r="A73" s="26">
        <v>40260</v>
      </c>
      <c r="B73" t="s">
        <v>285</v>
      </c>
      <c r="C73">
        <v>4100</v>
      </c>
      <c r="D73" s="22">
        <v>1.1499999999999999</v>
      </c>
      <c r="E73" s="22">
        <f t="shared" ref="E73" si="135">C73*D73</f>
        <v>4715</v>
      </c>
      <c r="F73" s="57">
        <f t="shared" ref="F73" si="136">E73*0.0275%</f>
        <v>1.2966250000000001</v>
      </c>
      <c r="G73" s="57">
        <f>E73*0.007%</f>
        <v>0.33005000000000001</v>
      </c>
      <c r="H73" s="57">
        <v>15.99</v>
      </c>
      <c r="I73" s="57">
        <v>0</v>
      </c>
      <c r="J73" s="22">
        <f t="shared" ref="J73" si="137">E73+F73+G73+H73</f>
        <v>4732.6166749999993</v>
      </c>
      <c r="K73" s="12"/>
      <c r="L73" s="26">
        <v>40473</v>
      </c>
      <c r="M73" s="66">
        <v>699</v>
      </c>
      <c r="N73" t="s">
        <v>285</v>
      </c>
      <c r="O73">
        <v>4100</v>
      </c>
      <c r="P73" s="22">
        <v>1.25</v>
      </c>
      <c r="Q73" s="22">
        <f t="shared" ref="Q73" si="138">O73*P73</f>
        <v>5125</v>
      </c>
      <c r="R73" s="75">
        <f t="shared" ref="R73" si="139">Q73*0.0275%</f>
        <v>1.409375</v>
      </c>
      <c r="S73" s="75">
        <f>Q73*0.007%</f>
        <v>0.35875000000000001</v>
      </c>
      <c r="T73" s="75">
        <v>15.99</v>
      </c>
      <c r="U73" s="75">
        <v>0</v>
      </c>
      <c r="V73" s="22">
        <v>0</v>
      </c>
      <c r="W73" s="22">
        <f>Q73-R73-S73-T73-V73</f>
        <v>5107.2418749999997</v>
      </c>
      <c r="X73" s="22">
        <v>0</v>
      </c>
      <c r="Y73" s="22">
        <f>W73-X73-J73</f>
        <v>374.6252000000004</v>
      </c>
      <c r="Z73" s="22">
        <f>IF(Q74 &gt; 20000, ((Y73+V73)*15%)-V73, 0)</f>
        <v>0</v>
      </c>
      <c r="AA73" s="22">
        <f t="shared" ref="AA73" si="140">(Y73-Z73)*10%</f>
        <v>37.46252000000004</v>
      </c>
      <c r="AB73" s="22">
        <f t="shared" ref="AB73" si="141">Y73-Z73-AA73</f>
        <v>337.16268000000036</v>
      </c>
    </row>
    <row r="74" spans="1:28" x14ac:dyDescent="0.25">
      <c r="D74" s="22"/>
      <c r="E74" s="22">
        <f>SUM(E73)</f>
        <v>4715</v>
      </c>
      <c r="F74" s="22">
        <f>SUM(F73)</f>
        <v>1.2966250000000001</v>
      </c>
      <c r="G74" s="22">
        <f>SUM(G73)</f>
        <v>0.33005000000000001</v>
      </c>
      <c r="H74" s="22">
        <f>SUM(H73)</f>
        <v>15.99</v>
      </c>
      <c r="I74" s="22">
        <v>0</v>
      </c>
      <c r="J74" s="22">
        <f>SUM(J73)</f>
        <v>4732.6166749999993</v>
      </c>
      <c r="K74" s="12"/>
      <c r="P74" s="22"/>
      <c r="Q74" s="22">
        <f>SUM(Q73)</f>
        <v>5125</v>
      </c>
      <c r="R74" s="22">
        <f>SUM(R73)</f>
        <v>1.409375</v>
      </c>
      <c r="S74" s="22">
        <f>SUM(S73)</f>
        <v>0.35875000000000001</v>
      </c>
      <c r="T74" s="22">
        <f>SUM(T73)</f>
        <v>15.99</v>
      </c>
      <c r="U74" s="22">
        <v>0</v>
      </c>
      <c r="V74" s="22">
        <f t="shared" ref="V74:AB74" si="142">SUM(V73)</f>
        <v>0</v>
      </c>
      <c r="W74" s="22">
        <f t="shared" si="142"/>
        <v>5107.2418749999997</v>
      </c>
      <c r="X74" s="22">
        <f>SUM(X73)</f>
        <v>0</v>
      </c>
      <c r="Y74" s="22">
        <f t="shared" si="142"/>
        <v>374.6252000000004</v>
      </c>
      <c r="Z74" s="38">
        <f t="shared" si="142"/>
        <v>0</v>
      </c>
      <c r="AA74" s="38">
        <f t="shared" si="142"/>
        <v>37.46252000000004</v>
      </c>
      <c r="AB74" s="53">
        <f t="shared" si="142"/>
        <v>337.16268000000036</v>
      </c>
    </row>
    <row r="75" spans="1:28" x14ac:dyDescent="0.25">
      <c r="D75" s="22"/>
      <c r="E75" s="22"/>
      <c r="F75" s="22"/>
      <c r="G75" s="22"/>
      <c r="H75" s="22"/>
      <c r="I75" s="22"/>
      <c r="J75" s="22"/>
      <c r="K75" s="1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13"/>
    </row>
    <row r="76" spans="1:28" x14ac:dyDescent="0.25">
      <c r="A76" s="144" t="s">
        <v>391</v>
      </c>
      <c r="B76" s="144"/>
      <c r="C76" s="144"/>
      <c r="D76" s="144"/>
      <c r="E76" s="144"/>
      <c r="F76" s="144"/>
      <c r="G76" s="144"/>
      <c r="H76" s="144"/>
      <c r="I76" s="144"/>
      <c r="J76" s="144"/>
      <c r="K76" s="144"/>
      <c r="L76" s="144"/>
      <c r="M76" s="144"/>
      <c r="N76" s="144"/>
      <c r="O76" s="144"/>
      <c r="P76" s="144"/>
      <c r="Q76" s="144"/>
      <c r="R76" s="144"/>
      <c r="S76" s="144"/>
      <c r="T76" s="144"/>
      <c r="U76" s="144"/>
      <c r="V76" s="144"/>
      <c r="W76" s="144"/>
      <c r="X76" s="144"/>
      <c r="Y76" s="144"/>
      <c r="Z76" s="144"/>
      <c r="AA76" s="144"/>
      <c r="AB76" s="144"/>
    </row>
    <row r="77" spans="1:28" x14ac:dyDescent="0.25">
      <c r="A77" s="26">
        <v>40213</v>
      </c>
      <c r="B77" t="s">
        <v>284</v>
      </c>
      <c r="C77">
        <v>1200</v>
      </c>
      <c r="D77" s="22">
        <v>3.45</v>
      </c>
      <c r="E77" s="22">
        <f t="shared" ref="E77" si="143">C77*D77</f>
        <v>4140</v>
      </c>
      <c r="F77" s="57">
        <f t="shared" ref="F77" si="144">E77*0.0275%</f>
        <v>1.1385000000000001</v>
      </c>
      <c r="G77" s="57">
        <f>E77*0.007%</f>
        <v>0.28980000000000006</v>
      </c>
      <c r="H77" s="57">
        <v>15.99</v>
      </c>
      <c r="I77" s="57">
        <v>0</v>
      </c>
      <c r="J77" s="22">
        <f t="shared" ref="J77" si="145">E77+F77+G77+H77</f>
        <v>4157.4182999999994</v>
      </c>
      <c r="K77" s="12"/>
      <c r="L77" s="26">
        <v>40540</v>
      </c>
      <c r="M77">
        <v>617</v>
      </c>
      <c r="N77" t="s">
        <v>284</v>
      </c>
      <c r="O77">
        <v>1200</v>
      </c>
      <c r="P77" s="22">
        <v>3.47</v>
      </c>
      <c r="Q77" s="22">
        <f t="shared" ref="Q77" si="146">O77*P77</f>
        <v>4164</v>
      </c>
      <c r="R77" s="75">
        <f t="shared" ref="R77" si="147">Q77*0.0275%</f>
        <v>1.1451</v>
      </c>
      <c r="S77" s="75">
        <f>Q77*0.007%</f>
        <v>0.29148000000000002</v>
      </c>
      <c r="T77" s="75">
        <v>15.99</v>
      </c>
      <c r="U77" s="75">
        <v>0</v>
      </c>
      <c r="V77" s="22">
        <v>0</v>
      </c>
      <c r="W77" s="22">
        <f>Q77-R77-S77-T77-V77</f>
        <v>4146.5734200000006</v>
      </c>
      <c r="X77" s="22">
        <v>0</v>
      </c>
      <c r="Y77" s="22">
        <f>W77-X77-J77</f>
        <v>-10.844879999998739</v>
      </c>
      <c r="Z77" s="22">
        <f>((Y77+V77)*15%)-V77</f>
        <v>-1.6267319999998107</v>
      </c>
      <c r="AA77" s="22">
        <f t="shared" ref="AA77" si="148">(Y77-Z77)*10%</f>
        <v>-0.92181479999989291</v>
      </c>
      <c r="AB77" s="22">
        <f t="shared" ref="AB77" si="149">Y77-Z77-AA77</f>
        <v>-8.2963331999990348</v>
      </c>
    </row>
    <row r="78" spans="1:28" x14ac:dyDescent="0.25">
      <c r="D78" s="22"/>
      <c r="E78" s="22">
        <f>SUM(E77)</f>
        <v>4140</v>
      </c>
      <c r="F78" s="22">
        <f>SUM(F77)</f>
        <v>1.1385000000000001</v>
      </c>
      <c r="G78" s="22">
        <f>SUM(G77)</f>
        <v>0.28980000000000006</v>
      </c>
      <c r="H78" s="22">
        <f>SUM(H77)</f>
        <v>15.99</v>
      </c>
      <c r="I78" s="22">
        <v>0</v>
      </c>
      <c r="J78" s="22">
        <f>SUM(J77)</f>
        <v>4157.4182999999994</v>
      </c>
      <c r="K78" s="12"/>
      <c r="P78" s="22"/>
      <c r="Q78" s="22">
        <f>SUM(Q77)</f>
        <v>4164</v>
      </c>
      <c r="R78" s="22">
        <f>SUM(R77)</f>
        <v>1.1451</v>
      </c>
      <c r="S78" s="22">
        <f>SUM(S77)</f>
        <v>0.29148000000000002</v>
      </c>
      <c r="T78" s="22">
        <f>SUM(T77)</f>
        <v>15.99</v>
      </c>
      <c r="U78" s="22">
        <v>0</v>
      </c>
      <c r="V78" s="22">
        <f t="shared" ref="V78:AB78" si="150">SUM(V77)</f>
        <v>0</v>
      </c>
      <c r="W78" s="22">
        <f t="shared" si="150"/>
        <v>4146.5734200000006</v>
      </c>
      <c r="X78" s="22">
        <f>SUM(X77)</f>
        <v>0</v>
      </c>
      <c r="Y78" s="22">
        <f t="shared" si="150"/>
        <v>-10.844879999998739</v>
      </c>
      <c r="Z78" s="38">
        <f t="shared" si="150"/>
        <v>-1.6267319999998107</v>
      </c>
      <c r="AA78" s="38">
        <f t="shared" si="150"/>
        <v>-0.92181479999989291</v>
      </c>
      <c r="AB78" s="54">
        <f t="shared" si="150"/>
        <v>-8.2963331999990348</v>
      </c>
    </row>
    <row r="79" spans="1:28" x14ac:dyDescent="0.25">
      <c r="D79" s="22"/>
      <c r="E79" s="22"/>
      <c r="F79" s="22"/>
      <c r="G79" s="22"/>
      <c r="H79" s="22"/>
      <c r="I79" s="22"/>
      <c r="J79" s="22"/>
      <c r="K79" s="1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13"/>
    </row>
    <row r="80" spans="1:28" x14ac:dyDescent="0.25">
      <c r="A80" s="144" t="s">
        <v>392</v>
      </c>
      <c r="B80" s="144"/>
      <c r="C80" s="144"/>
      <c r="D80" s="144"/>
      <c r="E80" s="144"/>
      <c r="F80" s="144"/>
      <c r="G80" s="144"/>
      <c r="H80" s="144"/>
      <c r="I80" s="144"/>
      <c r="J80" s="144"/>
      <c r="K80" s="144"/>
      <c r="L80" s="144"/>
      <c r="M80" s="144"/>
      <c r="N80" s="144"/>
      <c r="O80" s="144"/>
      <c r="P80" s="144"/>
      <c r="Q80" s="144"/>
      <c r="R80" s="144"/>
      <c r="S80" s="144"/>
      <c r="T80" s="144"/>
      <c r="U80" s="144"/>
      <c r="V80" s="144"/>
      <c r="W80" s="144"/>
      <c r="X80" s="144"/>
      <c r="Y80" s="144"/>
      <c r="Z80" s="144"/>
      <c r="AA80" s="144"/>
      <c r="AB80" s="144"/>
    </row>
    <row r="81" spans="1:28" x14ac:dyDescent="0.25">
      <c r="A81" s="10">
        <v>41614</v>
      </c>
      <c r="B81" t="s">
        <v>287</v>
      </c>
      <c r="C81">
        <v>4500</v>
      </c>
      <c r="D81" s="22">
        <v>0.22</v>
      </c>
      <c r="E81" s="22">
        <f t="shared" ref="E81" si="151">C81*D81</f>
        <v>990</v>
      </c>
      <c r="F81" s="22">
        <f t="shared" ref="F81:F82" si="152">E81*0.0275%</f>
        <v>0.27224999999999999</v>
      </c>
      <c r="G81" s="22">
        <f>E81*0.005%</f>
        <v>4.9500000000000002E-2</v>
      </c>
      <c r="H81" s="22">
        <v>15.99</v>
      </c>
      <c r="I81" s="22">
        <v>0</v>
      </c>
      <c r="J81" s="22">
        <f t="shared" ref="J81" si="153">E81+F81+G81+H81</f>
        <v>1006.31175</v>
      </c>
      <c r="K81" s="12"/>
      <c r="L81" s="10">
        <v>41617</v>
      </c>
      <c r="M81">
        <v>244</v>
      </c>
      <c r="N81" t="s">
        <v>287</v>
      </c>
      <c r="O81">
        <v>4500</v>
      </c>
      <c r="P81" s="22">
        <v>0.27</v>
      </c>
      <c r="Q81" s="22">
        <f t="shared" ref="Q81" si="154">O81*P81</f>
        <v>1215</v>
      </c>
      <c r="R81" s="22">
        <v>0.33</v>
      </c>
      <c r="S81" s="22">
        <v>0.06</v>
      </c>
      <c r="T81" s="23">
        <v>20.71</v>
      </c>
      <c r="U81" s="23">
        <v>0</v>
      </c>
      <c r="V81" s="22">
        <v>0</v>
      </c>
      <c r="W81" s="22">
        <f>Q81-R81-S81-T81-V81</f>
        <v>1193.9000000000001</v>
      </c>
      <c r="X81" s="22">
        <v>0</v>
      </c>
      <c r="Y81" s="22">
        <f>W81-X81-J81</f>
        <v>187.58825000000013</v>
      </c>
      <c r="Z81" s="22">
        <f>IF(Q83 &gt; 20000, ((Y81+V81)*15%)-V81, 0)</f>
        <v>0</v>
      </c>
      <c r="AA81" s="22">
        <f t="shared" ref="AA81:AA82" si="155">(Y81-Z81)*10%</f>
        <v>18.758825000000012</v>
      </c>
      <c r="AB81" s="22">
        <f t="shared" ref="AB81:AB82" si="156">Y81-Z81-AA81</f>
        <v>168.82942500000013</v>
      </c>
    </row>
    <row r="82" spans="1:28" x14ac:dyDescent="0.25">
      <c r="A82" s="10">
        <v>41604</v>
      </c>
      <c r="B82" t="s">
        <v>286</v>
      </c>
      <c r="C82">
        <v>1400</v>
      </c>
      <c r="D82" s="22">
        <v>0.47</v>
      </c>
      <c r="E82" s="22">
        <f t="shared" ref="E82" si="157">C82*D82</f>
        <v>658</v>
      </c>
      <c r="F82" s="22">
        <f t="shared" si="152"/>
        <v>0.18095</v>
      </c>
      <c r="G82" s="22">
        <f>E82*0.005%</f>
        <v>3.2899999999999999E-2</v>
      </c>
      <c r="H82" s="22">
        <v>15.99</v>
      </c>
      <c r="I82" s="22">
        <v>0</v>
      </c>
      <c r="J82" s="22">
        <f t="shared" ref="J82" si="158">E82+F82+G82+H82</f>
        <v>674.2038500000001</v>
      </c>
      <c r="K82" s="12"/>
      <c r="L82" s="10">
        <v>41634</v>
      </c>
      <c r="M82">
        <v>189</v>
      </c>
      <c r="N82" t="s">
        <v>286</v>
      </c>
      <c r="O82">
        <v>1400</v>
      </c>
      <c r="P82" s="22">
        <v>0.62</v>
      </c>
      <c r="Q82" s="22">
        <f t="shared" ref="Q82" si="159">O82*P82</f>
        <v>868</v>
      </c>
      <c r="R82" s="22">
        <v>0.23</v>
      </c>
      <c r="S82" s="22">
        <v>0.04</v>
      </c>
      <c r="T82" s="22">
        <v>15.99</v>
      </c>
      <c r="U82" s="22">
        <v>0</v>
      </c>
      <c r="V82" s="22">
        <v>0</v>
      </c>
      <c r="W82" s="22">
        <f>Q82-R82-S82-T82-V82</f>
        <v>851.74</v>
      </c>
      <c r="X82" s="22">
        <v>0</v>
      </c>
      <c r="Y82" s="22">
        <f>W82-X82-J82</f>
        <v>177.53614999999991</v>
      </c>
      <c r="Z82" s="22">
        <f>IF(Q83 &gt; 20000, ((Y82+V82)*15%)-V82, 0)</f>
        <v>0</v>
      </c>
      <c r="AA82" s="22">
        <f t="shared" si="155"/>
        <v>17.753614999999993</v>
      </c>
      <c r="AB82" s="22">
        <f t="shared" si="156"/>
        <v>159.78253499999991</v>
      </c>
    </row>
    <row r="83" spans="1:28" x14ac:dyDescent="0.25">
      <c r="D83" s="22"/>
      <c r="E83" s="22">
        <f>SUM(E81:E82)</f>
        <v>1648</v>
      </c>
      <c r="F83" s="22">
        <f>SUM(F81:F82)</f>
        <v>0.45319999999999999</v>
      </c>
      <c r="G83" s="22">
        <f>SUM(G81:G82)</f>
        <v>8.2400000000000001E-2</v>
      </c>
      <c r="H83" s="22">
        <f>SUM(H81:H82)</f>
        <v>31.98</v>
      </c>
      <c r="I83" s="22">
        <v>0</v>
      </c>
      <c r="J83" s="22">
        <f>SUM(J81:J82)</f>
        <v>1680.5156000000002</v>
      </c>
      <c r="K83" s="12"/>
      <c r="P83" s="22"/>
      <c r="Q83" s="22">
        <f>SUM(Q81:Q82)</f>
        <v>2083</v>
      </c>
      <c r="R83" s="22">
        <f>SUM(R81:R82)</f>
        <v>0.56000000000000005</v>
      </c>
      <c r="S83" s="22">
        <f>SUM(S81:S82)</f>
        <v>0.1</v>
      </c>
      <c r="T83" s="22">
        <f>SUM(T81:T82)</f>
        <v>36.700000000000003</v>
      </c>
      <c r="U83" s="22">
        <v>0</v>
      </c>
      <c r="V83" s="22">
        <f t="shared" ref="V83:AB83" si="160">SUM(V81:V82)</f>
        <v>0</v>
      </c>
      <c r="W83" s="22">
        <f t="shared" si="160"/>
        <v>2045.64</v>
      </c>
      <c r="X83" s="22">
        <f>SUM(X81:X82)</f>
        <v>0</v>
      </c>
      <c r="Y83" s="22">
        <f t="shared" si="160"/>
        <v>365.12440000000004</v>
      </c>
      <c r="Z83" s="38">
        <f t="shared" si="160"/>
        <v>0</v>
      </c>
      <c r="AA83" s="38">
        <f t="shared" si="160"/>
        <v>36.512440000000005</v>
      </c>
      <c r="AB83" s="53">
        <f t="shared" si="160"/>
        <v>328.61196000000007</v>
      </c>
    </row>
    <row r="84" spans="1:28" x14ac:dyDescent="0.25">
      <c r="D84" s="22"/>
      <c r="E84" s="22"/>
      <c r="F84" s="22"/>
      <c r="G84" s="22"/>
      <c r="H84" s="22"/>
      <c r="I84" s="22"/>
      <c r="J84" s="22"/>
      <c r="K84" s="1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13"/>
    </row>
    <row r="85" spans="1:28" x14ac:dyDescent="0.25">
      <c r="A85" s="144" t="s">
        <v>393</v>
      </c>
      <c r="B85" s="144"/>
      <c r="C85" s="144"/>
      <c r="D85" s="144"/>
      <c r="E85" s="144"/>
      <c r="F85" s="144"/>
      <c r="G85" s="144"/>
      <c r="H85" s="144"/>
      <c r="I85" s="144"/>
      <c r="J85" s="144"/>
      <c r="K85" s="144"/>
      <c r="L85" s="144"/>
      <c r="M85" s="144"/>
      <c r="N85" s="144"/>
      <c r="O85" s="144"/>
      <c r="P85" s="144"/>
      <c r="Q85" s="144"/>
      <c r="R85" s="144"/>
      <c r="S85" s="144"/>
      <c r="T85" s="144"/>
      <c r="U85" s="144"/>
      <c r="V85" s="144"/>
      <c r="W85" s="144"/>
      <c r="X85" s="144"/>
      <c r="Y85" s="144"/>
      <c r="Z85" s="144"/>
      <c r="AA85" s="144"/>
      <c r="AB85" s="144"/>
    </row>
    <row r="86" spans="1:28" x14ac:dyDescent="0.25">
      <c r="A86" s="10">
        <v>41619</v>
      </c>
      <c r="B86" t="s">
        <v>288</v>
      </c>
      <c r="C86">
        <v>1000</v>
      </c>
      <c r="D86" s="22">
        <v>3.8</v>
      </c>
      <c r="E86" s="22">
        <f t="shared" ref="E86" si="161">C86*D86</f>
        <v>3800</v>
      </c>
      <c r="F86" s="22">
        <f t="shared" ref="F86:F91" si="162">E86*0.0275%</f>
        <v>1.0450000000000002</v>
      </c>
      <c r="G86" s="22">
        <f>E86*0.005%</f>
        <v>0.19</v>
      </c>
      <c r="H86" s="22">
        <v>15.99</v>
      </c>
      <c r="I86" s="22">
        <v>0</v>
      </c>
      <c r="J86" s="22">
        <f t="shared" ref="J86" si="163">E86+F86+G86+H86</f>
        <v>3817.2249999999999</v>
      </c>
      <c r="K86" s="12"/>
      <c r="L86" s="10">
        <v>41642</v>
      </c>
      <c r="M86">
        <v>279</v>
      </c>
      <c r="N86" t="s">
        <v>288</v>
      </c>
      <c r="O86">
        <v>1000</v>
      </c>
      <c r="P86" s="22">
        <v>4</v>
      </c>
      <c r="Q86" s="22">
        <f t="shared" ref="Q86" si="164">O86*P86</f>
        <v>4000</v>
      </c>
      <c r="R86" s="36">
        <f t="shared" ref="R86:R91" si="165">Q86*0.0275%</f>
        <v>1.1000000000000001</v>
      </c>
      <c r="S86" s="36">
        <f>Q86*0.007%</f>
        <v>0.28000000000000003</v>
      </c>
      <c r="T86" s="22">
        <v>15.99</v>
      </c>
      <c r="U86" s="22">
        <v>0</v>
      </c>
      <c r="V86" s="22">
        <v>0</v>
      </c>
      <c r="W86" s="22">
        <f t="shared" ref="W86:W91" si="166">Q86-R86-S86-T86-V86</f>
        <v>3982.63</v>
      </c>
      <c r="X86" s="22">
        <v>0</v>
      </c>
      <c r="Y86" s="22">
        <f t="shared" ref="Y86:Y91" si="167">W86-X86-J86</f>
        <v>165.4050000000002</v>
      </c>
      <c r="Z86" s="22">
        <f>IF(Q92 &gt; 20000, ((Y86+V86)*15%)-V86, 0)</f>
        <v>0</v>
      </c>
      <c r="AA86" s="22">
        <f t="shared" ref="AA86:AA91" si="168">(Y86-Z86)*10%</f>
        <v>16.540500000000019</v>
      </c>
      <c r="AB86" s="22">
        <f t="shared" ref="AB86:AB91" si="169">Y86-Z86-AA86</f>
        <v>148.86450000000019</v>
      </c>
    </row>
    <row r="87" spans="1:28" x14ac:dyDescent="0.25">
      <c r="A87" s="10">
        <v>41641</v>
      </c>
      <c r="B87" t="s">
        <v>290</v>
      </c>
      <c r="C87">
        <v>2700</v>
      </c>
      <c r="D87" s="22">
        <v>1.01</v>
      </c>
      <c r="E87" s="22">
        <f t="shared" ref="E87" si="170">C87*D87</f>
        <v>2727</v>
      </c>
      <c r="F87" s="22">
        <f t="shared" si="162"/>
        <v>0.74992500000000006</v>
      </c>
      <c r="G87" s="22">
        <f>E87*0.005%</f>
        <v>0.13635</v>
      </c>
      <c r="H87" s="22">
        <v>15.99</v>
      </c>
      <c r="I87" s="22">
        <v>0</v>
      </c>
      <c r="J87" s="22">
        <f t="shared" ref="J87" si="171">E87+F87+G87+H87</f>
        <v>2743.8762750000001</v>
      </c>
      <c r="K87" s="12"/>
      <c r="L87" s="10">
        <v>41642</v>
      </c>
      <c r="M87">
        <v>279</v>
      </c>
      <c r="N87" t="s">
        <v>290</v>
      </c>
      <c r="O87">
        <v>2700</v>
      </c>
      <c r="P87" s="22">
        <v>1.3</v>
      </c>
      <c r="Q87" s="22">
        <f t="shared" ref="Q87" si="172">O87*P87</f>
        <v>3510</v>
      </c>
      <c r="R87" s="36">
        <f t="shared" si="165"/>
        <v>0.96525000000000005</v>
      </c>
      <c r="S87" s="36">
        <f>Q87*0.005%</f>
        <v>0.17550000000000002</v>
      </c>
      <c r="T87" s="22">
        <v>15.99</v>
      </c>
      <c r="U87" s="22">
        <v>0</v>
      </c>
      <c r="V87" s="22">
        <v>0</v>
      </c>
      <c r="W87" s="22">
        <f t="shared" si="166"/>
        <v>3492.8692500000002</v>
      </c>
      <c r="X87" s="22">
        <v>0</v>
      </c>
      <c r="Y87" s="22">
        <f t="shared" si="167"/>
        <v>748.99297500000011</v>
      </c>
      <c r="Z87" s="22">
        <f>IF(Q92 &gt; 20000, ((Y87+V87)*15%)-V87, 0)</f>
        <v>0</v>
      </c>
      <c r="AA87" s="22">
        <f t="shared" si="168"/>
        <v>74.899297500000017</v>
      </c>
      <c r="AB87" s="22">
        <f t="shared" si="169"/>
        <v>674.09367750000013</v>
      </c>
    </row>
    <row r="88" spans="1:28" x14ac:dyDescent="0.25">
      <c r="A88" s="10">
        <v>41641</v>
      </c>
      <c r="B88" t="s">
        <v>280</v>
      </c>
      <c r="C88">
        <v>3000</v>
      </c>
      <c r="D88" s="22">
        <v>0.65</v>
      </c>
      <c r="E88" s="22">
        <f t="shared" ref="E88" si="173">C88*D88</f>
        <v>1950</v>
      </c>
      <c r="F88" s="22">
        <f t="shared" si="162"/>
        <v>0.53625</v>
      </c>
      <c r="G88" s="22">
        <f>E88*0.005%</f>
        <v>9.7500000000000003E-2</v>
      </c>
      <c r="H88" s="22">
        <v>15.99</v>
      </c>
      <c r="I88" s="22">
        <v>0</v>
      </c>
      <c r="J88" s="22">
        <f t="shared" ref="J88" si="174">E88+F88+G88+H88</f>
        <v>1966.6237500000002</v>
      </c>
      <c r="K88" s="12"/>
      <c r="L88" s="10">
        <v>41642</v>
      </c>
      <c r="M88">
        <v>279</v>
      </c>
      <c r="N88" t="s">
        <v>280</v>
      </c>
      <c r="O88">
        <v>3000</v>
      </c>
      <c r="P88" s="22">
        <v>0.85</v>
      </c>
      <c r="Q88" s="22">
        <f t="shared" ref="Q88" si="175">O88*P88</f>
        <v>2550</v>
      </c>
      <c r="R88" s="36">
        <f t="shared" si="165"/>
        <v>0.70125000000000004</v>
      </c>
      <c r="S88" s="36">
        <f>Q88*0.007%</f>
        <v>0.17850000000000002</v>
      </c>
      <c r="T88" s="22">
        <v>15.99</v>
      </c>
      <c r="U88" s="22">
        <v>0</v>
      </c>
      <c r="V88" s="22">
        <v>0</v>
      </c>
      <c r="W88" s="22">
        <f t="shared" si="166"/>
        <v>2533.1302500000002</v>
      </c>
      <c r="X88" s="22">
        <v>0</v>
      </c>
      <c r="Y88" s="22">
        <f t="shared" si="167"/>
        <v>566.50649999999996</v>
      </c>
      <c r="Z88" s="22">
        <f>IF(Q92 &gt; 20000, ((Y88+V88)*15%)-V88, 0)</f>
        <v>0</v>
      </c>
      <c r="AA88" s="22">
        <f t="shared" si="168"/>
        <v>56.650649999999999</v>
      </c>
      <c r="AB88" s="22">
        <f t="shared" si="169"/>
        <v>509.85584999999998</v>
      </c>
    </row>
    <row r="89" spans="1:28" x14ac:dyDescent="0.25">
      <c r="A89" s="10">
        <v>41625</v>
      </c>
      <c r="B89" t="s">
        <v>287</v>
      </c>
      <c r="C89">
        <v>5300</v>
      </c>
      <c r="D89" s="22">
        <v>0.22</v>
      </c>
      <c r="E89" s="22">
        <f t="shared" ref="E89" si="176">C89*D89</f>
        <v>1166</v>
      </c>
      <c r="F89" s="22">
        <f t="shared" si="162"/>
        <v>0.32065000000000005</v>
      </c>
      <c r="G89" s="22">
        <f>E89*0.005%</f>
        <v>5.8300000000000005E-2</v>
      </c>
      <c r="H89" s="22">
        <v>15.99</v>
      </c>
      <c r="I89" s="22">
        <v>0</v>
      </c>
      <c r="J89" s="22">
        <f t="shared" ref="J89" si="177">E89+F89+G89+H89</f>
        <v>1182.3689499999998</v>
      </c>
      <c r="K89" s="12"/>
      <c r="L89" s="10">
        <v>41645</v>
      </c>
      <c r="M89">
        <v>256</v>
      </c>
      <c r="N89" t="s">
        <v>287</v>
      </c>
      <c r="O89">
        <v>5300</v>
      </c>
      <c r="P89" s="22">
        <v>0.28000000000000003</v>
      </c>
      <c r="Q89" s="22">
        <f t="shared" ref="Q89" si="178">O89*P89</f>
        <v>1484.0000000000002</v>
      </c>
      <c r="R89" s="36">
        <f t="shared" si="165"/>
        <v>0.40810000000000007</v>
      </c>
      <c r="S89" s="36">
        <f>Q89*0.007%</f>
        <v>0.10388000000000003</v>
      </c>
      <c r="T89" s="22">
        <v>15.99</v>
      </c>
      <c r="U89" s="22">
        <v>0</v>
      </c>
      <c r="V89" s="22">
        <v>0</v>
      </c>
      <c r="W89" s="22">
        <f t="shared" si="166"/>
        <v>1467.4980200000002</v>
      </c>
      <c r="X89" s="22">
        <v>0</v>
      </c>
      <c r="Y89" s="22">
        <f t="shared" si="167"/>
        <v>285.12907000000041</v>
      </c>
      <c r="Z89" s="22">
        <f>IF(Q92 &gt; 20000, ((Y89+V89)*15%)-V89, 0)</f>
        <v>0</v>
      </c>
      <c r="AA89" s="22">
        <f t="shared" si="168"/>
        <v>28.512907000000041</v>
      </c>
      <c r="AB89" s="22">
        <f t="shared" si="169"/>
        <v>256.61616300000037</v>
      </c>
    </row>
    <row r="90" spans="1:28" x14ac:dyDescent="0.25">
      <c r="A90" s="29">
        <v>41660</v>
      </c>
      <c r="B90" s="28" t="s">
        <v>292</v>
      </c>
      <c r="C90" s="28">
        <v>3000</v>
      </c>
      <c r="D90" s="32">
        <v>1.04</v>
      </c>
      <c r="E90" s="32">
        <f t="shared" ref="E90" si="179">C90*D90</f>
        <v>3120</v>
      </c>
      <c r="F90" s="32">
        <f t="shared" si="162"/>
        <v>0.8580000000000001</v>
      </c>
      <c r="G90" s="32">
        <f t="shared" ref="G90:G91" si="180">E90*0.005%</f>
        <v>0.156</v>
      </c>
      <c r="H90" s="32">
        <v>15.99</v>
      </c>
      <c r="I90" s="32">
        <v>0</v>
      </c>
      <c r="J90" s="32">
        <f t="shared" ref="J90" si="181">E90+F90+G90+H90</f>
        <v>3137.0039999999999</v>
      </c>
      <c r="K90" s="12"/>
      <c r="L90" s="29">
        <v>41660</v>
      </c>
      <c r="M90" s="28">
        <v>15114495</v>
      </c>
      <c r="N90" s="28" t="s">
        <v>292</v>
      </c>
      <c r="O90" s="28">
        <v>3000</v>
      </c>
      <c r="P90" s="32">
        <v>1.0900000000000001</v>
      </c>
      <c r="Q90" s="32">
        <f t="shared" ref="Q90" si="182">O90*P90</f>
        <v>3270.0000000000005</v>
      </c>
      <c r="R90" s="32">
        <f t="shared" si="165"/>
        <v>0.89925000000000022</v>
      </c>
      <c r="S90" s="32">
        <f t="shared" ref="S90:S91" si="183">Q90*0.005%</f>
        <v>0.16350000000000003</v>
      </c>
      <c r="T90" s="32">
        <v>15.99</v>
      </c>
      <c r="U90" s="32">
        <v>0</v>
      </c>
      <c r="V90" s="22">
        <v>0</v>
      </c>
      <c r="W90" s="22">
        <f t="shared" si="166"/>
        <v>3252.9472500000006</v>
      </c>
      <c r="X90" s="22">
        <v>0</v>
      </c>
      <c r="Y90" s="22">
        <f t="shared" si="167"/>
        <v>115.94325000000072</v>
      </c>
      <c r="Z90" s="22">
        <f>IF(Q92 &gt; 20000, ((Y90+V90)*15%)-V90, 0)</f>
        <v>0</v>
      </c>
      <c r="AA90" s="22">
        <f t="shared" si="168"/>
        <v>11.594325000000072</v>
      </c>
      <c r="AB90" s="22">
        <f t="shared" si="169"/>
        <v>104.34892500000065</v>
      </c>
    </row>
    <row r="91" spans="1:28" x14ac:dyDescent="0.25">
      <c r="A91" s="29">
        <v>41660</v>
      </c>
      <c r="B91" s="28" t="s">
        <v>286</v>
      </c>
      <c r="C91" s="28">
        <v>6000</v>
      </c>
      <c r="D91" s="32">
        <v>0.74</v>
      </c>
      <c r="E91" s="32">
        <f t="shared" ref="E91" si="184">C91*D91</f>
        <v>4440</v>
      </c>
      <c r="F91" s="32">
        <f t="shared" si="162"/>
        <v>1.2210000000000001</v>
      </c>
      <c r="G91" s="32">
        <f t="shared" si="180"/>
        <v>0.222</v>
      </c>
      <c r="H91" s="32">
        <v>15.99</v>
      </c>
      <c r="I91" s="32">
        <v>0</v>
      </c>
      <c r="J91" s="32">
        <f t="shared" ref="J91" si="185">E91+F91+G91+H91</f>
        <v>4457.4329999999991</v>
      </c>
      <c r="K91" s="12"/>
      <c r="L91" s="29">
        <v>41660</v>
      </c>
      <c r="M91" s="28">
        <v>15116461</v>
      </c>
      <c r="N91" s="28" t="s">
        <v>286</v>
      </c>
      <c r="O91" s="28">
        <v>6000</v>
      </c>
      <c r="P91" s="32">
        <v>0.79</v>
      </c>
      <c r="Q91" s="32">
        <f t="shared" ref="Q91" si="186">O91*P91</f>
        <v>4740</v>
      </c>
      <c r="R91" s="32">
        <f t="shared" si="165"/>
        <v>1.3035000000000001</v>
      </c>
      <c r="S91" s="32">
        <f t="shared" si="183"/>
        <v>0.23700000000000002</v>
      </c>
      <c r="T91" s="32">
        <v>15.99</v>
      </c>
      <c r="U91" s="32">
        <v>0</v>
      </c>
      <c r="V91" s="22">
        <v>0</v>
      </c>
      <c r="W91" s="22">
        <f t="shared" si="166"/>
        <v>4722.4695000000002</v>
      </c>
      <c r="X91" s="22">
        <v>0</v>
      </c>
      <c r="Y91" s="22">
        <f t="shared" si="167"/>
        <v>265.03650000000107</v>
      </c>
      <c r="Z91" s="22">
        <f>IF(Q92 &gt; 20000, ((Y91+V91)*15%)-V91, 0)</f>
        <v>0</v>
      </c>
      <c r="AA91" s="22">
        <f t="shared" si="168"/>
        <v>26.503650000000107</v>
      </c>
      <c r="AB91" s="22">
        <f t="shared" si="169"/>
        <v>238.53285000000096</v>
      </c>
    </row>
    <row r="92" spans="1:28" x14ac:dyDescent="0.25">
      <c r="D92" s="22"/>
      <c r="E92" s="22">
        <f>SUM(E86:E91)</f>
        <v>17203</v>
      </c>
      <c r="F92" s="22">
        <f>SUM(F86:F91)</f>
        <v>4.7308250000000003</v>
      </c>
      <c r="G92" s="22">
        <f>SUM(G86:G91)</f>
        <v>0.86015000000000008</v>
      </c>
      <c r="H92" s="22">
        <f>SUM(H86:H91)</f>
        <v>95.94</v>
      </c>
      <c r="I92" s="22">
        <v>0</v>
      </c>
      <c r="J92" s="22">
        <f>SUM(J86:J91)</f>
        <v>17304.530975000001</v>
      </c>
      <c r="K92" s="12"/>
      <c r="P92" s="22"/>
      <c r="Q92" s="22">
        <f>SUM(Q86:Q91)</f>
        <v>19554</v>
      </c>
      <c r="R92" s="22">
        <f>SUM(R86:R91)</f>
        <v>5.3773499999999999</v>
      </c>
      <c r="S92" s="22">
        <f>SUM(S86:S91)</f>
        <v>1.1383800000000002</v>
      </c>
      <c r="T92" s="22">
        <f>SUM(T86:T91)</f>
        <v>95.94</v>
      </c>
      <c r="U92" s="22">
        <v>0</v>
      </c>
      <c r="V92" s="22">
        <f t="shared" ref="V92:AB92" si="187">SUM(V86:V91)</f>
        <v>0</v>
      </c>
      <c r="W92" s="22">
        <f t="shared" si="187"/>
        <v>19451.544270000002</v>
      </c>
      <c r="X92" s="22">
        <f>SUM(X86:X91)</f>
        <v>0</v>
      </c>
      <c r="Y92" s="22">
        <f t="shared" si="187"/>
        <v>2147.0132950000025</v>
      </c>
      <c r="Z92" s="38">
        <f t="shared" si="187"/>
        <v>0</v>
      </c>
      <c r="AA92" s="38">
        <f t="shared" si="187"/>
        <v>214.70132950000027</v>
      </c>
      <c r="AB92" s="53">
        <f t="shared" si="187"/>
        <v>1932.3119655000023</v>
      </c>
    </row>
    <row r="93" spans="1:28" x14ac:dyDescent="0.25">
      <c r="D93" s="22"/>
      <c r="E93" s="22"/>
      <c r="F93" s="22"/>
      <c r="G93" s="22"/>
      <c r="H93" s="22"/>
      <c r="I93" s="22"/>
      <c r="J93" s="22"/>
      <c r="K93" s="1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13"/>
    </row>
    <row r="94" spans="1:28" x14ac:dyDescent="0.25">
      <c r="A94" s="144" t="s">
        <v>394</v>
      </c>
      <c r="B94" s="144"/>
      <c r="C94" s="144"/>
      <c r="D94" s="144"/>
      <c r="E94" s="144"/>
      <c r="F94" s="144"/>
      <c r="G94" s="144"/>
      <c r="H94" s="144"/>
      <c r="I94" s="144"/>
      <c r="J94" s="144"/>
      <c r="K94" s="144"/>
      <c r="L94" s="144"/>
      <c r="M94" s="144"/>
      <c r="N94" s="144"/>
      <c r="O94" s="144"/>
      <c r="P94" s="144"/>
      <c r="Q94" s="144"/>
      <c r="R94" s="144"/>
      <c r="S94" s="144"/>
      <c r="T94" s="144"/>
      <c r="U94" s="144"/>
      <c r="V94" s="144"/>
      <c r="W94" s="144"/>
      <c r="X94" s="144"/>
      <c r="Y94" s="144"/>
      <c r="Z94" s="144"/>
      <c r="AA94" s="144"/>
      <c r="AB94" s="144"/>
    </row>
    <row r="95" spans="1:28" x14ac:dyDescent="0.25">
      <c r="A95" s="10">
        <v>41628</v>
      </c>
      <c r="B95" t="s">
        <v>289</v>
      </c>
      <c r="C95">
        <v>15000000</v>
      </c>
      <c r="D95" s="39">
        <v>6.9999999999999994E-5</v>
      </c>
      <c r="E95" s="22">
        <f t="shared" ref="E95" si="188">C95*D95</f>
        <v>1050</v>
      </c>
      <c r="F95" s="22">
        <f t="shared" ref="F95:F97" si="189">E95*0.0275%</f>
        <v>0.28875000000000001</v>
      </c>
      <c r="G95" s="22">
        <f>E95*0.005%</f>
        <v>5.2500000000000005E-2</v>
      </c>
      <c r="H95" s="22">
        <v>15.99</v>
      </c>
      <c r="I95" s="22">
        <v>0</v>
      </c>
      <c r="J95" s="22">
        <f t="shared" ref="J95:J97" si="190">E95+F95+G95+H95</f>
        <v>1066.33125</v>
      </c>
      <c r="K95" s="12"/>
      <c r="L95" s="30">
        <v>41717</v>
      </c>
      <c r="M95" s="28">
        <v>15070144</v>
      </c>
      <c r="N95" t="s">
        <v>289</v>
      </c>
      <c r="O95">
        <v>15000000</v>
      </c>
      <c r="P95" s="39">
        <v>9.0000000000000006E-5</v>
      </c>
      <c r="Q95" s="22">
        <f t="shared" ref="Q95" si="191">O95*P95</f>
        <v>1350</v>
      </c>
      <c r="R95" s="58">
        <f t="shared" ref="R95:R97" si="192">Q95*0.0275%</f>
        <v>0.37125000000000002</v>
      </c>
      <c r="S95" s="58">
        <f>Q95*0.005%</f>
        <v>6.7500000000000004E-2</v>
      </c>
      <c r="T95" s="58">
        <v>15.99</v>
      </c>
      <c r="U95" s="58">
        <v>0</v>
      </c>
      <c r="V95" s="22">
        <v>0</v>
      </c>
      <c r="W95" s="22">
        <f>Q95-R95-S95-T95-V95</f>
        <v>1333.57125</v>
      </c>
      <c r="X95" s="22">
        <v>0</v>
      </c>
      <c r="Y95" s="22">
        <f>W95-X95-J95</f>
        <v>267.24</v>
      </c>
      <c r="Z95" s="22">
        <f>IF(Q98 &gt; 20000, ((Y95+V95)*15%)-V95, 0)</f>
        <v>0</v>
      </c>
      <c r="AA95" s="22">
        <f t="shared" ref="AA95:AA97" si="193">(Y95-Z95)*10%</f>
        <v>26.724000000000004</v>
      </c>
      <c r="AB95" s="22">
        <f t="shared" ref="AB95:AB97" si="194">Y95-Z95-AA95</f>
        <v>240.51600000000002</v>
      </c>
    </row>
    <row r="96" spans="1:28" x14ac:dyDescent="0.25">
      <c r="A96" s="29">
        <v>41668</v>
      </c>
      <c r="B96" s="28" t="s">
        <v>296</v>
      </c>
      <c r="C96" s="28">
        <v>600</v>
      </c>
      <c r="D96" s="32">
        <v>5.2</v>
      </c>
      <c r="E96" s="32">
        <f t="shared" ref="E96" si="195">C96*D96</f>
        <v>3120</v>
      </c>
      <c r="F96" s="32">
        <f t="shared" si="189"/>
        <v>0.8580000000000001</v>
      </c>
      <c r="G96" s="32">
        <f>E96*0.005%</f>
        <v>0.156</v>
      </c>
      <c r="H96" s="32">
        <v>15.99</v>
      </c>
      <c r="I96" s="32">
        <v>0</v>
      </c>
      <c r="J96" s="32">
        <f t="shared" si="190"/>
        <v>3137.0039999999999</v>
      </c>
      <c r="K96" s="12"/>
      <c r="L96" s="10">
        <v>41718</v>
      </c>
      <c r="M96" s="28">
        <v>15133831</v>
      </c>
      <c r="N96" t="s">
        <v>296</v>
      </c>
      <c r="O96">
        <v>600</v>
      </c>
      <c r="P96" s="22">
        <v>6.05</v>
      </c>
      <c r="Q96" s="22">
        <f t="shared" ref="Q96" si="196">O96*P96</f>
        <v>3630</v>
      </c>
      <c r="R96" s="58">
        <f t="shared" si="192"/>
        <v>0.99825000000000008</v>
      </c>
      <c r="S96" s="58">
        <f>Q96*0.005%</f>
        <v>0.18150000000000002</v>
      </c>
      <c r="T96" s="58">
        <v>15.99</v>
      </c>
      <c r="U96" s="58">
        <v>0</v>
      </c>
      <c r="V96" s="22">
        <v>0</v>
      </c>
      <c r="W96" s="22">
        <f>Q96-R96-S96-T96-V96</f>
        <v>3612.83025</v>
      </c>
      <c r="X96" s="22">
        <v>0</v>
      </c>
      <c r="Y96" s="22">
        <f>W96-X96-J96</f>
        <v>475.82625000000007</v>
      </c>
      <c r="Z96" s="22">
        <f>IF(Q98 &gt; 20000, ((Y96+V96)*15%)-V96, 0)</f>
        <v>0</v>
      </c>
      <c r="AA96" s="22">
        <f t="shared" si="193"/>
        <v>47.582625000000007</v>
      </c>
      <c r="AB96" s="22">
        <f t="shared" si="194"/>
        <v>428.24362500000007</v>
      </c>
    </row>
    <row r="97" spans="1:28" x14ac:dyDescent="0.25">
      <c r="A97" s="29">
        <v>41669</v>
      </c>
      <c r="B97" s="28" t="s">
        <v>290</v>
      </c>
      <c r="C97" s="28">
        <v>4200</v>
      </c>
      <c r="D97" s="32">
        <v>0.95</v>
      </c>
      <c r="E97" s="32">
        <f t="shared" ref="E97" si="197">C97*D97</f>
        <v>3990</v>
      </c>
      <c r="F97" s="32">
        <f t="shared" si="189"/>
        <v>1.0972500000000001</v>
      </c>
      <c r="G97" s="32">
        <f>E97*0.005%</f>
        <v>0.19950000000000001</v>
      </c>
      <c r="H97" s="32">
        <v>15.99</v>
      </c>
      <c r="I97" s="32">
        <v>0</v>
      </c>
      <c r="J97" s="32">
        <f t="shared" si="190"/>
        <v>4007.2867499999998</v>
      </c>
      <c r="K97" s="12"/>
      <c r="L97" s="10">
        <v>41726</v>
      </c>
      <c r="M97" s="28">
        <v>15135613</v>
      </c>
      <c r="N97" t="s">
        <v>290</v>
      </c>
      <c r="O97">
        <v>4200</v>
      </c>
      <c r="P97" s="22">
        <v>1.05</v>
      </c>
      <c r="Q97" s="22">
        <f t="shared" ref="Q97" si="198">O97*P97</f>
        <v>4410</v>
      </c>
      <c r="R97" s="58">
        <f t="shared" si="192"/>
        <v>1.21275</v>
      </c>
      <c r="S97" s="58">
        <f>Q97*0.005%</f>
        <v>0.2205</v>
      </c>
      <c r="T97" s="58">
        <v>15.99</v>
      </c>
      <c r="U97" s="58">
        <v>0</v>
      </c>
      <c r="V97" s="22">
        <v>0</v>
      </c>
      <c r="W97" s="22">
        <f>Q97-R97-S97-T97-V97</f>
        <v>4392.5767500000002</v>
      </c>
      <c r="X97" s="22">
        <v>0</v>
      </c>
      <c r="Y97" s="22">
        <f>W97-X97-J97</f>
        <v>385.29000000000042</v>
      </c>
      <c r="Z97" s="22">
        <f>IF(Q98 &gt; 20000, ((Y97+V97)*15%)-V97, 0)</f>
        <v>0</v>
      </c>
      <c r="AA97" s="22">
        <f t="shared" si="193"/>
        <v>38.529000000000046</v>
      </c>
      <c r="AB97" s="22">
        <f t="shared" si="194"/>
        <v>346.76100000000037</v>
      </c>
    </row>
    <row r="98" spans="1:28" x14ac:dyDescent="0.25">
      <c r="D98" s="22"/>
      <c r="E98" s="22">
        <f>SUM(E95:E97)</f>
        <v>8160</v>
      </c>
      <c r="F98" s="22">
        <f>SUM(F95:F97)</f>
        <v>2.2440000000000002</v>
      </c>
      <c r="G98" s="22">
        <f>SUM(G95:G97)</f>
        <v>0.40800000000000003</v>
      </c>
      <c r="H98" s="22">
        <f>SUM(H95:H97)</f>
        <v>47.97</v>
      </c>
      <c r="I98" s="22">
        <v>0</v>
      </c>
      <c r="J98" s="22">
        <f>SUM(J95:J97)</f>
        <v>8210.6219999999994</v>
      </c>
      <c r="K98" s="12"/>
      <c r="P98" s="22"/>
      <c r="Q98" s="22">
        <f>SUM(Q95:Q97)</f>
        <v>9390</v>
      </c>
      <c r="R98" s="22">
        <f>SUM(R95:R97)</f>
        <v>2.5822500000000002</v>
      </c>
      <c r="S98" s="22">
        <f>SUM(S95:S97)</f>
        <v>0.46950000000000003</v>
      </c>
      <c r="T98" s="22">
        <f>SUM(T95:T97)</f>
        <v>47.97</v>
      </c>
      <c r="U98" s="22">
        <v>0</v>
      </c>
      <c r="V98" s="22">
        <f t="shared" ref="V98:AB98" si="199">SUM(V95:V97)</f>
        <v>0</v>
      </c>
      <c r="W98" s="22">
        <f t="shared" si="199"/>
        <v>9338.9782500000001</v>
      </c>
      <c r="X98" s="22">
        <f>SUM(X95:X97)</f>
        <v>0</v>
      </c>
      <c r="Y98" s="22">
        <f t="shared" si="199"/>
        <v>1128.3562500000005</v>
      </c>
      <c r="Z98" s="38">
        <f t="shared" si="199"/>
        <v>0</v>
      </c>
      <c r="AA98" s="38">
        <f t="shared" si="199"/>
        <v>112.83562500000005</v>
      </c>
      <c r="AB98" s="53">
        <f t="shared" si="199"/>
        <v>1015.5206250000006</v>
      </c>
    </row>
    <row r="99" spans="1:28" x14ac:dyDescent="0.25">
      <c r="D99" s="22"/>
      <c r="E99" s="22"/>
      <c r="F99" s="22"/>
      <c r="G99" s="22"/>
      <c r="H99" s="22"/>
      <c r="I99" s="22"/>
      <c r="J99" s="22"/>
      <c r="K99" s="1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13"/>
    </row>
    <row r="100" spans="1:28" x14ac:dyDescent="0.25">
      <c r="A100" s="144" t="s">
        <v>395</v>
      </c>
      <c r="B100" s="144"/>
      <c r="C100" s="144"/>
      <c r="D100" s="144"/>
      <c r="E100" s="144"/>
      <c r="F100" s="144"/>
      <c r="G100" s="144"/>
      <c r="H100" s="144"/>
      <c r="I100" s="144"/>
      <c r="J100" s="144"/>
      <c r="K100" s="144"/>
      <c r="L100" s="144"/>
      <c r="M100" s="144"/>
      <c r="N100" s="144"/>
      <c r="O100" s="144"/>
      <c r="P100" s="144"/>
      <c r="Q100" s="144"/>
      <c r="R100" s="144"/>
      <c r="S100" s="144"/>
      <c r="T100" s="144"/>
      <c r="U100" s="144"/>
      <c r="V100" s="144"/>
      <c r="W100" s="144"/>
      <c r="X100" s="144"/>
      <c r="Y100" s="144"/>
      <c r="Z100" s="144"/>
      <c r="AA100" s="144"/>
      <c r="AB100" s="144"/>
    </row>
    <row r="101" spans="1:28" x14ac:dyDescent="0.25">
      <c r="A101" s="29">
        <v>41654</v>
      </c>
      <c r="B101" s="28" t="s">
        <v>291</v>
      </c>
      <c r="C101" s="28">
        <v>30000</v>
      </c>
      <c r="D101" s="32">
        <v>0.13</v>
      </c>
      <c r="E101" s="32">
        <f t="shared" ref="E101" si="200">C101*D101</f>
        <v>3900</v>
      </c>
      <c r="F101" s="32">
        <f t="shared" ref="F101" si="201">E101*0.0275%</f>
        <v>1.0725</v>
      </c>
      <c r="G101" s="32">
        <f>E101*0.005%</f>
        <v>0.19500000000000001</v>
      </c>
      <c r="H101" s="32">
        <v>15.99</v>
      </c>
      <c r="I101" s="32">
        <v>0</v>
      </c>
      <c r="J101" s="32">
        <f t="shared" ref="J101" si="202">E101+F101+G101+H101</f>
        <v>3917.2575000000002</v>
      </c>
      <c r="K101" s="12"/>
      <c r="L101" s="10">
        <v>41758</v>
      </c>
      <c r="M101" s="28">
        <v>15273303</v>
      </c>
      <c r="N101" t="s">
        <v>291</v>
      </c>
      <c r="O101">
        <v>30000</v>
      </c>
      <c r="P101" s="22">
        <v>0.13</v>
      </c>
      <c r="Q101" s="22">
        <f t="shared" ref="Q101" si="203">O101*P101</f>
        <v>3900</v>
      </c>
      <c r="R101" s="58">
        <f t="shared" ref="R101" si="204">Q101*0.0275%</f>
        <v>1.0725</v>
      </c>
      <c r="S101" s="58">
        <f>Q101*0.005%</f>
        <v>0.19500000000000001</v>
      </c>
      <c r="T101" s="58">
        <v>15.99</v>
      </c>
      <c r="U101" s="58">
        <v>0</v>
      </c>
      <c r="V101" s="22">
        <v>0</v>
      </c>
      <c r="W101" s="22">
        <f>Q101-R101-S101-T101-V101</f>
        <v>3882.7424999999998</v>
      </c>
      <c r="X101" s="22">
        <v>0</v>
      </c>
      <c r="Y101" s="22">
        <f>W101-X101-J101</f>
        <v>-34.515000000000327</v>
      </c>
      <c r="Z101" s="22">
        <f>((Y101+V101)*15%)-V101</f>
        <v>-5.1772500000000488</v>
      </c>
      <c r="AA101" s="22">
        <f t="shared" ref="AA101" si="205">(Y101-Z101)*10%</f>
        <v>-2.9337750000000278</v>
      </c>
      <c r="AB101" s="22">
        <f t="shared" ref="AB101" si="206">Y101-Z101-AA101</f>
        <v>-26.403975000000248</v>
      </c>
    </row>
    <row r="102" spans="1:28" x14ac:dyDescent="0.25">
      <c r="D102" s="22"/>
      <c r="E102" s="22">
        <f>SUM(E101)</f>
        <v>3900</v>
      </c>
      <c r="F102" s="22">
        <f>SUM(F101)</f>
        <v>1.0725</v>
      </c>
      <c r="G102" s="22">
        <f>SUM(G101)</f>
        <v>0.19500000000000001</v>
      </c>
      <c r="H102" s="22">
        <f>SUM(H101)</f>
        <v>15.99</v>
      </c>
      <c r="I102" s="22">
        <v>0</v>
      </c>
      <c r="J102" s="22">
        <f>SUM(J101)</f>
        <v>3917.2575000000002</v>
      </c>
      <c r="K102" s="12"/>
      <c r="P102" s="22"/>
      <c r="Q102" s="22">
        <f>SUM(Q101)</f>
        <v>3900</v>
      </c>
      <c r="R102" s="22">
        <f>SUM(R101)</f>
        <v>1.0725</v>
      </c>
      <c r="S102" s="22">
        <f>SUM(S101)</f>
        <v>0.19500000000000001</v>
      </c>
      <c r="T102" s="22">
        <f>SUM(T101)</f>
        <v>15.99</v>
      </c>
      <c r="U102" s="22">
        <v>0</v>
      </c>
      <c r="V102" s="22">
        <f>SUM(V101)</f>
        <v>0</v>
      </c>
      <c r="W102" s="22">
        <f>SUM(W101:W101)</f>
        <v>3882.7424999999998</v>
      </c>
      <c r="X102" s="22">
        <f>SUM(X101)</f>
        <v>0</v>
      </c>
      <c r="Y102" s="22">
        <f>SUM(Y101:Y101)</f>
        <v>-34.515000000000327</v>
      </c>
      <c r="Z102" s="38">
        <f>SUM(Z101:Z101)</f>
        <v>-5.1772500000000488</v>
      </c>
      <c r="AA102" s="38">
        <f>SUM(AA101:AA101)</f>
        <v>-2.9337750000000278</v>
      </c>
      <c r="AB102" s="52">
        <f>SUM(AB101:AB101)</f>
        <v>-26.403975000000248</v>
      </c>
    </row>
    <row r="103" spans="1:28" x14ac:dyDescent="0.25">
      <c r="D103" s="22"/>
      <c r="E103" s="22"/>
      <c r="F103" s="22"/>
      <c r="G103" s="22"/>
      <c r="H103" s="22"/>
      <c r="I103" s="22"/>
      <c r="J103" s="22"/>
      <c r="K103" s="1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13"/>
    </row>
    <row r="104" spans="1:28" x14ac:dyDescent="0.25">
      <c r="A104" s="144" t="s">
        <v>396</v>
      </c>
      <c r="B104" s="144"/>
      <c r="C104" s="144"/>
      <c r="D104" s="144"/>
      <c r="E104" s="144"/>
      <c r="F104" s="144"/>
      <c r="G104" s="144"/>
      <c r="H104" s="144"/>
      <c r="I104" s="144"/>
      <c r="J104" s="144"/>
      <c r="K104" s="144"/>
      <c r="L104" s="144"/>
      <c r="M104" s="144"/>
      <c r="N104" s="144"/>
      <c r="O104" s="144"/>
      <c r="P104" s="144"/>
      <c r="Q104" s="144"/>
      <c r="R104" s="144"/>
      <c r="S104" s="144"/>
      <c r="T104" s="144"/>
      <c r="U104" s="144"/>
      <c r="V104" s="144"/>
      <c r="W104" s="144"/>
      <c r="X104" s="144"/>
      <c r="Y104" s="144"/>
      <c r="Z104" s="144"/>
      <c r="AA104" s="144"/>
      <c r="AB104" s="144"/>
    </row>
    <row r="105" spans="1:28" x14ac:dyDescent="0.25">
      <c r="A105" s="29">
        <v>41669</v>
      </c>
      <c r="B105" s="28" t="s">
        <v>268</v>
      </c>
      <c r="C105" s="28">
        <v>300</v>
      </c>
      <c r="D105" s="32">
        <v>14.7</v>
      </c>
      <c r="E105" s="32">
        <f t="shared" ref="E105" si="207">C105*D105</f>
        <v>4410</v>
      </c>
      <c r="F105" s="32">
        <f t="shared" ref="F105" si="208">E105*0.0275%</f>
        <v>1.21275</v>
      </c>
      <c r="G105" s="32">
        <f>E105*0.005%</f>
        <v>0.2205</v>
      </c>
      <c r="H105" s="32">
        <v>15.99</v>
      </c>
      <c r="I105" s="32">
        <v>0</v>
      </c>
      <c r="J105" s="32">
        <f t="shared" ref="J105" si="209">E105+F105+G105+H105</f>
        <v>4427.4232499999998</v>
      </c>
      <c r="K105" s="12"/>
      <c r="L105" s="10">
        <v>41761</v>
      </c>
      <c r="M105" s="28">
        <v>15291158</v>
      </c>
      <c r="N105" t="s">
        <v>268</v>
      </c>
      <c r="O105">
        <v>300</v>
      </c>
      <c r="P105" s="22">
        <v>17.7</v>
      </c>
      <c r="Q105" s="22">
        <f t="shared" ref="Q105" si="210">O105*P105</f>
        <v>5310</v>
      </c>
      <c r="R105" s="58">
        <f t="shared" ref="R105" si="211">Q105*0.0275%</f>
        <v>1.46025</v>
      </c>
      <c r="S105" s="58">
        <f>Q105*0.005%</f>
        <v>0.26550000000000001</v>
      </c>
      <c r="T105" s="58">
        <v>15.99</v>
      </c>
      <c r="U105" s="58">
        <v>0</v>
      </c>
      <c r="V105" s="22">
        <v>0</v>
      </c>
      <c r="W105" s="22">
        <f>Q105-R105-S105-T105-V105</f>
        <v>5292.2842499999997</v>
      </c>
      <c r="X105" s="22">
        <v>0</v>
      </c>
      <c r="Y105" s="22">
        <f>W105-X105-J105</f>
        <v>864.86099999999988</v>
      </c>
      <c r="Z105" s="22">
        <f>IF(Q106 &gt; 20000, ((Y105+V105)*15%)-V105, 0)</f>
        <v>0</v>
      </c>
      <c r="AA105" s="22">
        <f t="shared" ref="AA105" si="212">(Y105-Z105)*10%</f>
        <v>86.486099999999993</v>
      </c>
      <c r="AB105" s="22">
        <f t="shared" ref="AB105" si="213">Y105-Z105-AA105</f>
        <v>778.37489999999991</v>
      </c>
    </row>
    <row r="106" spans="1:28" x14ac:dyDescent="0.25">
      <c r="A106" s="22"/>
      <c r="B106" s="22"/>
      <c r="C106" s="22"/>
      <c r="D106" s="22"/>
      <c r="E106" s="22">
        <f>SUM(E105)</f>
        <v>4410</v>
      </c>
      <c r="F106" s="22">
        <f>SUM(F105)</f>
        <v>1.21275</v>
      </c>
      <c r="G106" s="22">
        <f>SUM(G105)</f>
        <v>0.2205</v>
      </c>
      <c r="H106" s="22">
        <f>SUM(H105)</f>
        <v>15.99</v>
      </c>
      <c r="I106" s="22">
        <v>0</v>
      </c>
      <c r="J106" s="22">
        <f>SUM(J105)</f>
        <v>4427.4232499999998</v>
      </c>
      <c r="K106" s="12"/>
      <c r="L106" s="10"/>
      <c r="M106" s="22"/>
      <c r="P106" s="22"/>
      <c r="Q106" s="22">
        <f>SUM(Q105)</f>
        <v>5310</v>
      </c>
      <c r="R106" s="22">
        <f>SUM(R105)</f>
        <v>1.46025</v>
      </c>
      <c r="S106" s="22">
        <f>SUM(S105)</f>
        <v>0.26550000000000001</v>
      </c>
      <c r="T106" s="22">
        <f>SUM(T105)</f>
        <v>15.99</v>
      </c>
      <c r="U106" s="22">
        <v>0</v>
      </c>
      <c r="V106" s="22">
        <f>SUM(V105)</f>
        <v>0</v>
      </c>
      <c r="W106" s="22">
        <f>SUM(W105:W105)</f>
        <v>5292.2842499999997</v>
      </c>
      <c r="X106" s="22">
        <f>SUM(X105)</f>
        <v>0</v>
      </c>
      <c r="Y106" s="22">
        <f>SUM(Y105:Y105)</f>
        <v>864.86099999999988</v>
      </c>
      <c r="Z106" s="38">
        <f>SUM(Z105:Z105)</f>
        <v>0</v>
      </c>
      <c r="AA106" s="38">
        <f>SUM(AA105:AA105)</f>
        <v>86.486099999999993</v>
      </c>
      <c r="AB106" s="52">
        <f>SUM(AB105:AB105)</f>
        <v>778.37489999999991</v>
      </c>
    </row>
    <row r="107" spans="1:28" x14ac:dyDescent="0.25">
      <c r="D107" s="22"/>
      <c r="E107" s="22"/>
      <c r="F107" s="22"/>
      <c r="G107" s="22"/>
      <c r="H107" s="22"/>
      <c r="I107" s="22"/>
      <c r="J107" s="22"/>
      <c r="K107" s="1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13"/>
    </row>
    <row r="108" spans="1:28" x14ac:dyDescent="0.25">
      <c r="A108" s="144" t="s">
        <v>397</v>
      </c>
      <c r="B108" s="144"/>
      <c r="C108" s="144"/>
      <c r="D108" s="144"/>
      <c r="E108" s="144"/>
      <c r="F108" s="144"/>
      <c r="G108" s="144"/>
      <c r="H108" s="144"/>
      <c r="I108" s="144"/>
      <c r="J108" s="144"/>
      <c r="K108" s="144"/>
      <c r="L108" s="144"/>
      <c r="M108" s="144"/>
      <c r="N108" s="144"/>
      <c r="O108" s="144"/>
      <c r="P108" s="144"/>
      <c r="Q108" s="144"/>
      <c r="R108" s="144"/>
      <c r="S108" s="144"/>
      <c r="T108" s="144"/>
      <c r="U108" s="144"/>
      <c r="V108" s="144"/>
      <c r="W108" s="144"/>
      <c r="X108" s="144"/>
      <c r="Y108" s="144"/>
      <c r="Z108" s="144"/>
      <c r="AA108" s="144"/>
      <c r="AB108" s="144"/>
    </row>
    <row r="109" spans="1:28" x14ac:dyDescent="0.25">
      <c r="A109" s="10">
        <v>41773</v>
      </c>
      <c r="B109" t="s">
        <v>297</v>
      </c>
      <c r="C109">
        <v>12800</v>
      </c>
      <c r="D109" s="22">
        <v>0.25</v>
      </c>
      <c r="E109" s="22">
        <f t="shared" ref="E109" si="214">C109*D109</f>
        <v>3200</v>
      </c>
      <c r="F109" s="58">
        <f t="shared" ref="F109:F111" si="215">E109*0.0275%</f>
        <v>0.88</v>
      </c>
      <c r="G109" s="58">
        <f>E109*0.005%</f>
        <v>0.16</v>
      </c>
      <c r="H109" s="58">
        <v>15.99</v>
      </c>
      <c r="I109" s="58">
        <v>0</v>
      </c>
      <c r="J109" s="22">
        <f t="shared" ref="J109" si="216">E109+F109+G109+H109</f>
        <v>3217.0299999999997</v>
      </c>
      <c r="K109" s="12"/>
      <c r="L109" s="10">
        <v>41796</v>
      </c>
      <c r="M109" s="28">
        <v>15488529</v>
      </c>
      <c r="N109" t="s">
        <v>297</v>
      </c>
      <c r="O109">
        <v>12800</v>
      </c>
      <c r="P109" s="22">
        <v>0.3</v>
      </c>
      <c r="Q109" s="22">
        <f t="shared" ref="Q109" si="217">O109*P109</f>
        <v>3840</v>
      </c>
      <c r="R109" s="58">
        <f t="shared" ref="R109:R111" si="218">Q109*0.0275%</f>
        <v>1.056</v>
      </c>
      <c r="S109" s="58">
        <f>Q109*0.005%</f>
        <v>0.192</v>
      </c>
      <c r="T109" s="58">
        <v>15.99</v>
      </c>
      <c r="U109" s="58">
        <v>0</v>
      </c>
      <c r="V109" s="22">
        <v>0</v>
      </c>
      <c r="W109" s="22">
        <f>Q109-R109-S109-T109-V109</f>
        <v>3822.7620000000002</v>
      </c>
      <c r="X109" s="22">
        <v>0</v>
      </c>
      <c r="Y109" s="22">
        <f>W109-X109-J109</f>
        <v>605.73200000000043</v>
      </c>
      <c r="Z109" s="22">
        <f>IF(Q112 &gt; 20000, ((Y109+V109)*15%)-V109, 0)</f>
        <v>0</v>
      </c>
      <c r="AA109" s="22">
        <f t="shared" ref="AA109:AA111" si="219">(Y109-Z109)*10%</f>
        <v>60.573200000000043</v>
      </c>
      <c r="AB109" s="22">
        <f t="shared" ref="AB109:AB111" si="220">Y109-Z109-AA109</f>
        <v>545.15880000000038</v>
      </c>
    </row>
    <row r="110" spans="1:28" x14ac:dyDescent="0.25">
      <c r="A110" s="10">
        <v>41768</v>
      </c>
      <c r="B110" t="s">
        <v>289</v>
      </c>
      <c r="C110">
        <v>50000000</v>
      </c>
      <c r="D110" s="39">
        <v>8.0000000000000007E-5</v>
      </c>
      <c r="E110" s="22">
        <f t="shared" ref="E110" si="221">C110*D110</f>
        <v>4000.0000000000005</v>
      </c>
      <c r="F110" s="58">
        <f t="shared" si="215"/>
        <v>1.1000000000000001</v>
      </c>
      <c r="G110" s="58">
        <f>E110*0.005%</f>
        <v>0.20000000000000004</v>
      </c>
      <c r="H110" s="58">
        <v>15.99</v>
      </c>
      <c r="I110" s="58">
        <v>0</v>
      </c>
      <c r="J110" s="22">
        <f t="shared" ref="J110" si="222">E110+F110+G110+H110</f>
        <v>4017.29</v>
      </c>
      <c r="K110" s="12"/>
      <c r="L110" s="10">
        <v>41806</v>
      </c>
      <c r="M110" s="28">
        <v>15450856</v>
      </c>
      <c r="N110" t="s">
        <v>289</v>
      </c>
      <c r="O110">
        <v>50000000</v>
      </c>
      <c r="P110" s="39">
        <v>9.0000000000000006E-5</v>
      </c>
      <c r="Q110" s="22">
        <f t="shared" ref="Q110" si="223">O110*P110</f>
        <v>4500</v>
      </c>
      <c r="R110" s="58">
        <f t="shared" si="218"/>
        <v>1.2375</v>
      </c>
      <c r="S110" s="58">
        <f>Q110*0.005%</f>
        <v>0.22500000000000001</v>
      </c>
      <c r="T110" s="58">
        <v>15.99</v>
      </c>
      <c r="U110" s="58">
        <v>0</v>
      </c>
      <c r="V110" s="22">
        <v>0</v>
      </c>
      <c r="W110" s="22">
        <f>Q110-R110-S110-T110-V110</f>
        <v>4482.5474999999997</v>
      </c>
      <c r="X110" s="22">
        <v>0</v>
      </c>
      <c r="Y110" s="22">
        <f>W110-X110-J110</f>
        <v>465.25749999999971</v>
      </c>
      <c r="Z110" s="22">
        <f>IF(Q112 &gt; 20000, ((Y110+V110)*15%)-V110, 0)</f>
        <v>0</v>
      </c>
      <c r="AA110" s="22">
        <f t="shared" si="219"/>
        <v>46.525749999999974</v>
      </c>
      <c r="AB110" s="22">
        <f t="shared" si="220"/>
        <v>418.73174999999975</v>
      </c>
    </row>
    <row r="111" spans="1:28" x14ac:dyDescent="0.25">
      <c r="A111" s="29">
        <v>41660</v>
      </c>
      <c r="B111" s="28" t="s">
        <v>293</v>
      </c>
      <c r="C111" s="28">
        <v>10000</v>
      </c>
      <c r="D111" s="32">
        <v>0.3</v>
      </c>
      <c r="E111" s="32">
        <f t="shared" ref="E111" si="224">C111*D111</f>
        <v>3000</v>
      </c>
      <c r="F111" s="32">
        <f t="shared" si="215"/>
        <v>0.82500000000000007</v>
      </c>
      <c r="G111" s="32">
        <f t="shared" ref="G111" si="225">E111*0.005%</f>
        <v>0.15</v>
      </c>
      <c r="H111" s="32">
        <v>15.99</v>
      </c>
      <c r="I111" s="32">
        <v>0</v>
      </c>
      <c r="J111" s="32">
        <f t="shared" ref="J111" si="226">E111+F111+G111+H111</f>
        <v>3016.9649999999997</v>
      </c>
      <c r="K111" s="12"/>
      <c r="L111" s="10">
        <v>41814</v>
      </c>
      <c r="M111" s="28">
        <v>15133940</v>
      </c>
      <c r="N111" t="s">
        <v>293</v>
      </c>
      <c r="O111">
        <v>10000</v>
      </c>
      <c r="P111" s="22">
        <v>0.34</v>
      </c>
      <c r="Q111" s="22">
        <f t="shared" ref="Q111" si="227">O111*P111</f>
        <v>3400.0000000000005</v>
      </c>
      <c r="R111" s="58">
        <f t="shared" si="218"/>
        <v>0.93500000000000016</v>
      </c>
      <c r="S111" s="58">
        <f>Q111*0.005%</f>
        <v>0.17000000000000004</v>
      </c>
      <c r="T111" s="58">
        <v>15.99</v>
      </c>
      <c r="U111" s="58">
        <v>0</v>
      </c>
      <c r="V111" s="22">
        <v>0</v>
      </c>
      <c r="W111" s="22">
        <f>Q111-R111-S111-T111-V111</f>
        <v>3382.9050000000007</v>
      </c>
      <c r="X111" s="22">
        <v>0</v>
      </c>
      <c r="Y111" s="22">
        <f>W111-X111-J111</f>
        <v>365.94000000000096</v>
      </c>
      <c r="Z111" s="22">
        <f>IF(Q112 &gt; 20000, ((Y111+V111)*15%)-V111, 0)</f>
        <v>0</v>
      </c>
      <c r="AA111" s="22">
        <f t="shared" si="219"/>
        <v>36.594000000000101</v>
      </c>
      <c r="AB111" s="22">
        <f t="shared" si="220"/>
        <v>329.34600000000086</v>
      </c>
    </row>
    <row r="112" spans="1:28" x14ac:dyDescent="0.25">
      <c r="A112" s="22"/>
      <c r="B112" s="22"/>
      <c r="C112" s="22"/>
      <c r="D112" s="22"/>
      <c r="E112" s="22">
        <f>SUM(E109:E111)</f>
        <v>10200</v>
      </c>
      <c r="F112" s="22">
        <f>SUM(F109:F111)</f>
        <v>2.8050000000000002</v>
      </c>
      <c r="G112" s="22">
        <f>SUM(G109:G111)</f>
        <v>0.51</v>
      </c>
      <c r="H112" s="22">
        <f>SUM(H109:H111)</f>
        <v>47.97</v>
      </c>
      <c r="I112" s="22">
        <v>0</v>
      </c>
      <c r="J112" s="22">
        <f>SUM(J109:J111)</f>
        <v>10251.285</v>
      </c>
      <c r="K112" s="12"/>
      <c r="L112" s="10"/>
      <c r="M112" s="22"/>
      <c r="P112" s="22"/>
      <c r="Q112" s="22">
        <f>SUM(Q109:Q111)</f>
        <v>11740</v>
      </c>
      <c r="R112" s="22">
        <f>SUM(R109:R111)</f>
        <v>3.2284999999999999</v>
      </c>
      <c r="S112" s="22">
        <f>SUM(S109:S111)</f>
        <v>0.58700000000000008</v>
      </c>
      <c r="T112" s="22">
        <f>SUM(T109:T111)</f>
        <v>47.97</v>
      </c>
      <c r="U112" s="22">
        <v>0</v>
      </c>
      <c r="V112" s="22">
        <f t="shared" ref="V112:AB112" si="228">SUM(V109:V111)</f>
        <v>0</v>
      </c>
      <c r="W112" s="22">
        <f t="shared" si="228"/>
        <v>11688.2145</v>
      </c>
      <c r="X112" s="22">
        <f>SUM(X109:X111)</f>
        <v>0</v>
      </c>
      <c r="Y112" s="22">
        <f t="shared" si="228"/>
        <v>1436.9295000000011</v>
      </c>
      <c r="Z112" s="38">
        <f t="shared" si="228"/>
        <v>0</v>
      </c>
      <c r="AA112" s="38">
        <f t="shared" si="228"/>
        <v>143.69295000000011</v>
      </c>
      <c r="AB112" s="52">
        <f t="shared" si="228"/>
        <v>1293.236550000001</v>
      </c>
    </row>
    <row r="113" spans="1:29" x14ac:dyDescent="0.25">
      <c r="D113" s="22"/>
      <c r="E113" s="22"/>
      <c r="F113" s="22"/>
      <c r="G113" s="22"/>
      <c r="H113" s="22"/>
      <c r="I113" s="22"/>
      <c r="J113" s="22"/>
      <c r="K113" s="1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13"/>
    </row>
    <row r="114" spans="1:29" x14ac:dyDescent="0.25">
      <c r="A114" s="144" t="s">
        <v>398</v>
      </c>
      <c r="B114" s="144"/>
      <c r="C114" s="144"/>
      <c r="D114" s="144"/>
      <c r="E114" s="144"/>
      <c r="F114" s="144"/>
      <c r="G114" s="144"/>
      <c r="H114" s="144"/>
      <c r="I114" s="144"/>
      <c r="J114" s="144"/>
      <c r="K114" s="144"/>
      <c r="L114" s="144"/>
      <c r="M114" s="144"/>
      <c r="N114" s="144"/>
      <c r="O114" s="144"/>
      <c r="P114" s="144"/>
      <c r="Q114" s="144"/>
      <c r="R114" s="144"/>
      <c r="S114" s="144"/>
      <c r="T114" s="144"/>
      <c r="U114" s="144"/>
      <c r="V114" s="144"/>
      <c r="W114" s="144"/>
      <c r="X114" s="144"/>
      <c r="Y114" s="144"/>
      <c r="Z114" s="144"/>
      <c r="AA114" s="144"/>
      <c r="AB114" s="144"/>
    </row>
    <row r="115" spans="1:29" x14ac:dyDescent="0.25">
      <c r="A115" s="10">
        <v>41836</v>
      </c>
      <c r="B115" t="s">
        <v>298</v>
      </c>
      <c r="C115">
        <v>3477000</v>
      </c>
      <c r="D115" s="39">
        <v>1.7000000000000001E-4</v>
      </c>
      <c r="E115" s="22">
        <f t="shared" ref="E115" si="229">C115*D115</f>
        <v>591.09</v>
      </c>
      <c r="F115" s="58">
        <f t="shared" ref="F115" si="230">E115*0.0275%</f>
        <v>0.16254975000000002</v>
      </c>
      <c r="G115" s="58">
        <f>E115*0.005%</f>
        <v>2.9554500000000004E-2</v>
      </c>
      <c r="H115" s="58">
        <v>15.99</v>
      </c>
      <c r="I115" s="58">
        <v>0</v>
      </c>
      <c r="J115" s="22">
        <f t="shared" ref="J115" si="231">E115+F115+G115+H115</f>
        <v>607.2721042500001</v>
      </c>
      <c r="K115" s="12"/>
      <c r="L115" s="29">
        <v>41837</v>
      </c>
      <c r="M115" s="28">
        <v>15664559</v>
      </c>
      <c r="N115" s="28" t="s">
        <v>298</v>
      </c>
      <c r="O115" s="28">
        <v>4000000</v>
      </c>
      <c r="P115" s="40">
        <v>2.4000000000000001E-4</v>
      </c>
      <c r="Q115" s="32">
        <f t="shared" ref="Q115" si="232">O115*P115</f>
        <v>960</v>
      </c>
      <c r="R115" s="32">
        <f t="shared" ref="R115" si="233">Q115*0.0275%</f>
        <v>0.26400000000000001</v>
      </c>
      <c r="S115" s="32">
        <f>Q115*0.005%</f>
        <v>4.8000000000000001E-2</v>
      </c>
      <c r="T115" s="32">
        <v>15.99</v>
      </c>
      <c r="U115" s="32">
        <v>0</v>
      </c>
      <c r="V115" s="22">
        <v>0</v>
      </c>
      <c r="W115" s="22">
        <f>Q115-R115-S115-T115-V115</f>
        <v>943.69799999999998</v>
      </c>
      <c r="X115" s="22">
        <v>0</v>
      </c>
      <c r="Y115" s="22">
        <f>W115-X115-J115</f>
        <v>336.42589574999988</v>
      </c>
      <c r="Z115" s="22">
        <f>IF(Q116 &gt; 20000, ((Y115+V115)*15%)-V115, 0)</f>
        <v>0</v>
      </c>
      <c r="AA115" s="22">
        <f t="shared" ref="AA115" si="234">(Y115-Z115)*10%</f>
        <v>33.642589574999988</v>
      </c>
      <c r="AB115" s="22">
        <f t="shared" ref="AB115" si="235">Y115-Z115-AA115</f>
        <v>302.78330617499989</v>
      </c>
    </row>
    <row r="116" spans="1:29" x14ac:dyDescent="0.25">
      <c r="A116" s="10"/>
      <c r="D116" s="39"/>
      <c r="E116" s="22">
        <f>SUM(E115)</f>
        <v>591.09</v>
      </c>
      <c r="F116" s="22">
        <f>SUM(F115)</f>
        <v>0.16254975000000002</v>
      </c>
      <c r="G116" s="22">
        <f>SUM(G115)</f>
        <v>2.9554500000000004E-2</v>
      </c>
      <c r="H116" s="22">
        <f>SUM(H115)</f>
        <v>15.99</v>
      </c>
      <c r="I116" s="22">
        <v>0</v>
      </c>
      <c r="J116" s="22">
        <f>SUM(J115)</f>
        <v>607.2721042500001</v>
      </c>
      <c r="K116" s="12"/>
      <c r="L116" s="22"/>
      <c r="M116" s="22"/>
      <c r="N116" s="22"/>
      <c r="O116" s="22"/>
      <c r="P116" s="22"/>
      <c r="Q116" s="22">
        <f>SUM(Q115)</f>
        <v>960</v>
      </c>
      <c r="R116" s="22">
        <f>SUM(R115)</f>
        <v>0.26400000000000001</v>
      </c>
      <c r="S116" s="22">
        <f>SUM(S115)</f>
        <v>4.8000000000000001E-2</v>
      </c>
      <c r="T116" s="22">
        <f>SUM(T115)</f>
        <v>15.99</v>
      </c>
      <c r="U116" s="22">
        <v>0</v>
      </c>
      <c r="V116" s="22">
        <f>SUM(V115)</f>
        <v>0</v>
      </c>
      <c r="W116" s="22">
        <f>SUM(W115:W115)</f>
        <v>943.69799999999998</v>
      </c>
      <c r="X116" s="22">
        <f>SUM(X115)</f>
        <v>0</v>
      </c>
      <c r="Y116" s="22">
        <f>SUM(Y115:Y115)</f>
        <v>336.42589574999988</v>
      </c>
      <c r="Z116" s="38">
        <f>SUM(Z115:Z115)</f>
        <v>0</v>
      </c>
      <c r="AA116" s="38">
        <f>SUM(AA115:AA115)</f>
        <v>33.642589574999988</v>
      </c>
      <c r="AB116" s="52">
        <f>SUM(AB115:AB115)</f>
        <v>302.78330617499989</v>
      </c>
    </row>
    <row r="117" spans="1:29" x14ac:dyDescent="0.25">
      <c r="D117" s="22"/>
      <c r="E117" s="22"/>
      <c r="F117" s="22"/>
      <c r="G117" s="22"/>
      <c r="H117" s="22"/>
      <c r="I117" s="22"/>
      <c r="J117" s="22"/>
      <c r="K117" s="1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13"/>
    </row>
    <row r="118" spans="1:29" x14ac:dyDescent="0.25">
      <c r="A118" s="144" t="s">
        <v>399</v>
      </c>
      <c r="B118" s="144"/>
      <c r="C118" s="144"/>
      <c r="D118" s="144"/>
      <c r="E118" s="144"/>
      <c r="F118" s="144"/>
      <c r="G118" s="144"/>
      <c r="H118" s="144"/>
      <c r="I118" s="144"/>
      <c r="J118" s="144"/>
      <c r="K118" s="144"/>
      <c r="L118" s="144"/>
      <c r="M118" s="144"/>
      <c r="N118" s="144"/>
      <c r="O118" s="144"/>
      <c r="P118" s="144"/>
      <c r="Q118" s="144"/>
      <c r="R118" s="144"/>
      <c r="S118" s="144"/>
      <c r="T118" s="144"/>
      <c r="U118" s="144"/>
      <c r="V118" s="144"/>
      <c r="W118" s="144"/>
      <c r="X118" s="144"/>
      <c r="Y118" s="144"/>
      <c r="Z118" s="144"/>
      <c r="AA118" s="144"/>
      <c r="AB118" s="144"/>
    </row>
    <row r="119" spans="1:29" x14ac:dyDescent="0.25">
      <c r="A119" s="26">
        <v>40211</v>
      </c>
      <c r="B119" t="s">
        <v>282</v>
      </c>
      <c r="C119">
        <v>500</v>
      </c>
      <c r="D119" s="22">
        <v>9.4</v>
      </c>
      <c r="E119" s="22">
        <f t="shared" ref="E119" si="236">C119*D119</f>
        <v>4700</v>
      </c>
      <c r="F119" s="57">
        <f t="shared" ref="F119" si="237">E119*0.0275%</f>
        <v>1.2925</v>
      </c>
      <c r="G119" s="57">
        <f>E119*0.007%</f>
        <v>0.32900000000000001</v>
      </c>
      <c r="H119" s="57">
        <v>15.99</v>
      </c>
      <c r="I119" s="57">
        <v>0</v>
      </c>
      <c r="J119" s="22">
        <f t="shared" ref="J119" si="238">E119+F119+G119+H119</f>
        <v>4717.6114999999991</v>
      </c>
      <c r="K119" s="12"/>
      <c r="L119" s="27">
        <v>41869</v>
      </c>
      <c r="M119" s="28">
        <v>15765836</v>
      </c>
      <c r="N119" s="28" t="s">
        <v>282</v>
      </c>
      <c r="O119" s="28">
        <v>500</v>
      </c>
      <c r="P119" s="32">
        <v>10.5</v>
      </c>
      <c r="Q119" s="32">
        <f t="shared" ref="Q119" si="239">O119*P119</f>
        <v>5250</v>
      </c>
      <c r="R119" s="32">
        <f t="shared" ref="R119" si="240">Q119*0.0275%</f>
        <v>1.4437500000000001</v>
      </c>
      <c r="S119" s="32">
        <f>Q119*0.005%</f>
        <v>0.26250000000000001</v>
      </c>
      <c r="T119" s="32">
        <v>15.99</v>
      </c>
      <c r="U119" s="32">
        <v>0</v>
      </c>
      <c r="V119" s="22">
        <v>0</v>
      </c>
      <c r="W119" s="22">
        <f>Q119-R119-S119-T119-V119</f>
        <v>5232.30375</v>
      </c>
      <c r="X119" s="22">
        <v>0</v>
      </c>
      <c r="Y119" s="22">
        <f>W119-X119-J119</f>
        <v>514.69225000000097</v>
      </c>
      <c r="Z119" s="22">
        <f>IF(Q120 &gt; 20000, ((Y119+V119)*15%)-V119, 0)</f>
        <v>0</v>
      </c>
      <c r="AA119" s="22">
        <f t="shared" ref="AA119" si="241">(Y119-Z119)*10%</f>
        <v>51.469225000000101</v>
      </c>
      <c r="AB119" s="22">
        <f t="shared" ref="AB119" si="242">Y119-Z119-AA119</f>
        <v>463.22302500000086</v>
      </c>
    </row>
    <row r="120" spans="1:29" x14ac:dyDescent="0.25">
      <c r="A120" s="26"/>
      <c r="D120" s="22"/>
      <c r="E120" s="22">
        <f>SUM(E119)</f>
        <v>4700</v>
      </c>
      <c r="F120" s="22">
        <f>SUM(F119)</f>
        <v>1.2925</v>
      </c>
      <c r="G120" s="22">
        <f>SUM(G119)</f>
        <v>0.32900000000000001</v>
      </c>
      <c r="H120" s="22">
        <f>SUM(H119)</f>
        <v>15.99</v>
      </c>
      <c r="I120" s="22">
        <v>0</v>
      </c>
      <c r="J120" s="22">
        <f>SUM(J119)</f>
        <v>4717.6114999999991</v>
      </c>
      <c r="K120" s="12"/>
      <c r="L120" s="22"/>
      <c r="M120" s="22"/>
      <c r="N120" s="22"/>
      <c r="O120" s="22"/>
      <c r="P120" s="22"/>
      <c r="Q120" s="22">
        <f>SUM(Q119)</f>
        <v>5250</v>
      </c>
      <c r="R120" s="22">
        <f>SUM(R119)</f>
        <v>1.4437500000000001</v>
      </c>
      <c r="S120" s="22">
        <f>SUM(S119)</f>
        <v>0.26250000000000001</v>
      </c>
      <c r="T120" s="22">
        <f>SUM(T119)</f>
        <v>15.99</v>
      </c>
      <c r="U120" s="22">
        <v>0</v>
      </c>
      <c r="V120" s="22">
        <f>SUM(V119)</f>
        <v>0</v>
      </c>
      <c r="W120" s="22">
        <f>SUM(W119:W119)</f>
        <v>5232.30375</v>
      </c>
      <c r="X120" s="22">
        <f>SUM(X119)</f>
        <v>0</v>
      </c>
      <c r="Y120" s="22">
        <f>SUM(Y119:Y119)</f>
        <v>514.69225000000097</v>
      </c>
      <c r="Z120" s="38">
        <f>SUM(Z119:Z119)</f>
        <v>0</v>
      </c>
      <c r="AA120" s="38">
        <f>SUM(AA119:AA119)</f>
        <v>51.469225000000101</v>
      </c>
      <c r="AB120" s="52">
        <f>SUM(AB119:AB119)</f>
        <v>463.22302500000086</v>
      </c>
    </row>
    <row r="121" spans="1:29" x14ac:dyDescent="0.25">
      <c r="D121" s="22"/>
      <c r="E121" s="22"/>
      <c r="F121" s="22"/>
      <c r="G121" s="22"/>
      <c r="H121" s="22"/>
      <c r="I121" s="22"/>
      <c r="J121" s="22"/>
      <c r="K121" s="1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13"/>
    </row>
    <row r="122" spans="1:29" x14ac:dyDescent="0.25">
      <c r="A122" s="144" t="s">
        <v>400</v>
      </c>
      <c r="B122" s="144"/>
      <c r="C122" s="144"/>
      <c r="D122" s="144"/>
      <c r="E122" s="144"/>
      <c r="F122" s="144"/>
      <c r="G122" s="144"/>
      <c r="H122" s="144"/>
      <c r="I122" s="144"/>
      <c r="J122" s="144"/>
      <c r="K122" s="144"/>
      <c r="L122" s="144"/>
      <c r="M122" s="144"/>
      <c r="N122" s="144"/>
      <c r="O122" s="144"/>
      <c r="P122" s="144"/>
      <c r="Q122" s="144"/>
      <c r="R122" s="144"/>
      <c r="S122" s="144"/>
      <c r="T122" s="144"/>
      <c r="U122" s="144"/>
      <c r="V122" s="144"/>
      <c r="W122" s="144"/>
      <c r="X122" s="144"/>
      <c r="Y122" s="144"/>
      <c r="Z122" s="144"/>
      <c r="AA122" s="144"/>
      <c r="AB122" s="144"/>
    </row>
    <row r="123" spans="1:29" x14ac:dyDescent="0.25">
      <c r="A123" s="10">
        <v>41851</v>
      </c>
      <c r="B123" t="s">
        <v>297</v>
      </c>
      <c r="C123">
        <v>13600</v>
      </c>
      <c r="D123" s="22">
        <v>0.26</v>
      </c>
      <c r="E123" s="22">
        <f t="shared" ref="E123" si="243">C123*D123</f>
        <v>3536</v>
      </c>
      <c r="F123" s="58">
        <f t="shared" ref="F123" si="244">E123*0.0275%</f>
        <v>0.97240000000000004</v>
      </c>
      <c r="G123" s="58">
        <f>E123*0.005%</f>
        <v>0.17680000000000001</v>
      </c>
      <c r="H123" s="58">
        <v>15.99</v>
      </c>
      <c r="I123" s="58">
        <v>0</v>
      </c>
      <c r="J123" s="22">
        <f t="shared" ref="J123" si="245">E123+F123+G123+H123</f>
        <v>3553.1392000000001</v>
      </c>
      <c r="K123" s="12"/>
      <c r="L123" s="10">
        <v>41943</v>
      </c>
      <c r="M123">
        <v>236409</v>
      </c>
      <c r="N123" t="s">
        <v>297</v>
      </c>
      <c r="O123">
        <v>13600</v>
      </c>
      <c r="P123" s="22">
        <v>0.3</v>
      </c>
      <c r="Q123" s="22">
        <f t="shared" ref="Q123" si="246">O123*P123</f>
        <v>4080</v>
      </c>
      <c r="R123" s="22">
        <f t="shared" ref="R123" si="247">Q123*0.0275%</f>
        <v>1.1220000000000001</v>
      </c>
      <c r="S123" s="22">
        <f>Q123*0.005%</f>
        <v>0.20400000000000001</v>
      </c>
      <c r="T123" s="22">
        <v>15.99</v>
      </c>
      <c r="U123" s="22">
        <v>0</v>
      </c>
      <c r="V123" s="22">
        <v>0</v>
      </c>
      <c r="W123" s="22">
        <f>Q123-R123-S123-T123-V123</f>
        <v>4062.6840000000002</v>
      </c>
      <c r="X123" s="22">
        <v>0</v>
      </c>
      <c r="Y123" s="22">
        <f>W123-X123-J123</f>
        <v>509.54480000000012</v>
      </c>
      <c r="Z123" s="22">
        <f>IF(Q124 &gt; 20000, ((Y123+V123)*15%)-V123, 0)</f>
        <v>0</v>
      </c>
      <c r="AA123" s="22">
        <f t="shared" ref="AA123" si="248">(Y123-Z123)*10%</f>
        <v>50.954480000000018</v>
      </c>
      <c r="AB123" s="22">
        <f t="shared" ref="AB123" si="249">Y123-Z123-AA123</f>
        <v>458.59032000000013</v>
      </c>
    </row>
    <row r="124" spans="1:29" x14ac:dyDescent="0.25">
      <c r="A124" s="10"/>
      <c r="D124" s="22"/>
      <c r="E124" s="22">
        <f>SUM(E123)</f>
        <v>3536</v>
      </c>
      <c r="F124" s="22">
        <f>SUM(F123)</f>
        <v>0.97240000000000004</v>
      </c>
      <c r="G124" s="22">
        <f>SUM(G123)</f>
        <v>0.17680000000000001</v>
      </c>
      <c r="H124" s="22">
        <f>SUM(H123)</f>
        <v>15.99</v>
      </c>
      <c r="I124" s="22">
        <v>0</v>
      </c>
      <c r="J124" s="22">
        <f>SUM(J123)</f>
        <v>3553.1392000000001</v>
      </c>
      <c r="K124" s="12"/>
      <c r="L124" s="10"/>
      <c r="P124" s="22"/>
      <c r="Q124" s="22">
        <f>SUM(Q123)</f>
        <v>4080</v>
      </c>
      <c r="R124" s="22">
        <f>SUM(R123)</f>
        <v>1.1220000000000001</v>
      </c>
      <c r="S124" s="22">
        <f>SUM(S123)</f>
        <v>0.20400000000000001</v>
      </c>
      <c r="T124" s="22">
        <f>SUM(T123)</f>
        <v>15.99</v>
      </c>
      <c r="U124" s="22">
        <v>0</v>
      </c>
      <c r="V124" s="22">
        <f>SUM(V123)</f>
        <v>0</v>
      </c>
      <c r="W124" s="22">
        <f>SUM(W123:W123)</f>
        <v>4062.6840000000002</v>
      </c>
      <c r="X124" s="22">
        <f>SUM(X123)</f>
        <v>0</v>
      </c>
      <c r="Y124" s="22">
        <f>SUM(Y123:Y123)</f>
        <v>509.54480000000012</v>
      </c>
      <c r="Z124" s="38">
        <f>SUM(Z123:Z123)</f>
        <v>0</v>
      </c>
      <c r="AA124" s="38">
        <f>SUM(AA123:AA123)</f>
        <v>50.954480000000018</v>
      </c>
      <c r="AB124" s="52">
        <f>SUM(AB123:AB123)</f>
        <v>458.59032000000013</v>
      </c>
    </row>
    <row r="125" spans="1:29" x14ac:dyDescent="0.25">
      <c r="D125" s="22"/>
      <c r="E125" s="22"/>
      <c r="F125" s="22"/>
      <c r="G125" s="22"/>
      <c r="H125" s="22"/>
      <c r="I125" s="22"/>
      <c r="J125" s="22"/>
      <c r="K125" s="1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13"/>
    </row>
    <row r="126" spans="1:29" x14ac:dyDescent="0.25">
      <c r="A126" s="144" t="s">
        <v>401</v>
      </c>
      <c r="B126" s="144"/>
      <c r="C126" s="144"/>
      <c r="D126" s="144"/>
      <c r="E126" s="144"/>
      <c r="F126" s="144"/>
      <c r="G126" s="144"/>
      <c r="H126" s="144"/>
      <c r="I126" s="144"/>
      <c r="J126" s="144"/>
      <c r="K126" s="144"/>
      <c r="L126" s="144"/>
      <c r="M126" s="144"/>
      <c r="N126" s="144"/>
      <c r="O126" s="144"/>
      <c r="P126" s="144"/>
      <c r="Q126" s="144"/>
      <c r="R126" s="144"/>
      <c r="S126" s="144"/>
      <c r="T126" s="144"/>
      <c r="U126" s="144"/>
      <c r="V126" s="144"/>
      <c r="W126" s="144"/>
      <c r="X126" s="144"/>
      <c r="Y126" s="144"/>
      <c r="Z126" s="144"/>
      <c r="AA126" s="144"/>
      <c r="AB126" s="144"/>
    </row>
    <row r="127" spans="1:29" x14ac:dyDescent="0.25">
      <c r="A127" s="10">
        <v>41954</v>
      </c>
      <c r="B127" t="s">
        <v>298</v>
      </c>
      <c r="C127">
        <v>5540000</v>
      </c>
      <c r="D127" s="39">
        <v>1.7000000000000001E-4</v>
      </c>
      <c r="E127" s="22">
        <f t="shared" ref="E127" si="250">C127*D127</f>
        <v>941.80000000000007</v>
      </c>
      <c r="F127" s="22">
        <f t="shared" ref="F127" si="251">E127*0.0275%</f>
        <v>0.25899500000000003</v>
      </c>
      <c r="G127" s="22">
        <f>E127*0.005%</f>
        <v>4.7090000000000007E-2</v>
      </c>
      <c r="H127" s="22">
        <v>15.99</v>
      </c>
      <c r="I127" s="22">
        <v>0</v>
      </c>
      <c r="J127" s="22">
        <f t="shared" ref="J127" si="252">E127+F127+G127+H127</f>
        <v>958.09608500000013</v>
      </c>
      <c r="K127" s="12"/>
      <c r="L127" s="10">
        <v>42241</v>
      </c>
      <c r="M127">
        <v>284689</v>
      </c>
      <c r="N127" t="s">
        <v>298</v>
      </c>
      <c r="O127">
        <v>1900000</v>
      </c>
      <c r="P127" s="39">
        <v>2.4000000000000001E-4</v>
      </c>
      <c r="Q127" s="22">
        <f t="shared" ref="Q127" si="253">O127*P127</f>
        <v>456</v>
      </c>
      <c r="R127" s="22">
        <f t="shared" ref="R127:R128" si="254">Q127*0.0275%</f>
        <v>0.12540000000000001</v>
      </c>
      <c r="S127" s="22">
        <f>Q127*0.005%</f>
        <v>2.2800000000000001E-2</v>
      </c>
      <c r="T127" s="22">
        <v>9.8000000000000007</v>
      </c>
      <c r="U127" s="22">
        <v>0</v>
      </c>
      <c r="V127" s="22">
        <v>0</v>
      </c>
      <c r="W127" s="22">
        <f>Q127-R127-S127-T127-V127</f>
        <v>446.05179999999996</v>
      </c>
      <c r="X127" s="22">
        <v>0</v>
      </c>
      <c r="Y127" s="22"/>
      <c r="Z127" s="22"/>
      <c r="AA127" s="22"/>
      <c r="AB127" s="22"/>
    </row>
    <row r="128" spans="1:29" x14ac:dyDescent="0.25">
      <c r="A128" s="24"/>
      <c r="B128" s="25"/>
      <c r="C128" s="25"/>
      <c r="D128" s="25"/>
      <c r="E128" s="33"/>
      <c r="F128" s="33"/>
      <c r="G128" s="33"/>
      <c r="H128" s="33"/>
      <c r="I128" s="33"/>
      <c r="J128" s="33"/>
      <c r="K128" s="33"/>
      <c r="L128" s="10">
        <v>42242</v>
      </c>
      <c r="M128">
        <v>286196</v>
      </c>
      <c r="N128" t="s">
        <v>298</v>
      </c>
      <c r="O128">
        <v>3640000</v>
      </c>
      <c r="P128" s="39">
        <v>2.4000000000000001E-4</v>
      </c>
      <c r="Q128" s="22">
        <f t="shared" ref="Q128" si="255">O128*P128</f>
        <v>873.6</v>
      </c>
      <c r="R128" s="22">
        <f t="shared" si="254"/>
        <v>0.24024000000000001</v>
      </c>
      <c r="S128" s="22">
        <f>Q128*0.005%</f>
        <v>4.3680000000000004E-2</v>
      </c>
      <c r="T128" s="22">
        <v>0</v>
      </c>
      <c r="U128" s="22">
        <v>0</v>
      </c>
      <c r="V128" s="22">
        <v>0</v>
      </c>
      <c r="W128" s="22">
        <f>Q128-R128-S128-T128-V128</f>
        <v>873.31608000000006</v>
      </c>
      <c r="X128" s="22">
        <v>0</v>
      </c>
      <c r="Y128" s="22">
        <f>W129-X129-J127</f>
        <v>361.27179499999988</v>
      </c>
      <c r="Z128" s="22">
        <f>IF(Q129 &gt; 20000, ((Y128+V128)*15%)-V128, 0)</f>
        <v>0</v>
      </c>
      <c r="AA128" s="22">
        <f t="shared" ref="AA128" si="256">(Y128-Z128)*10%</f>
        <v>36.12717949999999</v>
      </c>
      <c r="AB128" s="22">
        <f t="shared" ref="AB128" si="257">Y128-Z128-AA128</f>
        <v>325.14461549999987</v>
      </c>
      <c r="AC128" s="22"/>
    </row>
    <row r="129" spans="1:29" x14ac:dyDescent="0.25">
      <c r="A129" s="24"/>
      <c r="B129" s="25"/>
      <c r="C129" s="25"/>
      <c r="D129" s="25"/>
      <c r="E129" s="22">
        <f>SUM(E127:E128)</f>
        <v>941.80000000000007</v>
      </c>
      <c r="F129" s="22">
        <f>SUM(F127:F128)</f>
        <v>0.25899500000000003</v>
      </c>
      <c r="G129" s="22">
        <f>SUM(G127:G128)</f>
        <v>4.7090000000000007E-2</v>
      </c>
      <c r="H129" s="22">
        <f>SUM(H127:H128)</f>
        <v>15.99</v>
      </c>
      <c r="I129" s="22">
        <v>0</v>
      </c>
      <c r="J129" s="22">
        <f>SUM(J127:J128)</f>
        <v>958.09608500000013</v>
      </c>
      <c r="K129" s="33"/>
      <c r="L129" s="10"/>
      <c r="P129" s="39"/>
      <c r="Q129" s="22">
        <f>SUM(Q127:Q128)</f>
        <v>1329.6</v>
      </c>
      <c r="R129" s="22">
        <f>SUM(R127:R128)</f>
        <v>0.36564000000000002</v>
      </c>
      <c r="S129" s="22">
        <f>SUM(S127:S128)</f>
        <v>6.6480000000000011E-2</v>
      </c>
      <c r="T129" s="22">
        <f>SUM(T127:T128)</f>
        <v>9.8000000000000007</v>
      </c>
      <c r="U129" s="22">
        <v>0</v>
      </c>
      <c r="V129" s="22">
        <f t="shared" ref="V129:AB129" si="258">SUM(V127:V128)</f>
        <v>0</v>
      </c>
      <c r="W129" s="22">
        <f t="shared" si="258"/>
        <v>1319.36788</v>
      </c>
      <c r="X129" s="22">
        <f>SUM(X127:X128)</f>
        <v>0</v>
      </c>
      <c r="Y129" s="22">
        <f t="shared" si="258"/>
        <v>361.27179499999988</v>
      </c>
      <c r="Z129" s="38">
        <f t="shared" si="258"/>
        <v>0</v>
      </c>
      <c r="AA129" s="38">
        <f t="shared" si="258"/>
        <v>36.12717949999999</v>
      </c>
      <c r="AB129" s="52">
        <f t="shared" si="258"/>
        <v>325.14461549999987</v>
      </c>
      <c r="AC129" s="22"/>
    </row>
    <row r="130" spans="1:29" x14ac:dyDescent="0.25">
      <c r="D130" s="22"/>
      <c r="E130" s="22"/>
      <c r="F130" s="22"/>
      <c r="G130" s="22"/>
      <c r="H130" s="22"/>
      <c r="I130" s="22"/>
      <c r="J130" s="22"/>
      <c r="K130" s="1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13"/>
    </row>
    <row r="131" spans="1:29" x14ac:dyDescent="0.25">
      <c r="A131" s="144" t="s">
        <v>402</v>
      </c>
      <c r="B131" s="144"/>
      <c r="C131" s="144"/>
      <c r="D131" s="144"/>
      <c r="E131" s="144"/>
      <c r="F131" s="144"/>
      <c r="G131" s="144"/>
      <c r="H131" s="144"/>
      <c r="I131" s="144"/>
      <c r="J131" s="144"/>
      <c r="K131" s="144"/>
      <c r="L131" s="144"/>
      <c r="M131" s="144"/>
      <c r="N131" s="144"/>
      <c r="O131" s="144"/>
      <c r="P131" s="144"/>
      <c r="Q131" s="144"/>
      <c r="R131" s="144"/>
      <c r="S131" s="144"/>
      <c r="T131" s="144"/>
      <c r="U131" s="144"/>
      <c r="V131" s="144"/>
      <c r="W131" s="144"/>
      <c r="X131" s="144"/>
      <c r="Y131" s="144"/>
      <c r="Z131" s="144"/>
      <c r="AA131" s="144"/>
      <c r="AB131" s="144"/>
    </row>
    <row r="132" spans="1:29" x14ac:dyDescent="0.25">
      <c r="A132" s="10">
        <v>42692</v>
      </c>
      <c r="B132" t="s">
        <v>271</v>
      </c>
      <c r="C132">
        <v>400</v>
      </c>
      <c r="D132" s="22">
        <v>25.45</v>
      </c>
      <c r="E132" s="36">
        <f>C132*D132</f>
        <v>10180</v>
      </c>
      <c r="F132" s="36">
        <f t="shared" ref="F132" si="259">E132*0.0275%</f>
        <v>2.7995000000000001</v>
      </c>
      <c r="G132" s="36">
        <f>E132*0.007%</f>
        <v>0.71260000000000012</v>
      </c>
      <c r="H132" s="36">
        <v>8.99</v>
      </c>
      <c r="I132" s="36">
        <v>0</v>
      </c>
      <c r="J132" s="22">
        <f t="shared" ref="J132" si="260">E132+F132+G132+H132</f>
        <v>10192.5021</v>
      </c>
      <c r="K132" s="12"/>
      <c r="L132" s="10">
        <v>42695</v>
      </c>
      <c r="M132">
        <v>52111</v>
      </c>
      <c r="N132" t="s">
        <v>271</v>
      </c>
      <c r="O132">
        <v>400</v>
      </c>
      <c r="P132" s="22">
        <v>28.33</v>
      </c>
      <c r="Q132" s="36">
        <f>O132*P132</f>
        <v>11332</v>
      </c>
      <c r="R132" s="36">
        <f t="shared" ref="R132" si="261">Q132*0.0275%</f>
        <v>3.1163000000000003</v>
      </c>
      <c r="S132" s="36">
        <f>Q132*0.007%</f>
        <v>0.79324000000000006</v>
      </c>
      <c r="T132" s="36">
        <v>8.99</v>
      </c>
      <c r="U132" s="36">
        <v>0</v>
      </c>
      <c r="V132" s="22">
        <v>0</v>
      </c>
      <c r="W132" s="22">
        <f>Q132-R132-S132-T132-V132</f>
        <v>11319.10046</v>
      </c>
      <c r="X132" s="22">
        <v>0</v>
      </c>
      <c r="Y132" s="22">
        <f>W132-X132-J132</f>
        <v>1126.59836</v>
      </c>
      <c r="Z132" s="22">
        <f>IF(Q133 &gt; 20000, ((Y132+V132)*15%)-V132, 0)</f>
        <v>0</v>
      </c>
      <c r="AA132" s="22">
        <f t="shared" ref="AA132" si="262">(Y132-Z132)*10%</f>
        <v>112.659836</v>
      </c>
      <c r="AB132" s="22">
        <f t="shared" ref="AB132" si="263">Y132-Z132-AA132</f>
        <v>1013.9385239999999</v>
      </c>
    </row>
    <row r="133" spans="1:29" x14ac:dyDescent="0.25">
      <c r="A133" s="10"/>
      <c r="D133" s="22"/>
      <c r="E133" s="22">
        <f>SUM(E132)</f>
        <v>10180</v>
      </c>
      <c r="F133" s="22">
        <f>SUM(F132)</f>
        <v>2.7995000000000001</v>
      </c>
      <c r="G133" s="22">
        <f>SUM(G132)</f>
        <v>0.71260000000000012</v>
      </c>
      <c r="H133" s="22">
        <f>SUM(H132)</f>
        <v>8.99</v>
      </c>
      <c r="I133" s="22">
        <v>0</v>
      </c>
      <c r="J133" s="22">
        <f>SUM(J132)</f>
        <v>10192.5021</v>
      </c>
      <c r="K133" s="12"/>
      <c r="L133" s="10"/>
      <c r="P133" s="22"/>
      <c r="Q133" s="22">
        <f t="shared" ref="Q133:X133" si="264">SUM(Q132)</f>
        <v>11332</v>
      </c>
      <c r="R133" s="22">
        <f t="shared" si="264"/>
        <v>3.1163000000000003</v>
      </c>
      <c r="S133" s="22">
        <f t="shared" si="264"/>
        <v>0.79324000000000006</v>
      </c>
      <c r="T133" s="22">
        <f t="shared" si="264"/>
        <v>8.99</v>
      </c>
      <c r="U133" s="22">
        <v>0</v>
      </c>
      <c r="V133" s="22">
        <f t="shared" si="264"/>
        <v>0</v>
      </c>
      <c r="W133" s="22">
        <f t="shared" si="264"/>
        <v>11319.10046</v>
      </c>
      <c r="X133" s="22">
        <f t="shared" si="264"/>
        <v>0</v>
      </c>
      <c r="Y133" s="22">
        <f>SUM(Y132:Y132)</f>
        <v>1126.59836</v>
      </c>
      <c r="Z133" s="38">
        <f>SUM(Z132:Z132)</f>
        <v>0</v>
      </c>
      <c r="AA133" s="38">
        <f>SUM(AA132:AA132)</f>
        <v>112.659836</v>
      </c>
      <c r="AB133" s="52">
        <f>SUM(AB132:AB132)</f>
        <v>1013.9385239999999</v>
      </c>
    </row>
    <row r="134" spans="1:29" x14ac:dyDescent="0.25">
      <c r="D134" s="22"/>
      <c r="E134" s="22"/>
      <c r="F134" s="22"/>
      <c r="G134" s="22"/>
      <c r="H134" s="22"/>
      <c r="I134" s="22"/>
      <c r="J134" s="22"/>
      <c r="K134" s="1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13"/>
    </row>
    <row r="135" spans="1:29" x14ac:dyDescent="0.25">
      <c r="A135" s="144" t="s">
        <v>403</v>
      </c>
      <c r="B135" s="144"/>
      <c r="C135" s="144"/>
      <c r="D135" s="144"/>
      <c r="E135" s="144"/>
      <c r="F135" s="144"/>
      <c r="G135" s="144"/>
      <c r="H135" s="144"/>
      <c r="I135" s="144"/>
      <c r="J135" s="144"/>
      <c r="K135" s="144"/>
      <c r="L135" s="144"/>
      <c r="M135" s="144"/>
      <c r="N135" s="144"/>
      <c r="O135" s="144"/>
      <c r="P135" s="144"/>
      <c r="Q135" s="144"/>
      <c r="R135" s="144"/>
      <c r="S135" s="144"/>
      <c r="T135" s="144"/>
      <c r="U135" s="144"/>
      <c r="V135" s="144"/>
      <c r="W135" s="144"/>
      <c r="X135" s="144"/>
      <c r="Y135" s="144"/>
      <c r="Z135" s="144"/>
      <c r="AA135" s="144"/>
      <c r="AB135" s="144"/>
    </row>
    <row r="136" spans="1:29" x14ac:dyDescent="0.25">
      <c r="A136" s="10">
        <v>42704</v>
      </c>
      <c r="B136" t="s">
        <v>277</v>
      </c>
      <c r="C136">
        <v>3000</v>
      </c>
      <c r="D136" s="22">
        <v>2.75</v>
      </c>
      <c r="E136" s="22">
        <f t="shared" ref="E136" si="265">C136*D136</f>
        <v>8250</v>
      </c>
      <c r="F136" s="22">
        <f t="shared" ref="F136" si="266">E136*0.0275%</f>
        <v>2.2687500000000003</v>
      </c>
      <c r="G136" s="22">
        <f>E136*0.005%</f>
        <v>0.41250000000000003</v>
      </c>
      <c r="H136" s="22">
        <v>8.99</v>
      </c>
      <c r="I136" s="22">
        <v>0</v>
      </c>
      <c r="J136" s="22">
        <f t="shared" ref="J136" si="267">E136+F136+G136+H136</f>
        <v>8261.6712499999994</v>
      </c>
      <c r="K136" s="12"/>
      <c r="L136" s="10">
        <v>42733</v>
      </c>
      <c r="M136">
        <v>60314</v>
      </c>
      <c r="N136" t="s">
        <v>277</v>
      </c>
      <c r="O136">
        <v>3000</v>
      </c>
      <c r="P136" s="22">
        <v>2.86</v>
      </c>
      <c r="Q136" s="36">
        <f>O136*P136</f>
        <v>8580</v>
      </c>
      <c r="R136" s="36">
        <f t="shared" ref="R136" si="268">Q136*0.0275%</f>
        <v>2.3595000000000002</v>
      </c>
      <c r="S136" s="36">
        <f>Q136*0.005%</f>
        <v>0.42900000000000005</v>
      </c>
      <c r="T136" s="36">
        <v>8.99</v>
      </c>
      <c r="U136" s="36">
        <v>0</v>
      </c>
      <c r="V136" s="22">
        <v>0</v>
      </c>
      <c r="W136" s="22">
        <f>Q136-R136-S136-T136-V136</f>
        <v>8568.2214999999997</v>
      </c>
      <c r="X136" s="22">
        <v>0</v>
      </c>
      <c r="Y136" s="22">
        <f>W136-X136-J136</f>
        <v>306.55025000000023</v>
      </c>
      <c r="Z136" s="22">
        <f>IF(Q137 &gt; 20000, ((Y136+V136)*15%)-V136, 0)</f>
        <v>0</v>
      </c>
      <c r="AA136" s="22">
        <f>(Y136-Z136)*10%</f>
        <v>30.655025000000023</v>
      </c>
      <c r="AB136" s="22">
        <f>Y136-Z136-AA136</f>
        <v>275.89522500000021</v>
      </c>
    </row>
    <row r="137" spans="1:29" x14ac:dyDescent="0.25">
      <c r="A137" s="10"/>
      <c r="D137" s="22"/>
      <c r="E137" s="22">
        <f>SUM(E136)</f>
        <v>8250</v>
      </c>
      <c r="F137" s="22">
        <f>SUM(F136)</f>
        <v>2.2687500000000003</v>
      </c>
      <c r="G137" s="22">
        <f>SUM(G136)</f>
        <v>0.41250000000000003</v>
      </c>
      <c r="H137" s="22">
        <f>SUM(H136)</f>
        <v>8.99</v>
      </c>
      <c r="I137" s="22">
        <v>0</v>
      </c>
      <c r="J137" s="22">
        <f>SUM(J136)</f>
        <v>8261.6712499999994</v>
      </c>
      <c r="K137" s="12"/>
      <c r="L137" s="10"/>
      <c r="P137" s="22"/>
      <c r="Q137" s="22">
        <f t="shared" ref="Q137:X137" si="269">SUM(Q136)</f>
        <v>8580</v>
      </c>
      <c r="R137" s="22">
        <f t="shared" si="269"/>
        <v>2.3595000000000002</v>
      </c>
      <c r="S137" s="22">
        <f t="shared" si="269"/>
        <v>0.42900000000000005</v>
      </c>
      <c r="T137" s="22">
        <f t="shared" si="269"/>
        <v>8.99</v>
      </c>
      <c r="U137" s="22">
        <v>0</v>
      </c>
      <c r="V137" s="22">
        <f t="shared" si="269"/>
        <v>0</v>
      </c>
      <c r="W137" s="22">
        <f t="shared" si="269"/>
        <v>8568.2214999999997</v>
      </c>
      <c r="X137" s="22">
        <f t="shared" si="269"/>
        <v>0</v>
      </c>
      <c r="Y137" s="22">
        <f>SUM(Y136:Y136)</f>
        <v>306.55025000000023</v>
      </c>
      <c r="Z137" s="38">
        <f>SUM(Z136:Z136)</f>
        <v>0</v>
      </c>
      <c r="AA137" s="38">
        <f>SUM(AA136:AA136)</f>
        <v>30.655025000000023</v>
      </c>
      <c r="AB137" s="52">
        <f>SUM(AB136:AB136)</f>
        <v>275.89522500000021</v>
      </c>
    </row>
    <row r="138" spans="1:29" x14ac:dyDescent="0.25">
      <c r="D138" s="22"/>
      <c r="E138" s="22"/>
      <c r="F138" s="22"/>
      <c r="G138" s="22"/>
      <c r="H138" s="22"/>
      <c r="I138" s="22"/>
      <c r="J138" s="22"/>
      <c r="K138" s="1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13"/>
    </row>
    <row r="139" spans="1:29" x14ac:dyDescent="0.25">
      <c r="K139" s="12"/>
    </row>
    <row r="140" spans="1:29" x14ac:dyDescent="0.25">
      <c r="A140" s="144" t="s">
        <v>404</v>
      </c>
      <c r="B140" s="144"/>
      <c r="C140" s="144"/>
      <c r="D140" s="144"/>
      <c r="E140" s="144"/>
      <c r="F140" s="144"/>
      <c r="G140" s="144"/>
      <c r="H140" s="144"/>
      <c r="I140" s="144"/>
      <c r="J140" s="144"/>
      <c r="K140" s="144"/>
      <c r="L140" s="144"/>
      <c r="M140" s="144"/>
      <c r="N140" s="144"/>
      <c r="O140" s="144"/>
      <c r="P140" s="144"/>
      <c r="Q140" s="144"/>
      <c r="R140" s="144"/>
      <c r="S140" s="144"/>
      <c r="T140" s="144"/>
      <c r="U140" s="144"/>
      <c r="V140" s="144"/>
      <c r="W140" s="144"/>
      <c r="X140" s="144"/>
      <c r="Y140" s="144"/>
      <c r="Z140" s="144"/>
      <c r="AA140" s="144"/>
      <c r="AB140" s="144"/>
    </row>
    <row r="141" spans="1:29" x14ac:dyDescent="0.25">
      <c r="A141" s="10">
        <v>42696</v>
      </c>
      <c r="B141" t="s">
        <v>307</v>
      </c>
      <c r="C141">
        <v>400</v>
      </c>
      <c r="D141" s="22">
        <v>18.850000000000001</v>
      </c>
      <c r="E141" s="22">
        <f t="shared" ref="E141:E144" si="270">C141*D141</f>
        <v>7540.0000000000009</v>
      </c>
      <c r="F141" s="36">
        <f t="shared" ref="F141:F147" si="271">E141*0.0275%</f>
        <v>2.0735000000000006</v>
      </c>
      <c r="G141" s="36">
        <f t="shared" ref="G141:G147" si="272">E141*0.005%</f>
        <v>0.37700000000000006</v>
      </c>
      <c r="H141" s="22">
        <v>8.99</v>
      </c>
      <c r="I141" s="22">
        <v>0</v>
      </c>
      <c r="J141" s="22">
        <f t="shared" ref="J141:J144" si="273">E141+F141+G141+H141</f>
        <v>7551.4405000000015</v>
      </c>
      <c r="K141" s="12"/>
      <c r="L141" s="10">
        <v>42737</v>
      </c>
      <c r="M141">
        <v>60519</v>
      </c>
      <c r="N141" t="s">
        <v>307</v>
      </c>
      <c r="O141">
        <v>400</v>
      </c>
      <c r="P141" s="22">
        <v>20.9</v>
      </c>
      <c r="Q141" s="22">
        <f t="shared" ref="Q141:Q144" si="274">O141*P141</f>
        <v>8360</v>
      </c>
      <c r="R141" s="36">
        <f t="shared" ref="R141" si="275">Q141*0.0275%</f>
        <v>2.2989999999999999</v>
      </c>
      <c r="S141" s="36">
        <f>Q141*0.005%</f>
        <v>0.41800000000000004</v>
      </c>
      <c r="T141" s="22">
        <v>8.99</v>
      </c>
      <c r="U141" s="22">
        <v>0</v>
      </c>
      <c r="V141" s="22">
        <v>0</v>
      </c>
      <c r="W141" s="22">
        <f t="shared" ref="W141:W147" si="276">Q141-R141-S141-T141-V141</f>
        <v>8348.2929999999997</v>
      </c>
      <c r="X141" s="22">
        <f>ABS('(-) Taxa de Custódia'!D46*(Q141/Q148))</f>
        <v>50.127740961328762</v>
      </c>
      <c r="Y141" s="22">
        <f t="shared" ref="Y141:Y147" si="277">W141-X141-J141</f>
        <v>746.72475903866962</v>
      </c>
      <c r="Z141" s="22">
        <f>IF(Q148 &gt; 20000, ((Y141+V141)*15%)-V141, 0)</f>
        <v>112.00871385580044</v>
      </c>
      <c r="AA141" s="22">
        <f>(Y141-Z141)*10%</f>
        <v>63.471604518286917</v>
      </c>
      <c r="AB141" s="22">
        <f t="shared" ref="AB141" si="278">Y141-Z141-AA141</f>
        <v>571.24444066458227</v>
      </c>
    </row>
    <row r="142" spans="1:29" x14ac:dyDescent="0.25">
      <c r="A142" s="10">
        <v>42716</v>
      </c>
      <c r="B142" t="s">
        <v>312</v>
      </c>
      <c r="C142">
        <v>200</v>
      </c>
      <c r="D142" s="22">
        <v>3.85</v>
      </c>
      <c r="E142" s="22">
        <f t="shared" si="270"/>
        <v>770</v>
      </c>
      <c r="F142" s="36">
        <f t="shared" si="271"/>
        <v>0.21175000000000002</v>
      </c>
      <c r="G142" s="36">
        <f t="shared" si="272"/>
        <v>3.85E-2</v>
      </c>
      <c r="H142" s="22">
        <v>8.99</v>
      </c>
      <c r="I142" s="22">
        <v>0</v>
      </c>
      <c r="J142" s="22">
        <f t="shared" si="273"/>
        <v>779.24025000000006</v>
      </c>
      <c r="K142" s="12"/>
      <c r="L142" s="10">
        <v>42739</v>
      </c>
      <c r="M142">
        <v>61124</v>
      </c>
      <c r="N142" t="s">
        <v>312</v>
      </c>
      <c r="O142">
        <v>200</v>
      </c>
      <c r="P142" s="22">
        <v>4.55</v>
      </c>
      <c r="Q142" s="22">
        <f t="shared" si="274"/>
        <v>910</v>
      </c>
      <c r="R142" s="36">
        <f t="shared" ref="R142:R147" si="279">Q142*0.0275%</f>
        <v>0.25025000000000003</v>
      </c>
      <c r="S142" s="36">
        <f t="shared" ref="S142:S147" si="280">Q142*0.005%</f>
        <v>4.5499999999999999E-2</v>
      </c>
      <c r="T142" s="22">
        <v>8.99</v>
      </c>
      <c r="U142" s="22">
        <v>0</v>
      </c>
      <c r="V142" s="22">
        <v>0</v>
      </c>
      <c r="W142" s="22">
        <f t="shared" si="276"/>
        <v>900.71424999999999</v>
      </c>
      <c r="X142" s="22">
        <f>ABS('(-) Taxa de Custódia'!D46*(Q142/Q148))</f>
        <v>5.4564885496183217</v>
      </c>
      <c r="Y142" s="22">
        <f t="shared" si="277"/>
        <v>116.01751145038156</v>
      </c>
      <c r="Z142" s="22">
        <f>IF(Q148 &gt; 20000, ((Y142+V142)*15%)-V142, 0)</f>
        <v>17.402626717557233</v>
      </c>
      <c r="AA142" s="22">
        <f t="shared" ref="AA142:AA147" si="281">(Y142-Z142)*10%</f>
        <v>9.8614884732824333</v>
      </c>
      <c r="AB142" s="22">
        <f t="shared" ref="AB142:AB147" si="282">Y142-Z142-AA142</f>
        <v>88.753396259541887</v>
      </c>
    </row>
    <row r="143" spans="1:29" x14ac:dyDescent="0.25">
      <c r="A143" s="10">
        <v>42740</v>
      </c>
      <c r="B143" t="s">
        <v>313</v>
      </c>
      <c r="C143">
        <v>2500</v>
      </c>
      <c r="D143" s="22">
        <v>3.19</v>
      </c>
      <c r="E143" s="22">
        <f t="shared" si="270"/>
        <v>7975</v>
      </c>
      <c r="F143" s="36">
        <f t="shared" si="271"/>
        <v>2.1931250000000002</v>
      </c>
      <c r="G143" s="36">
        <f>E143*0.007%</f>
        <v>0.55825000000000002</v>
      </c>
      <c r="H143" s="22">
        <v>8.99</v>
      </c>
      <c r="I143" s="22">
        <v>0</v>
      </c>
      <c r="J143" s="22">
        <f t="shared" si="273"/>
        <v>7986.7413749999996</v>
      </c>
      <c r="K143" s="12"/>
      <c r="L143" s="10">
        <v>42747</v>
      </c>
      <c r="M143">
        <v>63220</v>
      </c>
      <c r="N143" t="s">
        <v>313</v>
      </c>
      <c r="O143">
        <v>2500</v>
      </c>
      <c r="P143" s="22">
        <v>3.31</v>
      </c>
      <c r="Q143" s="22">
        <f t="shared" si="274"/>
        <v>8275</v>
      </c>
      <c r="R143" s="36">
        <f t="shared" si="279"/>
        <v>2.2756250000000002</v>
      </c>
      <c r="S143" s="36">
        <f t="shared" si="280"/>
        <v>0.41375000000000001</v>
      </c>
      <c r="T143" s="22">
        <v>8.99</v>
      </c>
      <c r="U143" s="22">
        <v>0</v>
      </c>
      <c r="V143" s="22">
        <v>0</v>
      </c>
      <c r="W143" s="22">
        <f t="shared" si="276"/>
        <v>8263.3206250000003</v>
      </c>
      <c r="X143" s="22">
        <f>ABS('(-) Taxa de Custódia'!D46*(Q143/Q148))</f>
        <v>49.618068953946832</v>
      </c>
      <c r="Y143" s="22">
        <f t="shared" si="277"/>
        <v>226.96118104605375</v>
      </c>
      <c r="Z143" s="22">
        <f>IF(Q148 &gt; 20000, ((Y143+V143)*15%)-V143, 0)</f>
        <v>34.044177156908063</v>
      </c>
      <c r="AA143" s="22">
        <f t="shared" si="281"/>
        <v>19.29170038891457</v>
      </c>
      <c r="AB143" s="22">
        <f t="shared" si="282"/>
        <v>173.62530350023113</v>
      </c>
    </row>
    <row r="144" spans="1:29" x14ac:dyDescent="0.25">
      <c r="A144" s="10">
        <v>42741</v>
      </c>
      <c r="B144" t="s">
        <v>314</v>
      </c>
      <c r="C144">
        <v>7200</v>
      </c>
      <c r="D144" s="22">
        <v>1.4</v>
      </c>
      <c r="E144" s="22">
        <f t="shared" si="270"/>
        <v>10080</v>
      </c>
      <c r="F144" s="36">
        <f t="shared" si="271"/>
        <v>2.7720000000000002</v>
      </c>
      <c r="G144" s="36">
        <f t="shared" si="272"/>
        <v>0.504</v>
      </c>
      <c r="H144" s="22">
        <v>8.99</v>
      </c>
      <c r="I144" s="22">
        <v>0</v>
      </c>
      <c r="J144" s="22">
        <f t="shared" si="273"/>
        <v>10092.266000000001</v>
      </c>
      <c r="K144" s="12"/>
      <c r="L144" s="10">
        <v>42751</v>
      </c>
      <c r="M144">
        <v>64125</v>
      </c>
      <c r="N144" t="s">
        <v>314</v>
      </c>
      <c r="O144">
        <v>7200</v>
      </c>
      <c r="P144" s="22">
        <v>1.45</v>
      </c>
      <c r="Q144" s="22">
        <f t="shared" si="274"/>
        <v>10440</v>
      </c>
      <c r="R144" s="36">
        <f t="shared" si="279"/>
        <v>2.871</v>
      </c>
      <c r="S144" s="36">
        <f t="shared" si="280"/>
        <v>0.52200000000000002</v>
      </c>
      <c r="T144" s="22">
        <v>8.99</v>
      </c>
      <c r="U144" s="22">
        <v>0</v>
      </c>
      <c r="V144" s="22">
        <v>0</v>
      </c>
      <c r="W144" s="22">
        <f t="shared" si="276"/>
        <v>10427.617</v>
      </c>
      <c r="X144" s="22">
        <f>ABS('(-) Taxa de Custódia'!D46*(Q144/Q148))</f>
        <v>62.599714789027786</v>
      </c>
      <c r="Y144" s="22">
        <f t="shared" si="277"/>
        <v>272.75128521097031</v>
      </c>
      <c r="Z144" s="22">
        <f>IF(Q148 &gt; 20000, ((Y144+V144)*15%)-V144, 0)</f>
        <v>40.912692781645546</v>
      </c>
      <c r="AA144" s="22">
        <f t="shared" si="281"/>
        <v>23.183859242932478</v>
      </c>
      <c r="AB144" s="22">
        <f t="shared" si="282"/>
        <v>208.65473318639229</v>
      </c>
    </row>
    <row r="145" spans="1:32" x14ac:dyDescent="0.25">
      <c r="A145" s="10">
        <v>42696</v>
      </c>
      <c r="B145" t="s">
        <v>306</v>
      </c>
      <c r="C145">
        <v>1000</v>
      </c>
      <c r="D145" s="22">
        <v>13.97</v>
      </c>
      <c r="E145" s="22">
        <f>C145*D145</f>
        <v>13970</v>
      </c>
      <c r="F145" s="36">
        <f t="shared" si="271"/>
        <v>3.8417500000000002</v>
      </c>
      <c r="G145" s="36">
        <f t="shared" si="272"/>
        <v>0.69850000000000001</v>
      </c>
      <c r="H145" s="22">
        <v>8.99</v>
      </c>
      <c r="I145" s="22">
        <v>0</v>
      </c>
      <c r="J145" s="22">
        <f>E145+F145+G145+H145</f>
        <v>13983.53025</v>
      </c>
      <c r="K145" s="12"/>
      <c r="L145" s="10">
        <v>42752</v>
      </c>
      <c r="M145">
        <v>64581</v>
      </c>
      <c r="N145" t="s">
        <v>306</v>
      </c>
      <c r="O145">
        <v>1000</v>
      </c>
      <c r="P145" s="22">
        <v>15.2</v>
      </c>
      <c r="Q145" s="22">
        <f>O145*P145</f>
        <v>15200</v>
      </c>
      <c r="R145" s="36">
        <f t="shared" si="279"/>
        <v>4.1800000000000006</v>
      </c>
      <c r="S145" s="36">
        <f t="shared" si="280"/>
        <v>0.76</v>
      </c>
      <c r="T145" s="22">
        <v>8.99</v>
      </c>
      <c r="U145" s="22">
        <v>0</v>
      </c>
      <c r="V145" s="22">
        <v>0</v>
      </c>
      <c r="W145" s="22">
        <f t="shared" si="276"/>
        <v>15186.07</v>
      </c>
      <c r="X145" s="22">
        <f>ABS('(-) Taxa de Custódia'!D46*(Q145/Q148))</f>
        <v>91.141347202415929</v>
      </c>
      <c r="Y145" s="22">
        <f t="shared" si="277"/>
        <v>1111.3984027975839</v>
      </c>
      <c r="Z145" s="22">
        <f>IF(Q148 &gt; 20000, ((Y145+V145)*15%)-V145, 0)</f>
        <v>166.70976041963758</v>
      </c>
      <c r="AA145" s="22">
        <f t="shared" si="281"/>
        <v>94.468864237794634</v>
      </c>
      <c r="AB145" s="22">
        <f t="shared" si="282"/>
        <v>850.21977814015167</v>
      </c>
    </row>
    <row r="146" spans="1:32" x14ac:dyDescent="0.25">
      <c r="A146" s="29">
        <v>41880</v>
      </c>
      <c r="B146" s="28" t="s">
        <v>269</v>
      </c>
      <c r="C146" s="28">
        <v>200</v>
      </c>
      <c r="D146" s="32">
        <v>26</v>
      </c>
      <c r="E146" s="32">
        <f>C146*D146</f>
        <v>5200</v>
      </c>
      <c r="F146" s="84">
        <f>E146*0.0275%</f>
        <v>1.4300000000000002</v>
      </c>
      <c r="G146" s="84">
        <f>E146*0.005%</f>
        <v>0.26</v>
      </c>
      <c r="H146" s="32">
        <v>15.99</v>
      </c>
      <c r="I146" s="32">
        <v>0</v>
      </c>
      <c r="J146" s="32">
        <f>E146+F146+G146+H146</f>
        <v>5217.68</v>
      </c>
      <c r="K146" s="12"/>
      <c r="L146" s="10">
        <v>42753</v>
      </c>
      <c r="M146">
        <v>65063</v>
      </c>
      <c r="N146" t="s">
        <v>269</v>
      </c>
      <c r="O146">
        <v>200</v>
      </c>
      <c r="P146" s="22">
        <v>29.6</v>
      </c>
      <c r="Q146" s="22">
        <f>O146*P146</f>
        <v>5920</v>
      </c>
      <c r="R146" s="36">
        <f>Q146*0.0275%</f>
        <v>1.6280000000000001</v>
      </c>
      <c r="S146" s="36">
        <f>Q146*0.005%</f>
        <v>0.29600000000000004</v>
      </c>
      <c r="T146" s="22">
        <v>8.99</v>
      </c>
      <c r="U146" s="22">
        <v>0</v>
      </c>
      <c r="V146" s="22">
        <v>0</v>
      </c>
      <c r="W146" s="22">
        <f t="shared" si="276"/>
        <v>5909.0860000000002</v>
      </c>
      <c r="X146" s="22">
        <f>ABS('(-) Taxa de Custódia'!D46*(Q146/Q148))</f>
        <v>35.497156278835675</v>
      </c>
      <c r="Y146" s="22">
        <f t="shared" si="277"/>
        <v>655.90884372116398</v>
      </c>
      <c r="Z146" s="22">
        <f>IF(Q148 &gt; 20000, ((Y146+V146)*15%)-V146, 0)</f>
        <v>98.386326558174588</v>
      </c>
      <c r="AA146" s="22">
        <f>(Y146-Z146)*10%</f>
        <v>55.752251716298943</v>
      </c>
      <c r="AB146" s="22">
        <f>Y146-Z146-AA146</f>
        <v>501.77026544669047</v>
      </c>
    </row>
    <row r="147" spans="1:32" x14ac:dyDescent="0.25">
      <c r="A147" s="10">
        <v>42754</v>
      </c>
      <c r="B147" t="s">
        <v>313</v>
      </c>
      <c r="C147">
        <v>3500</v>
      </c>
      <c r="D147" s="22">
        <v>2.9</v>
      </c>
      <c r="E147" s="22">
        <f t="shared" ref="E147" si="283">C147*D147</f>
        <v>10150</v>
      </c>
      <c r="F147" s="36">
        <f t="shared" si="271"/>
        <v>2.7912500000000002</v>
      </c>
      <c r="G147" s="36">
        <f t="shared" si="272"/>
        <v>0.50750000000000006</v>
      </c>
      <c r="H147" s="22">
        <v>8.99</v>
      </c>
      <c r="I147" s="22">
        <v>0</v>
      </c>
      <c r="J147" s="22">
        <f t="shared" ref="J147" si="284">E147+F147+G147+H147</f>
        <v>10162.28875</v>
      </c>
      <c r="K147" s="12"/>
      <c r="L147" s="10">
        <v>42755</v>
      </c>
      <c r="M147">
        <v>65971</v>
      </c>
      <c r="N147" t="s">
        <v>313</v>
      </c>
      <c r="O147">
        <v>3500</v>
      </c>
      <c r="P147" s="22">
        <v>3</v>
      </c>
      <c r="Q147" s="22">
        <f t="shared" ref="Q147" si="285">O147*P147</f>
        <v>10500</v>
      </c>
      <c r="R147" s="36">
        <f t="shared" si="279"/>
        <v>2.8875000000000002</v>
      </c>
      <c r="S147" s="36">
        <f t="shared" si="280"/>
        <v>0.52500000000000002</v>
      </c>
      <c r="T147" s="22">
        <v>8.99</v>
      </c>
      <c r="U147" s="22">
        <v>0</v>
      </c>
      <c r="V147" s="22">
        <v>0</v>
      </c>
      <c r="W147" s="22">
        <f t="shared" si="276"/>
        <v>10487.5975</v>
      </c>
      <c r="X147" s="22">
        <f>ABS('(-) Taxa de Custódia'!D46*(Q147/Q148))</f>
        <v>62.959483264826794</v>
      </c>
      <c r="Y147" s="22">
        <f t="shared" si="277"/>
        <v>262.34926673517293</v>
      </c>
      <c r="Z147" s="22">
        <f>IF(Q148 &gt; 20000, ((Y147+V147)*15%)-V147, 0)</f>
        <v>39.35239001027594</v>
      </c>
      <c r="AA147" s="22">
        <f t="shared" si="281"/>
        <v>22.2996876724897</v>
      </c>
      <c r="AB147" s="22">
        <f t="shared" si="282"/>
        <v>200.69718905240728</v>
      </c>
    </row>
    <row r="148" spans="1:32" x14ac:dyDescent="0.25">
      <c r="E148" s="22">
        <f>SUM(E141:E147)</f>
        <v>55685</v>
      </c>
      <c r="F148" s="22">
        <f>SUM(F141:F147)</f>
        <v>15.313375000000001</v>
      </c>
      <c r="G148" s="22">
        <f>SUM(G141:G147)</f>
        <v>2.9437500000000005</v>
      </c>
      <c r="H148" s="22">
        <f>SUM(H141:H147)</f>
        <v>69.930000000000007</v>
      </c>
      <c r="I148" s="22">
        <v>0</v>
      </c>
      <c r="J148" s="22">
        <f>SUM(J141:J147)</f>
        <v>55773.187124999997</v>
      </c>
      <c r="K148" s="12"/>
      <c r="Q148" s="22">
        <f t="shared" ref="Q148:W148" si="286">SUM(Q141:Q147)</f>
        <v>59605</v>
      </c>
      <c r="R148" s="22">
        <f t="shared" si="286"/>
        <v>16.391375</v>
      </c>
      <c r="S148" s="22">
        <f t="shared" si="286"/>
        <v>2.9802500000000003</v>
      </c>
      <c r="T148" s="22">
        <f t="shared" si="286"/>
        <v>62.930000000000007</v>
      </c>
      <c r="U148" s="22">
        <v>0</v>
      </c>
      <c r="V148" s="22">
        <f t="shared" si="286"/>
        <v>0</v>
      </c>
      <c r="W148" s="22">
        <f t="shared" si="286"/>
        <v>59522.698375000007</v>
      </c>
      <c r="X148" s="22">
        <f>SUM(X141:X147)</f>
        <v>357.40000000000015</v>
      </c>
      <c r="Y148" s="22">
        <f>SUM(Y141:Y147)</f>
        <v>3392.1112499999963</v>
      </c>
      <c r="Z148" s="51">
        <f>SUM(Z141:Z147)</f>
        <v>508.81668749999938</v>
      </c>
      <c r="AA148" s="38">
        <f>SUM(AA141:AA147)</f>
        <v>288.32945624999968</v>
      </c>
      <c r="AB148" s="52">
        <f>SUM(AB141:AB147)</f>
        <v>2594.965106249997</v>
      </c>
    </row>
    <row r="149" spans="1:32" x14ac:dyDescent="0.25">
      <c r="K149" s="12"/>
    </row>
    <row r="150" spans="1:32" x14ac:dyDescent="0.25">
      <c r="A150" s="144" t="s">
        <v>405</v>
      </c>
      <c r="B150" s="144"/>
      <c r="C150" s="144"/>
      <c r="D150" s="144"/>
      <c r="E150" s="144"/>
      <c r="F150" s="144"/>
      <c r="G150" s="144"/>
      <c r="H150" s="144"/>
      <c r="I150" s="144"/>
      <c r="J150" s="144"/>
      <c r="K150" s="144"/>
      <c r="L150" s="144"/>
      <c r="M150" s="144"/>
      <c r="N150" s="144"/>
      <c r="O150" s="144"/>
      <c r="P150" s="144"/>
      <c r="Q150" s="144"/>
      <c r="R150" s="144"/>
      <c r="S150" s="144"/>
      <c r="T150" s="144"/>
      <c r="U150" s="144"/>
      <c r="V150" s="144"/>
      <c r="W150" s="144"/>
      <c r="X150" s="144"/>
      <c r="Y150" s="144"/>
      <c r="Z150" s="144"/>
      <c r="AA150" s="144"/>
      <c r="AB150" s="144"/>
    </row>
    <row r="151" spans="1:32" x14ac:dyDescent="0.25">
      <c r="A151" s="10">
        <v>42696</v>
      </c>
      <c r="B151" t="s">
        <v>282</v>
      </c>
      <c r="C151">
        <v>1000</v>
      </c>
      <c r="D151" s="22">
        <v>9.83</v>
      </c>
      <c r="E151" s="22">
        <f t="shared" ref="E151:E152" si="287">C151*D151</f>
        <v>9830</v>
      </c>
      <c r="F151" s="36">
        <f t="shared" ref="F151:F162" si="288">E151*0.0275%</f>
        <v>2.7032500000000002</v>
      </c>
      <c r="G151" s="36">
        <f t="shared" ref="G151:G159" si="289">E151*0.005%</f>
        <v>0.49150000000000005</v>
      </c>
      <c r="H151" s="22">
        <v>8.99</v>
      </c>
      <c r="I151" s="22">
        <v>0</v>
      </c>
      <c r="J151" s="22">
        <f t="shared" ref="J151:J152" si="290">E151+F151+G151+H151</f>
        <v>9842.1847500000003</v>
      </c>
      <c r="K151" s="12"/>
      <c r="L151" s="10">
        <v>42767</v>
      </c>
      <c r="M151">
        <v>69202</v>
      </c>
      <c r="N151" t="s">
        <v>282</v>
      </c>
      <c r="O151">
        <v>1000</v>
      </c>
      <c r="P151" s="36">
        <v>12.35</v>
      </c>
      <c r="Q151" s="22">
        <f t="shared" ref="Q151:Q152" si="291">O151*P151</f>
        <v>12350</v>
      </c>
      <c r="R151" s="36">
        <f t="shared" ref="R151:R162" si="292">Q151*0.0275%</f>
        <v>3.3962500000000002</v>
      </c>
      <c r="S151" s="36">
        <f>Q151*0.005%</f>
        <v>0.61750000000000005</v>
      </c>
      <c r="T151" s="22">
        <v>8.99</v>
      </c>
      <c r="U151" s="22">
        <v>0</v>
      </c>
      <c r="V151" s="22">
        <f>Q151*0.005%</f>
        <v>0.61750000000000005</v>
      </c>
      <c r="W151" s="22">
        <f t="shared" ref="W151:W162" si="293">Q151-R151-S151-T151-V151</f>
        <v>12336.37875</v>
      </c>
      <c r="X151" s="22">
        <f>20/COUNTA(W151:W162)</f>
        <v>1.6666666666666667</v>
      </c>
      <c r="Y151" s="22">
        <f t="shared" ref="Y151:Y162" si="294">W151-X151-J151</f>
        <v>2492.5273333333334</v>
      </c>
      <c r="Z151" s="22">
        <f>IF(Q163 &gt; 20000, ((Y151+V151)*15%)-V151, 0)</f>
        <v>373.35422499999999</v>
      </c>
      <c r="AA151" s="22">
        <f t="shared" ref="AA151:AA152" si="295">(Y151-Z151)*10%</f>
        <v>211.91731083333335</v>
      </c>
      <c r="AB151" s="22">
        <f t="shared" ref="AB151:AB152" si="296">Y151-Z151-AA151</f>
        <v>1907.2557975</v>
      </c>
      <c r="AD151" s="22"/>
      <c r="AE151" s="22"/>
      <c r="AF151" s="22"/>
    </row>
    <row r="152" spans="1:32" x14ac:dyDescent="0.25">
      <c r="A152" s="10">
        <v>42698</v>
      </c>
      <c r="B152" t="s">
        <v>308</v>
      </c>
      <c r="C152">
        <v>3600</v>
      </c>
      <c r="D152" s="22">
        <v>2.1800000000000002</v>
      </c>
      <c r="E152" s="22">
        <f t="shared" si="287"/>
        <v>7848.0000000000009</v>
      </c>
      <c r="F152" s="36">
        <f t="shared" si="288"/>
        <v>2.1582000000000003</v>
      </c>
      <c r="G152" s="36">
        <f t="shared" si="289"/>
        <v>0.39240000000000008</v>
      </c>
      <c r="H152" s="22">
        <v>8.99</v>
      </c>
      <c r="I152" s="22">
        <v>0</v>
      </c>
      <c r="J152" s="22">
        <f t="shared" si="290"/>
        <v>7859.5406000000003</v>
      </c>
      <c r="K152" s="12"/>
      <c r="L152" s="10">
        <v>42767</v>
      </c>
      <c r="M152">
        <v>69202</v>
      </c>
      <c r="N152" t="s">
        <v>308</v>
      </c>
      <c r="O152">
        <v>3600</v>
      </c>
      <c r="P152" s="36">
        <v>2.5499999999999998</v>
      </c>
      <c r="Q152" s="22">
        <f t="shared" si="291"/>
        <v>9180</v>
      </c>
      <c r="R152" s="36">
        <f t="shared" si="292"/>
        <v>2.5245000000000002</v>
      </c>
      <c r="S152" s="36">
        <f>Q152*0.005%</f>
        <v>0.45900000000000002</v>
      </c>
      <c r="T152" s="22">
        <v>8.99</v>
      </c>
      <c r="U152" s="22">
        <v>0</v>
      </c>
      <c r="V152" s="22">
        <f>Q152*0.005%</f>
        <v>0.45900000000000002</v>
      </c>
      <c r="W152" s="22">
        <f t="shared" si="293"/>
        <v>9167.5674999999992</v>
      </c>
      <c r="X152" s="22">
        <f>20/COUNTA(W151:W162)</f>
        <v>1.6666666666666667</v>
      </c>
      <c r="Y152" s="22">
        <f t="shared" si="294"/>
        <v>1306.3602333333329</v>
      </c>
      <c r="Z152" s="22">
        <f>IF(Q163 &gt; 20000,((Y152+V152)*15%)-V152, 0)</f>
        <v>195.56388499999994</v>
      </c>
      <c r="AA152" s="22">
        <f t="shared" si="295"/>
        <v>111.07963483333329</v>
      </c>
      <c r="AB152" s="22">
        <f t="shared" si="296"/>
        <v>999.71671349999951</v>
      </c>
      <c r="AC152" s="22"/>
    </row>
    <row r="153" spans="1:32" x14ac:dyDescent="0.25">
      <c r="A153" s="10">
        <v>42752</v>
      </c>
      <c r="B153" t="s">
        <v>313</v>
      </c>
      <c r="C153">
        <v>2600</v>
      </c>
      <c r="D153" s="22">
        <v>3.1</v>
      </c>
      <c r="E153" s="22">
        <f>C153*D153</f>
        <v>8060</v>
      </c>
      <c r="F153" s="36">
        <f t="shared" si="288"/>
        <v>2.2164999999999999</v>
      </c>
      <c r="G153" s="36">
        <f t="shared" si="289"/>
        <v>0.40300000000000002</v>
      </c>
      <c r="H153" s="22">
        <v>8.99</v>
      </c>
      <c r="I153" s="22">
        <v>0</v>
      </c>
      <c r="J153" s="22">
        <f>E153+F153+G153+H153</f>
        <v>8071.6095000000005</v>
      </c>
      <c r="K153" s="12"/>
      <c r="L153" s="10">
        <v>42768</v>
      </c>
      <c r="M153">
        <v>69645</v>
      </c>
      <c r="N153" t="s">
        <v>313</v>
      </c>
      <c r="O153">
        <v>2600</v>
      </c>
      <c r="P153" s="36">
        <v>3.25</v>
      </c>
      <c r="Q153" s="22">
        <f>O153*P153</f>
        <v>8450</v>
      </c>
      <c r="R153" s="36">
        <f t="shared" si="292"/>
        <v>2.32375</v>
      </c>
      <c r="S153" s="36">
        <f>Q153*0.005%</f>
        <v>0.42250000000000004</v>
      </c>
      <c r="T153" s="22">
        <v>8.99</v>
      </c>
      <c r="U153" s="22">
        <v>0</v>
      </c>
      <c r="V153" s="22">
        <v>0</v>
      </c>
      <c r="W153" s="22">
        <f t="shared" si="293"/>
        <v>8438.2637500000001</v>
      </c>
      <c r="X153" s="22">
        <f>20/COUNTA(W151:W162)</f>
        <v>1.6666666666666667</v>
      </c>
      <c r="Y153" s="22">
        <f t="shared" si="294"/>
        <v>364.98758333333353</v>
      </c>
      <c r="Z153" s="22">
        <f>IF(Q163 &gt; 20000, ((Y153+V153)*15%)-V153, 0)</f>
        <v>54.748137500000027</v>
      </c>
      <c r="AA153" s="22">
        <f>(Y153-Z153)*10%</f>
        <v>31.02394458333335</v>
      </c>
      <c r="AB153" s="22">
        <f>Y153-Z153-AA153</f>
        <v>279.21550125000016</v>
      </c>
    </row>
    <row r="154" spans="1:32" x14ac:dyDescent="0.25">
      <c r="A154" s="10">
        <v>42697</v>
      </c>
      <c r="B154" t="s">
        <v>272</v>
      </c>
      <c r="C154">
        <v>900</v>
      </c>
      <c r="D154" s="22">
        <v>8.75</v>
      </c>
      <c r="E154" s="22">
        <f>C154*D154</f>
        <v>7875</v>
      </c>
      <c r="F154" s="36">
        <f t="shared" si="288"/>
        <v>2.1656249999999999</v>
      </c>
      <c r="G154" s="36">
        <f t="shared" si="289"/>
        <v>0.39375000000000004</v>
      </c>
      <c r="H154" s="22">
        <v>8.99</v>
      </c>
      <c r="I154" s="22">
        <v>0</v>
      </c>
      <c r="J154" s="22">
        <f>E154+F154+G154+H154</f>
        <v>7886.5493749999996</v>
      </c>
      <c r="K154" s="12"/>
      <c r="L154" s="10">
        <v>42769</v>
      </c>
      <c r="M154">
        <v>70079</v>
      </c>
      <c r="N154" t="s">
        <v>272</v>
      </c>
      <c r="O154">
        <v>900</v>
      </c>
      <c r="P154" s="36">
        <v>9.5</v>
      </c>
      <c r="Q154" s="22">
        <f>O154*P154</f>
        <v>8550</v>
      </c>
      <c r="R154" s="36">
        <f t="shared" si="292"/>
        <v>2.3512500000000003</v>
      </c>
      <c r="S154" s="36">
        <f>Q154*0.005%</f>
        <v>0.42750000000000005</v>
      </c>
      <c r="T154" s="22">
        <v>8.99</v>
      </c>
      <c r="U154" s="22">
        <v>0</v>
      </c>
      <c r="V154" s="22">
        <v>0</v>
      </c>
      <c r="W154" s="22">
        <f t="shared" si="293"/>
        <v>8538.2312500000007</v>
      </c>
      <c r="X154" s="22">
        <f>20/COUNTA(W151:W162)</f>
        <v>1.6666666666666667</v>
      </c>
      <c r="Y154" s="22">
        <f t="shared" si="294"/>
        <v>650.01520833333507</v>
      </c>
      <c r="Z154" s="22">
        <f>IF(Q163 &gt; 20000,((Y154+V154)*15%)-V154, 0)</f>
        <v>97.502281250000252</v>
      </c>
      <c r="AA154" s="22">
        <f>(Y154-Z154)*10%</f>
        <v>55.251292708333487</v>
      </c>
      <c r="AB154" s="22">
        <f>Y154-Z154-AA154</f>
        <v>497.26163437500134</v>
      </c>
    </row>
    <row r="155" spans="1:32" x14ac:dyDescent="0.25">
      <c r="A155" s="10">
        <v>42704</v>
      </c>
      <c r="B155" t="s">
        <v>309</v>
      </c>
      <c r="C155">
        <v>1000</v>
      </c>
      <c r="D155" s="22">
        <v>10.85</v>
      </c>
      <c r="E155" s="22">
        <f t="shared" ref="E155" si="297">C155*D155</f>
        <v>10850</v>
      </c>
      <c r="F155" s="36">
        <f t="shared" si="288"/>
        <v>2.9837500000000001</v>
      </c>
      <c r="G155" s="36">
        <f t="shared" si="289"/>
        <v>0.54249999999999998</v>
      </c>
      <c r="H155" s="22">
        <v>8.99</v>
      </c>
      <c r="I155" s="22">
        <v>0</v>
      </c>
      <c r="J155" s="22">
        <f t="shared" ref="J155" si="298">E155+F155+G155+H155</f>
        <v>10862.516249999999</v>
      </c>
      <c r="K155" s="12"/>
      <c r="L155" s="10">
        <v>42774</v>
      </c>
      <c r="M155">
        <v>71356</v>
      </c>
      <c r="N155" t="s">
        <v>309</v>
      </c>
      <c r="O155">
        <v>1000</v>
      </c>
      <c r="P155" s="36">
        <v>13.15</v>
      </c>
      <c r="Q155" s="22">
        <f t="shared" ref="Q155" si="299">O155*P155</f>
        <v>13150</v>
      </c>
      <c r="R155" s="36">
        <f t="shared" si="292"/>
        <v>3.6162500000000004</v>
      </c>
      <c r="S155" s="36">
        <f>Q155*0.005%</f>
        <v>0.65750000000000008</v>
      </c>
      <c r="T155" s="22">
        <v>4</v>
      </c>
      <c r="U155" s="22">
        <v>0</v>
      </c>
      <c r="V155" s="22">
        <v>0</v>
      </c>
      <c r="W155" s="22">
        <f t="shared" si="293"/>
        <v>13141.726250000002</v>
      </c>
      <c r="X155" s="22">
        <f>20/COUNTA(W151:W162)</f>
        <v>1.6666666666666667</v>
      </c>
      <c r="Y155" s="22">
        <f t="shared" si="294"/>
        <v>2277.5433333333367</v>
      </c>
      <c r="Z155" s="22">
        <f>IF(Q163 &gt; 20000,((Y155+V155)*15%)-V155, 0)</f>
        <v>341.63150000000047</v>
      </c>
      <c r="AA155" s="22">
        <f t="shared" ref="AA155" si="300">(Y155-Z155)*10%</f>
        <v>193.59118333333365</v>
      </c>
      <c r="AB155" s="22">
        <f t="shared" ref="AB155" si="301">Y155-Z155-AA155</f>
        <v>1742.3206500000026</v>
      </c>
    </row>
    <row r="156" spans="1:32" x14ac:dyDescent="0.25">
      <c r="A156" s="10">
        <v>42772</v>
      </c>
      <c r="B156" t="s">
        <v>314</v>
      </c>
      <c r="C156">
        <v>6200</v>
      </c>
      <c r="D156" s="22">
        <v>1.5</v>
      </c>
      <c r="E156" s="22">
        <f>C156*D156</f>
        <v>9300</v>
      </c>
      <c r="F156" s="36">
        <f t="shared" si="288"/>
        <v>2.5575000000000001</v>
      </c>
      <c r="G156" s="36">
        <f t="shared" si="289"/>
        <v>0.46500000000000002</v>
      </c>
      <c r="H156" s="22">
        <v>4</v>
      </c>
      <c r="I156" s="22">
        <v>0</v>
      </c>
      <c r="J156" s="22">
        <f>E156+F156+G156+H156</f>
        <v>9307.0225000000009</v>
      </c>
      <c r="K156" s="12"/>
      <c r="L156" s="10">
        <v>42779</v>
      </c>
      <c r="M156">
        <v>72695</v>
      </c>
      <c r="N156" t="s">
        <v>314</v>
      </c>
      <c r="O156">
        <v>6200</v>
      </c>
      <c r="P156" s="22">
        <v>1.6</v>
      </c>
      <c r="Q156" s="22">
        <f>O156*P156</f>
        <v>9920</v>
      </c>
      <c r="R156" s="36">
        <f t="shared" si="292"/>
        <v>2.7280000000000002</v>
      </c>
      <c r="S156" s="36">
        <f>Q156*0.007%</f>
        <v>0.69440000000000013</v>
      </c>
      <c r="T156" s="23">
        <v>8.99</v>
      </c>
      <c r="U156" s="23">
        <v>0</v>
      </c>
      <c r="V156" s="22">
        <v>0</v>
      </c>
      <c r="W156" s="22">
        <f t="shared" si="293"/>
        <v>9907.5876000000007</v>
      </c>
      <c r="X156" s="22">
        <f>20/COUNTA(W151:W162)</f>
        <v>1.6666666666666667</v>
      </c>
      <c r="Y156" s="22">
        <f t="shared" si="294"/>
        <v>598.89843333333374</v>
      </c>
      <c r="Z156" s="22">
        <f>IF(Q163 &gt; 20000,((Y156+V156)*15%)-V156, 0)</f>
        <v>89.834765000000061</v>
      </c>
      <c r="AA156" s="22">
        <f>(Y156-Z156)*10%</f>
        <v>50.906366833333372</v>
      </c>
      <c r="AB156" s="22">
        <f>Y156-Z156-AA156</f>
        <v>458.1573015000003</v>
      </c>
    </row>
    <row r="157" spans="1:32" x14ac:dyDescent="0.25">
      <c r="A157" s="10">
        <v>42772</v>
      </c>
      <c r="B157" t="s">
        <v>315</v>
      </c>
      <c r="C157">
        <v>1600</v>
      </c>
      <c r="D157" s="22">
        <v>6.25</v>
      </c>
      <c r="E157" s="22">
        <f>C157*D157</f>
        <v>10000</v>
      </c>
      <c r="F157" s="36">
        <f t="shared" si="288"/>
        <v>2.75</v>
      </c>
      <c r="G157" s="36">
        <f t="shared" si="289"/>
        <v>0.5</v>
      </c>
      <c r="H157" s="22">
        <v>4</v>
      </c>
      <c r="I157" s="22">
        <v>0</v>
      </c>
      <c r="J157" s="22">
        <f>E157+F157+G157+H157</f>
        <v>10007.25</v>
      </c>
      <c r="K157" s="12"/>
      <c r="L157" s="10">
        <v>42781</v>
      </c>
      <c r="M157">
        <v>73668</v>
      </c>
      <c r="N157" t="s">
        <v>315</v>
      </c>
      <c r="O157">
        <v>1600</v>
      </c>
      <c r="P157" s="36">
        <v>7.8</v>
      </c>
      <c r="Q157" s="22">
        <f>O157*P157</f>
        <v>12480</v>
      </c>
      <c r="R157" s="36">
        <f t="shared" si="292"/>
        <v>3.4320000000000004</v>
      </c>
      <c r="S157" s="36">
        <f t="shared" ref="S157:S162" si="302">Q157*0.005%</f>
        <v>0.624</v>
      </c>
      <c r="T157" s="22">
        <v>4</v>
      </c>
      <c r="U157" s="22">
        <v>0</v>
      </c>
      <c r="V157" s="22">
        <f>Q157*0.005%</f>
        <v>0.624</v>
      </c>
      <c r="W157" s="22">
        <f t="shared" si="293"/>
        <v>12471.32</v>
      </c>
      <c r="X157" s="22">
        <f>20/COUNTA(W151:W162)</f>
        <v>1.6666666666666667</v>
      </c>
      <c r="Y157" s="22">
        <f t="shared" si="294"/>
        <v>2462.4033333333336</v>
      </c>
      <c r="Z157" s="22">
        <f>IF(Q163 &gt; 20000,((Y157+V157)*15%)-V157, 0)</f>
        <v>368.83009999999996</v>
      </c>
      <c r="AA157" s="22">
        <f>(Y157-Z157)*10%</f>
        <v>209.35732333333337</v>
      </c>
      <c r="AB157" s="22">
        <f>Y157-Z157-AA157</f>
        <v>1884.2159100000001</v>
      </c>
    </row>
    <row r="158" spans="1:32" x14ac:dyDescent="0.25">
      <c r="A158" s="10">
        <v>42773</v>
      </c>
      <c r="B158" t="s">
        <v>313</v>
      </c>
      <c r="C158">
        <v>2900</v>
      </c>
      <c r="D158" s="22">
        <v>3.1</v>
      </c>
      <c r="E158" s="22">
        <f>C158*D158</f>
        <v>8990</v>
      </c>
      <c r="F158" s="36">
        <f t="shared" si="288"/>
        <v>2.4722500000000003</v>
      </c>
      <c r="G158" s="36">
        <f t="shared" si="289"/>
        <v>0.44950000000000001</v>
      </c>
      <c r="H158" s="23">
        <v>8.99</v>
      </c>
      <c r="I158" s="23">
        <v>0</v>
      </c>
      <c r="J158" s="22">
        <f>E158+F158+G158+H158</f>
        <v>9001.9117500000011</v>
      </c>
      <c r="K158" s="12"/>
      <c r="L158" s="10">
        <v>42781</v>
      </c>
      <c r="M158">
        <v>73668</v>
      </c>
      <c r="N158" t="s">
        <v>313</v>
      </c>
      <c r="O158">
        <v>2900</v>
      </c>
      <c r="P158" s="36">
        <v>3.3</v>
      </c>
      <c r="Q158" s="22">
        <f>O158*P158</f>
        <v>9570</v>
      </c>
      <c r="R158" s="36">
        <f t="shared" si="292"/>
        <v>2.6317500000000003</v>
      </c>
      <c r="S158" s="36">
        <f t="shared" si="302"/>
        <v>0.47850000000000004</v>
      </c>
      <c r="T158" s="22">
        <v>4</v>
      </c>
      <c r="U158" s="22">
        <v>0</v>
      </c>
      <c r="V158" s="22">
        <f>Q158*0.005%</f>
        <v>0.47850000000000004</v>
      </c>
      <c r="W158" s="22">
        <f t="shared" si="293"/>
        <v>9562.411250000001</v>
      </c>
      <c r="X158" s="22">
        <f>20/COUNTA(W151:W162)</f>
        <v>1.6666666666666667</v>
      </c>
      <c r="Y158" s="22">
        <f t="shared" si="294"/>
        <v>558.83283333333384</v>
      </c>
      <c r="Z158" s="22">
        <f>IF(Q163 &gt; 20000,((Y158+V158)*15%)-V158, 0)</f>
        <v>83.418200000000084</v>
      </c>
      <c r="AA158" s="22">
        <f>(Y158-Z158)*10%</f>
        <v>47.541463333333382</v>
      </c>
      <c r="AB158" s="22">
        <f>Y158-Z158-AA158</f>
        <v>427.87317000000041</v>
      </c>
    </row>
    <row r="159" spans="1:32" x14ac:dyDescent="0.25">
      <c r="A159" s="10">
        <v>42692</v>
      </c>
      <c r="B159" t="s">
        <v>305</v>
      </c>
      <c r="C159" s="11">
        <v>1000</v>
      </c>
      <c r="D159" s="22">
        <v>7.83</v>
      </c>
      <c r="E159" s="22">
        <f>C159*D159</f>
        <v>7830</v>
      </c>
      <c r="F159" s="36">
        <f t="shared" si="288"/>
        <v>2.1532500000000003</v>
      </c>
      <c r="G159" s="36">
        <f t="shared" si="289"/>
        <v>0.39150000000000001</v>
      </c>
      <c r="H159" s="22">
        <v>8.99</v>
      </c>
      <c r="I159" s="22">
        <v>0</v>
      </c>
      <c r="J159" s="22">
        <f>E159+F159+G159+H159</f>
        <v>7841.5347499999998</v>
      </c>
      <c r="K159" s="12"/>
      <c r="L159" s="10">
        <v>42781</v>
      </c>
      <c r="M159">
        <v>73668</v>
      </c>
      <c r="N159" t="s">
        <v>305</v>
      </c>
      <c r="O159">
        <v>1000</v>
      </c>
      <c r="P159" s="36">
        <v>9.4</v>
      </c>
      <c r="Q159" s="22">
        <f>O159*P159</f>
        <v>9400</v>
      </c>
      <c r="R159" s="36">
        <f t="shared" si="292"/>
        <v>2.585</v>
      </c>
      <c r="S159" s="36">
        <f t="shared" si="302"/>
        <v>0.47000000000000003</v>
      </c>
      <c r="T159" s="22">
        <v>4</v>
      </c>
      <c r="U159" s="22">
        <v>0</v>
      </c>
      <c r="V159" s="22">
        <f>Q159*0.005%</f>
        <v>0.47000000000000003</v>
      </c>
      <c r="W159" s="22">
        <f t="shared" si="293"/>
        <v>9392.4750000000022</v>
      </c>
      <c r="X159" s="22">
        <f>20/COUNTA(W151:W162)</f>
        <v>1.6666666666666667</v>
      </c>
      <c r="Y159" s="22">
        <f t="shared" si="294"/>
        <v>1549.2735833333363</v>
      </c>
      <c r="Z159" s="22">
        <f>IF(Q163 &gt; 20000,((Y159+V159)*15%)-V159, 0)</f>
        <v>231.99153750000045</v>
      </c>
      <c r="AA159" s="22">
        <f>(Y159-Z159)*10%</f>
        <v>131.72820458333359</v>
      </c>
      <c r="AB159" s="22">
        <f>Y159-Z159-AA159</f>
        <v>1185.5538412500023</v>
      </c>
    </row>
    <row r="160" spans="1:32" x14ac:dyDescent="0.25">
      <c r="A160" s="10">
        <v>42705</v>
      </c>
      <c r="B160" t="s">
        <v>311</v>
      </c>
      <c r="C160">
        <v>1000</v>
      </c>
      <c r="D160" s="22">
        <v>7.8</v>
      </c>
      <c r="E160" s="22">
        <f t="shared" ref="E160:E162" si="303">C160*D160</f>
        <v>7800</v>
      </c>
      <c r="F160" s="36">
        <f t="shared" si="288"/>
        <v>2.145</v>
      </c>
      <c r="G160" s="36">
        <f>E160*0.007%</f>
        <v>0.54600000000000004</v>
      </c>
      <c r="H160" s="22">
        <v>8.99</v>
      </c>
      <c r="I160" s="22">
        <v>0</v>
      </c>
      <c r="J160" s="22">
        <f t="shared" ref="J160:J162" si="304">E160+F160+G160+H160</f>
        <v>7811.6810000000005</v>
      </c>
      <c r="K160" s="12"/>
      <c r="L160" s="10">
        <v>42781</v>
      </c>
      <c r="M160">
        <v>73668</v>
      </c>
      <c r="N160" t="s">
        <v>311</v>
      </c>
      <c r="O160">
        <v>1000</v>
      </c>
      <c r="P160" s="36">
        <v>9.5</v>
      </c>
      <c r="Q160" s="22">
        <f t="shared" ref="Q160:Q162" si="305">O160*P160</f>
        <v>9500</v>
      </c>
      <c r="R160" s="36">
        <f t="shared" si="292"/>
        <v>2.6125000000000003</v>
      </c>
      <c r="S160" s="36">
        <f t="shared" si="302"/>
        <v>0.47500000000000003</v>
      </c>
      <c r="T160" s="22">
        <v>4</v>
      </c>
      <c r="U160" s="22">
        <v>0</v>
      </c>
      <c r="V160" s="22">
        <f>Q160*0.005%</f>
        <v>0.47500000000000003</v>
      </c>
      <c r="W160" s="22">
        <f t="shared" si="293"/>
        <v>9492.4375</v>
      </c>
      <c r="X160" s="22">
        <f>20/COUNTA(W151:W162)</f>
        <v>1.6666666666666667</v>
      </c>
      <c r="Y160" s="22">
        <f t="shared" si="294"/>
        <v>1679.0898333333334</v>
      </c>
      <c r="Z160" s="22">
        <f>IF(Q163 &gt; 20000,((Y160+V160)*15%)-V160, 0)</f>
        <v>251.45972499999999</v>
      </c>
      <c r="AA160" s="22">
        <f t="shared" ref="AA160:AA162" si="306">(Y160-Z160)*10%</f>
        <v>142.76301083333337</v>
      </c>
      <c r="AB160" s="22">
        <f t="shared" ref="AB160:AB162" si="307">Y160-Z160-AA160</f>
        <v>1284.8670975000002</v>
      </c>
    </row>
    <row r="161" spans="1:32" x14ac:dyDescent="0.25">
      <c r="A161" s="10">
        <v>42753</v>
      </c>
      <c r="B161" t="s">
        <v>284</v>
      </c>
      <c r="C161">
        <v>2800</v>
      </c>
      <c r="D161" s="22">
        <v>2.4</v>
      </c>
      <c r="E161" s="22">
        <f t="shared" si="303"/>
        <v>6720</v>
      </c>
      <c r="F161" s="36">
        <f t="shared" si="288"/>
        <v>1.8480000000000001</v>
      </c>
      <c r="G161" s="36">
        <f>E161*0.005%</f>
        <v>0.33600000000000002</v>
      </c>
      <c r="H161" s="22">
        <v>8.99</v>
      </c>
      <c r="I161" s="22">
        <v>0</v>
      </c>
      <c r="J161" s="22">
        <f t="shared" si="304"/>
        <v>6731.174</v>
      </c>
      <c r="K161" s="12"/>
      <c r="L161" s="10">
        <v>42783</v>
      </c>
      <c r="M161">
        <v>74732</v>
      </c>
      <c r="N161" t="s">
        <v>284</v>
      </c>
      <c r="O161">
        <v>2800</v>
      </c>
      <c r="P161" s="36">
        <v>2.6</v>
      </c>
      <c r="Q161" s="22">
        <f t="shared" si="305"/>
        <v>7280</v>
      </c>
      <c r="R161" s="36">
        <f t="shared" si="292"/>
        <v>2.0020000000000002</v>
      </c>
      <c r="S161" s="36">
        <f t="shared" si="302"/>
        <v>0.36399999999999999</v>
      </c>
      <c r="T161" s="23">
        <v>8.99</v>
      </c>
      <c r="U161" s="23">
        <v>0</v>
      </c>
      <c r="V161" s="22">
        <v>0</v>
      </c>
      <c r="W161" s="22">
        <f t="shared" si="293"/>
        <v>7268.6440000000002</v>
      </c>
      <c r="X161" s="22">
        <f>20/COUNTA(W151:W162)</f>
        <v>1.6666666666666667</v>
      </c>
      <c r="Y161" s="22">
        <f t="shared" si="294"/>
        <v>535.80333333333328</v>
      </c>
      <c r="Z161" s="22">
        <f>IF(Q163 &gt; 20000,((Y161+V161)*15%)-V161, 0)</f>
        <v>80.370499999999993</v>
      </c>
      <c r="AA161" s="22">
        <f t="shared" si="306"/>
        <v>45.543283333333335</v>
      </c>
      <c r="AB161" s="22">
        <f t="shared" si="307"/>
        <v>409.88954999999999</v>
      </c>
    </row>
    <row r="162" spans="1:32" x14ac:dyDescent="0.25">
      <c r="A162" s="10">
        <v>42787</v>
      </c>
      <c r="B162" t="s">
        <v>319</v>
      </c>
      <c r="C162">
        <v>2900</v>
      </c>
      <c r="D162" s="22">
        <v>3.5</v>
      </c>
      <c r="E162" s="22">
        <f t="shared" si="303"/>
        <v>10150</v>
      </c>
      <c r="F162" s="36">
        <f t="shared" si="288"/>
        <v>2.7912500000000002</v>
      </c>
      <c r="G162" s="36">
        <f>E162*0.005%</f>
        <v>0.50750000000000006</v>
      </c>
      <c r="H162" s="22">
        <v>4</v>
      </c>
      <c r="I162" s="22">
        <v>0</v>
      </c>
      <c r="J162" s="22">
        <f t="shared" si="304"/>
        <v>10157.29875</v>
      </c>
      <c r="K162" s="12"/>
      <c r="L162" s="10">
        <v>42788</v>
      </c>
      <c r="M162">
        <v>76432</v>
      </c>
      <c r="N162" t="s">
        <v>319</v>
      </c>
      <c r="O162">
        <v>2900</v>
      </c>
      <c r="P162" s="36">
        <v>4.1100000000000003</v>
      </c>
      <c r="Q162" s="22">
        <f t="shared" si="305"/>
        <v>11919.000000000002</v>
      </c>
      <c r="R162" s="36">
        <f t="shared" si="292"/>
        <v>3.2777250000000007</v>
      </c>
      <c r="S162" s="36">
        <f t="shared" si="302"/>
        <v>0.59595000000000009</v>
      </c>
      <c r="T162" s="22">
        <v>4</v>
      </c>
      <c r="U162" s="22">
        <v>0</v>
      </c>
      <c r="V162" s="22">
        <v>0</v>
      </c>
      <c r="W162" s="22">
        <f t="shared" si="293"/>
        <v>11911.126325000001</v>
      </c>
      <c r="X162" s="22">
        <f>20/COUNTA(W151:W162)</f>
        <v>1.6666666666666667</v>
      </c>
      <c r="Y162" s="22">
        <f t="shared" si="294"/>
        <v>1752.1609083333351</v>
      </c>
      <c r="Z162" s="22">
        <f>IF(Q163 &gt; 20000,((Y162+V162)*15%)-V162, 0)</f>
        <v>262.82413625000027</v>
      </c>
      <c r="AA162" s="22">
        <f t="shared" si="306"/>
        <v>148.93367720833348</v>
      </c>
      <c r="AB162" s="22">
        <f t="shared" si="307"/>
        <v>1340.4030948750014</v>
      </c>
    </row>
    <row r="163" spans="1:32" x14ac:dyDescent="0.25">
      <c r="E163" s="22">
        <f>SUM(E151:E162)</f>
        <v>105253</v>
      </c>
      <c r="F163" s="22">
        <f>SUM(F151:F162)</f>
        <v>28.944575</v>
      </c>
      <c r="G163" s="22">
        <f>SUM(G151:G162)</f>
        <v>5.4186500000000013</v>
      </c>
      <c r="H163" s="22">
        <f>SUM(H151:H162)</f>
        <v>92.91</v>
      </c>
      <c r="I163" s="22">
        <v>0</v>
      </c>
      <c r="J163" s="22">
        <f>SUM(J151:J162)</f>
        <v>105380.27322500001</v>
      </c>
      <c r="K163" s="12"/>
      <c r="Q163" s="22">
        <f>SUM(Q151:Q162)</f>
        <v>121749</v>
      </c>
      <c r="R163" s="22">
        <f>SUM(R151:R162)</f>
        <v>33.480975000000001</v>
      </c>
      <c r="S163" s="22">
        <f>SUM(S151:S162)</f>
        <v>6.2858499999999999</v>
      </c>
      <c r="T163" s="22">
        <f>SUM(T151:T162)</f>
        <v>77.94</v>
      </c>
      <c r="U163" s="22">
        <v>0</v>
      </c>
      <c r="V163" s="22">
        <f t="shared" ref="V163:W163" si="308">SUM(V151:V162)</f>
        <v>3.1240000000000001</v>
      </c>
      <c r="W163" s="22">
        <f t="shared" si="308"/>
        <v>121628.16917500002</v>
      </c>
      <c r="X163" s="22">
        <f>SUM(X151:X162)</f>
        <v>20</v>
      </c>
      <c r="Y163" s="22">
        <f>SUM(Y151:Y162)</f>
        <v>16227.895950000011</v>
      </c>
      <c r="Z163" s="38">
        <f>SUM(Z151:Z162)</f>
        <v>2431.5289925000016</v>
      </c>
      <c r="AA163" s="38">
        <f>SUM(AA151:AA162)</f>
        <v>1379.6366957500009</v>
      </c>
      <c r="AB163" s="52">
        <f>SUM(AB151:AB162)</f>
        <v>12416.73026175001</v>
      </c>
    </row>
    <row r="164" spans="1:32" x14ac:dyDescent="0.25">
      <c r="K164" s="12"/>
    </row>
    <row r="165" spans="1:32" x14ac:dyDescent="0.25">
      <c r="A165" s="144" t="s">
        <v>406</v>
      </c>
      <c r="B165" s="144"/>
      <c r="C165" s="144"/>
      <c r="D165" s="144"/>
      <c r="E165" s="144"/>
      <c r="F165" s="144"/>
      <c r="G165" s="144"/>
      <c r="H165" s="144"/>
      <c r="I165" s="144"/>
      <c r="J165" s="144"/>
      <c r="K165" s="144"/>
      <c r="L165" s="144"/>
      <c r="M165" s="144"/>
      <c r="N165" s="144"/>
      <c r="O165" s="144"/>
      <c r="P165" s="144"/>
      <c r="Q165" s="144"/>
      <c r="R165" s="144"/>
      <c r="S165" s="144"/>
      <c r="T165" s="144"/>
      <c r="U165" s="144"/>
      <c r="V165" s="144"/>
      <c r="W165" s="144"/>
      <c r="X165" s="144"/>
      <c r="Y165" s="144"/>
      <c r="Z165" s="144"/>
      <c r="AA165" s="144"/>
      <c r="AB165" s="144"/>
    </row>
    <row r="166" spans="1:32" x14ac:dyDescent="0.25">
      <c r="A166" s="10">
        <v>42787</v>
      </c>
      <c r="B166" t="s">
        <v>323</v>
      </c>
      <c r="C166">
        <v>1700</v>
      </c>
      <c r="D166" s="22">
        <v>6</v>
      </c>
      <c r="E166" s="22">
        <f t="shared" ref="E166:E168" si="309">C166*D166</f>
        <v>10200</v>
      </c>
      <c r="F166" s="22">
        <f t="shared" ref="F166:F168" si="310">E166*0.0275%</f>
        <v>2.8050000000000002</v>
      </c>
      <c r="G166" s="22">
        <f t="shared" ref="G166:G168" si="311">E166*0.005%</f>
        <v>0.51</v>
      </c>
      <c r="H166" s="22">
        <v>4</v>
      </c>
      <c r="I166" s="22">
        <v>0</v>
      </c>
      <c r="J166" s="22">
        <f>E166+F166+G166+H166</f>
        <v>10207.315000000001</v>
      </c>
      <c r="K166" s="12"/>
      <c r="L166" s="30">
        <v>42800</v>
      </c>
      <c r="M166" s="66">
        <v>79312</v>
      </c>
      <c r="N166" s="66" t="s">
        <v>323</v>
      </c>
      <c r="O166" s="66">
        <v>1700</v>
      </c>
      <c r="P166" s="36">
        <v>6.51</v>
      </c>
      <c r="Q166" s="22">
        <f t="shared" ref="Q166:Q168" si="312">O166*P166</f>
        <v>11067</v>
      </c>
      <c r="R166" s="22">
        <f t="shared" ref="R166:R168" si="313">Q166*0.0275%</f>
        <v>3.043425</v>
      </c>
      <c r="S166" s="22">
        <f>Q166*0.007%</f>
        <v>0.7746900000000001</v>
      </c>
      <c r="T166" s="36">
        <v>8.99</v>
      </c>
      <c r="U166" s="36">
        <v>0</v>
      </c>
      <c r="V166" s="22">
        <v>0</v>
      </c>
      <c r="W166" s="22">
        <f>Q166-R166-S166-T166-V166</f>
        <v>11054.191885</v>
      </c>
      <c r="X166" s="22">
        <f>20/COUNTA(W166:W168)</f>
        <v>6.666666666666667</v>
      </c>
      <c r="Y166" s="22">
        <f>W166-X166-J166</f>
        <v>840.21021833333361</v>
      </c>
      <c r="Z166" s="22">
        <f>IF(Q169 &gt; 20000, ((Y166+V166)*15%)-V166, 0)</f>
        <v>126.03153275000004</v>
      </c>
      <c r="AA166" s="22">
        <f t="shared" ref="AA166" si="314">(Y166-Z166)*10%</f>
        <v>71.417868558333367</v>
      </c>
      <c r="AB166" s="22">
        <f t="shared" ref="AB166" si="315">Y166-Z166-AA166</f>
        <v>642.76081702500028</v>
      </c>
      <c r="AC166" s="22"/>
    </row>
    <row r="167" spans="1:32" s="66" customFormat="1" x14ac:dyDescent="0.25">
      <c r="A167" s="10">
        <v>42787</v>
      </c>
      <c r="B167" t="s">
        <v>321</v>
      </c>
      <c r="C167">
        <v>400</v>
      </c>
      <c r="D167" s="22">
        <v>27.2</v>
      </c>
      <c r="E167" s="22">
        <f t="shared" si="309"/>
        <v>10880</v>
      </c>
      <c r="F167" s="22">
        <f t="shared" si="310"/>
        <v>2.992</v>
      </c>
      <c r="G167" s="22">
        <f t="shared" si="311"/>
        <v>0.54400000000000004</v>
      </c>
      <c r="H167" s="22">
        <v>4</v>
      </c>
      <c r="I167" s="22">
        <v>0</v>
      </c>
      <c r="J167" s="22">
        <f>E167+F167+G167+H167</f>
        <v>10887.536</v>
      </c>
      <c r="K167" s="12"/>
      <c r="L167" s="30">
        <v>42811</v>
      </c>
      <c r="M167" s="66">
        <v>83721</v>
      </c>
      <c r="N167" s="66" t="s">
        <v>321</v>
      </c>
      <c r="O167" s="66">
        <v>400</v>
      </c>
      <c r="P167" s="36">
        <v>29.25</v>
      </c>
      <c r="Q167" s="22">
        <f t="shared" si="312"/>
        <v>11700</v>
      </c>
      <c r="R167" s="22">
        <f t="shared" si="313"/>
        <v>3.2175000000000002</v>
      </c>
      <c r="S167" s="22">
        <f>Q167*0.005%</f>
        <v>0.58500000000000008</v>
      </c>
      <c r="T167" s="36">
        <v>4</v>
      </c>
      <c r="U167" s="36">
        <v>0</v>
      </c>
      <c r="V167" s="22">
        <v>0</v>
      </c>
      <c r="W167" s="22">
        <f>Q167-R167-S167-T167-V167</f>
        <v>11692.1975</v>
      </c>
      <c r="X167" s="22">
        <f>20/COUNTA(W166:W168)</f>
        <v>6.666666666666667</v>
      </c>
      <c r="Y167" s="22">
        <f>W167-X167-J167</f>
        <v>797.9948333333341</v>
      </c>
      <c r="Z167" s="22">
        <f>IF(Q169 &gt; 20000, ((Y167+V167)*15%)-V167, 0)</f>
        <v>119.69922500000011</v>
      </c>
      <c r="AA167" s="22">
        <f t="shared" ref="AA167:AA168" si="316">(Y167-Z167)*10%</f>
        <v>67.829560833333403</v>
      </c>
      <c r="AB167" s="22">
        <f t="shared" ref="AB167:AB168" si="317">Y167-Z167-AA167</f>
        <v>610.46604750000063</v>
      </c>
      <c r="AC167" s="36"/>
    </row>
    <row r="168" spans="1:32" s="66" customFormat="1" x14ac:dyDescent="0.25">
      <c r="A168" s="10">
        <v>42781</v>
      </c>
      <c r="B168" t="s">
        <v>274</v>
      </c>
      <c r="C168">
        <v>700</v>
      </c>
      <c r="D168" s="22">
        <v>16.399999999999999</v>
      </c>
      <c r="E168" s="22">
        <f t="shared" si="309"/>
        <v>11479.999999999998</v>
      </c>
      <c r="F168" s="22">
        <f t="shared" si="310"/>
        <v>3.1569999999999996</v>
      </c>
      <c r="G168" s="22">
        <f t="shared" si="311"/>
        <v>0.57399999999999995</v>
      </c>
      <c r="H168" s="22">
        <v>4</v>
      </c>
      <c r="I168" s="22">
        <v>0</v>
      </c>
      <c r="J168" s="22">
        <f>E168+F168+G168+H168</f>
        <v>11487.730999999998</v>
      </c>
      <c r="K168" s="12"/>
      <c r="L168" s="30">
        <v>42823</v>
      </c>
      <c r="M168" s="66">
        <v>87257</v>
      </c>
      <c r="N168" s="66" t="s">
        <v>274</v>
      </c>
      <c r="O168" s="66">
        <v>700</v>
      </c>
      <c r="P168" s="36">
        <v>16.368600000000001</v>
      </c>
      <c r="Q168" s="22">
        <f t="shared" si="312"/>
        <v>11458.02</v>
      </c>
      <c r="R168" s="22">
        <f t="shared" si="313"/>
        <v>3.1509555000000002</v>
      </c>
      <c r="S168" s="22">
        <f>Q168*0.005%</f>
        <v>0.5729010000000001</v>
      </c>
      <c r="T168" s="36">
        <v>4</v>
      </c>
      <c r="U168" s="36">
        <v>0</v>
      </c>
      <c r="V168" s="22">
        <v>0</v>
      </c>
      <c r="W168" s="22">
        <f>Q168-R168-S168-T168-V168</f>
        <v>11450.296143500002</v>
      </c>
      <c r="X168" s="22">
        <f>20/COUNTA(W166:W168)</f>
        <v>6.666666666666667</v>
      </c>
      <c r="Y168" s="22">
        <f>W168-X168-J168</f>
        <v>-44.101523166662446</v>
      </c>
      <c r="Z168" s="22">
        <f>IF(Q169 &gt; 20000, ((Y168+V168)*15%)-V168, 0)</f>
        <v>-6.6152284749993671</v>
      </c>
      <c r="AA168" s="22">
        <f t="shared" si="316"/>
        <v>-3.7486294691663078</v>
      </c>
      <c r="AB168" s="22">
        <f t="shared" si="317"/>
        <v>-33.737665222496766</v>
      </c>
      <c r="AC168" s="83"/>
      <c r="AE168" s="83"/>
      <c r="AF168" s="36"/>
    </row>
    <row r="169" spans="1:32" x14ac:dyDescent="0.25">
      <c r="E169" s="22">
        <f>SUM(E166:E168)</f>
        <v>32560</v>
      </c>
      <c r="F169" s="22">
        <f>SUM(F166:F168)</f>
        <v>8.9540000000000006</v>
      </c>
      <c r="G169" s="22">
        <f>SUM(G166:G168)</f>
        <v>1.6280000000000001</v>
      </c>
      <c r="H169" s="22">
        <f>SUM(H166:H168)</f>
        <v>12</v>
      </c>
      <c r="I169" s="22">
        <v>0</v>
      </c>
      <c r="J169" s="22">
        <f>SUM(J166:J168)</f>
        <v>32582.582000000002</v>
      </c>
      <c r="K169" s="12"/>
      <c r="Q169" s="22">
        <f t="shared" ref="Q169:W169" si="318">SUM(Q166:Q168)</f>
        <v>34225.020000000004</v>
      </c>
      <c r="R169" s="22">
        <f t="shared" si="318"/>
        <v>9.4118805000000005</v>
      </c>
      <c r="S169" s="22">
        <f t="shared" si="318"/>
        <v>1.9325910000000002</v>
      </c>
      <c r="T169" s="22">
        <f t="shared" si="318"/>
        <v>16.990000000000002</v>
      </c>
      <c r="U169" s="22">
        <v>0</v>
      </c>
      <c r="V169" s="22">
        <f t="shared" si="318"/>
        <v>0</v>
      </c>
      <c r="W169" s="22">
        <f t="shared" si="318"/>
        <v>34196.685528500006</v>
      </c>
      <c r="X169" s="22">
        <f>SUM(X166:X168)</f>
        <v>20</v>
      </c>
      <c r="Y169" s="22">
        <f>SUM(Y166:Y168)</f>
        <v>1594.1035285000053</v>
      </c>
      <c r="Z169" s="38">
        <f>SUM(Z166:Z168)</f>
        <v>239.1155292750008</v>
      </c>
      <c r="AA169" s="38">
        <f>SUM(AA166:AA168)</f>
        <v>135.49879992250047</v>
      </c>
      <c r="AB169" s="52">
        <f>SUM(AB166:AB168)</f>
        <v>1219.4891993025042</v>
      </c>
    </row>
    <row r="170" spans="1:32" x14ac:dyDescent="0.25">
      <c r="K170" s="12"/>
    </row>
    <row r="171" spans="1:32" x14ac:dyDescent="0.25">
      <c r="A171" s="144" t="s">
        <v>407</v>
      </c>
      <c r="B171" s="144"/>
      <c r="C171" s="144"/>
      <c r="D171" s="144"/>
      <c r="E171" s="144"/>
      <c r="F171" s="144"/>
      <c r="G171" s="144"/>
      <c r="H171" s="144"/>
      <c r="I171" s="144"/>
      <c r="J171" s="144"/>
      <c r="K171" s="144"/>
      <c r="L171" s="144"/>
      <c r="M171" s="144"/>
      <c r="N171" s="144"/>
      <c r="O171" s="144"/>
      <c r="P171" s="144"/>
      <c r="Q171" s="144"/>
      <c r="R171" s="144"/>
      <c r="S171" s="144"/>
      <c r="T171" s="144"/>
      <c r="U171" s="144"/>
      <c r="V171" s="144"/>
      <c r="W171" s="144"/>
      <c r="X171" s="144"/>
      <c r="Y171" s="144"/>
      <c r="Z171" s="144"/>
      <c r="AA171" s="144"/>
      <c r="AB171" s="144"/>
    </row>
    <row r="172" spans="1:32" x14ac:dyDescent="0.25">
      <c r="A172" s="10">
        <v>42788</v>
      </c>
      <c r="B172" t="s">
        <v>315</v>
      </c>
      <c r="C172">
        <v>1200</v>
      </c>
      <c r="D172" s="22">
        <v>8.39</v>
      </c>
      <c r="E172" s="22">
        <f t="shared" ref="E172:E173" si="319">C172*D172</f>
        <v>10068</v>
      </c>
      <c r="F172" s="36">
        <f t="shared" ref="F172:F173" si="320">E172*0.0275%</f>
        <v>2.7687000000000004</v>
      </c>
      <c r="G172" s="36">
        <f t="shared" ref="G172:G173" si="321">E172*0.005%</f>
        <v>0.50340000000000007</v>
      </c>
      <c r="H172" s="22">
        <v>4</v>
      </c>
      <c r="I172" s="22">
        <v>0</v>
      </c>
      <c r="J172" s="22">
        <f>E172+F172+G172+H172</f>
        <v>10075.2721</v>
      </c>
      <c r="K172" s="12"/>
      <c r="L172" s="30">
        <v>42836</v>
      </c>
      <c r="M172" s="66">
        <v>91074</v>
      </c>
      <c r="N172" s="66" t="s">
        <v>315</v>
      </c>
      <c r="O172" s="66">
        <v>1200</v>
      </c>
      <c r="P172" s="36">
        <v>10.24</v>
      </c>
      <c r="Q172" s="22">
        <f t="shared" ref="Q172:Q173" si="322">O172*P172</f>
        <v>12288</v>
      </c>
      <c r="R172" s="36">
        <f t="shared" ref="R172:R173" si="323">Q172*0.0275%</f>
        <v>3.3792</v>
      </c>
      <c r="S172" s="36">
        <f t="shared" ref="S172" si="324">Q172*0.005%</f>
        <v>0.61440000000000006</v>
      </c>
      <c r="T172" s="36">
        <v>4</v>
      </c>
      <c r="U172" s="36">
        <v>0</v>
      </c>
      <c r="V172" s="22">
        <v>0</v>
      </c>
      <c r="W172" s="22">
        <f>Q172-R172-S172-T172-V172</f>
        <v>12280.0064</v>
      </c>
      <c r="X172" s="22">
        <f>20/COUNTA(W172:W173)</f>
        <v>10</v>
      </c>
      <c r="Y172" s="22">
        <f>W172-X172-J172</f>
        <v>2194.7343000000001</v>
      </c>
      <c r="Z172" s="22">
        <f>IF(Q174 &gt; 20000, ((Y172+V172)*15%)-V172, 0)</f>
        <v>329.21014500000001</v>
      </c>
      <c r="AA172" s="22">
        <f t="shared" ref="AA172:AA173" si="325">(Y172-Z172)*10%</f>
        <v>186.55241550000002</v>
      </c>
      <c r="AB172" s="22">
        <f t="shared" ref="AB172:AB173" si="326">Y172-Z172-AA172</f>
        <v>1678.9717395</v>
      </c>
      <c r="AC172" s="22"/>
    </row>
    <row r="173" spans="1:32" s="66" customFormat="1" x14ac:dyDescent="0.25">
      <c r="A173" s="10">
        <v>42758</v>
      </c>
      <c r="B173" t="s">
        <v>277</v>
      </c>
      <c r="C173">
        <v>4000</v>
      </c>
      <c r="D173" s="22">
        <v>2.78</v>
      </c>
      <c r="E173" s="22">
        <f t="shared" si="319"/>
        <v>11120</v>
      </c>
      <c r="F173" s="36">
        <f t="shared" si="320"/>
        <v>3.0580000000000003</v>
      </c>
      <c r="G173" s="36">
        <f t="shared" si="321"/>
        <v>0.55600000000000005</v>
      </c>
      <c r="H173" s="22">
        <v>8.99</v>
      </c>
      <c r="I173" s="22">
        <v>0</v>
      </c>
      <c r="J173" s="22">
        <f>E173+F173+G173+H173</f>
        <v>11132.604000000001</v>
      </c>
      <c r="K173" s="12"/>
      <c r="L173" s="30">
        <v>42849</v>
      </c>
      <c r="M173" s="66">
        <v>94280</v>
      </c>
      <c r="N173" s="66" t="s">
        <v>277</v>
      </c>
      <c r="O173" s="66">
        <v>4000</v>
      </c>
      <c r="P173" s="36">
        <v>2.89</v>
      </c>
      <c r="Q173" s="22">
        <f t="shared" si="322"/>
        <v>11560</v>
      </c>
      <c r="R173" s="36">
        <f t="shared" si="323"/>
        <v>3.1790000000000003</v>
      </c>
      <c r="S173" s="36">
        <f>Q173*0.007%</f>
        <v>0.80920000000000003</v>
      </c>
      <c r="T173" s="23">
        <v>8.99</v>
      </c>
      <c r="U173" s="23">
        <v>0</v>
      </c>
      <c r="V173" s="22">
        <v>0</v>
      </c>
      <c r="W173" s="22">
        <f>Q173-R173-S173-T173-V173</f>
        <v>11547.0218</v>
      </c>
      <c r="X173" s="22">
        <f>20/COUNTA(W172:W173)</f>
        <v>10</v>
      </c>
      <c r="Y173" s="22">
        <f>W173-X173-J173</f>
        <v>404.41779999999926</v>
      </c>
      <c r="Z173" s="22">
        <f>IF(Q174 &gt; 20000, ((Y173+V173)*15%)-V173, 0)</f>
        <v>60.662669999999885</v>
      </c>
      <c r="AA173" s="22">
        <f t="shared" si="325"/>
        <v>34.375512999999941</v>
      </c>
      <c r="AB173" s="22">
        <f t="shared" si="326"/>
        <v>309.37961699999943</v>
      </c>
      <c r="AC173" s="36"/>
    </row>
    <row r="174" spans="1:32" x14ac:dyDescent="0.25">
      <c r="E174" s="22">
        <f>SUM(E172:E173)</f>
        <v>21188</v>
      </c>
      <c r="F174" s="22">
        <f>SUM(F172:F173)</f>
        <v>5.8267000000000007</v>
      </c>
      <c r="G174" s="22">
        <f>SUM(G172:G173)</f>
        <v>1.0594000000000001</v>
      </c>
      <c r="H174" s="22">
        <f>SUM(H172:H173)</f>
        <v>12.99</v>
      </c>
      <c r="I174" s="22">
        <v>0</v>
      </c>
      <c r="J174" s="22">
        <f>SUM(J172:J173)</f>
        <v>21207.876100000001</v>
      </c>
      <c r="K174" s="12"/>
      <c r="Q174" s="22">
        <f t="shared" ref="Q174:W174" si="327">SUM(Q172:Q173)</f>
        <v>23848</v>
      </c>
      <c r="R174" s="22">
        <f t="shared" si="327"/>
        <v>6.5582000000000003</v>
      </c>
      <c r="S174" s="22">
        <f t="shared" si="327"/>
        <v>1.4236</v>
      </c>
      <c r="T174" s="22">
        <f t="shared" si="327"/>
        <v>12.99</v>
      </c>
      <c r="U174" s="22">
        <v>0</v>
      </c>
      <c r="V174" s="22">
        <f t="shared" si="327"/>
        <v>0</v>
      </c>
      <c r="W174" s="22">
        <f t="shared" si="327"/>
        <v>23827.028200000001</v>
      </c>
      <c r="X174" s="22">
        <f>SUM(X172:X173)</f>
        <v>20</v>
      </c>
      <c r="Y174" s="22">
        <f>SUM(Y172:Y173)</f>
        <v>2599.1520999999993</v>
      </c>
      <c r="Z174" s="38">
        <f>SUM(Z172:Z173)</f>
        <v>389.87281499999989</v>
      </c>
      <c r="AA174" s="38">
        <f>SUM(AA172:AA173)</f>
        <v>220.92792849999995</v>
      </c>
      <c r="AB174" s="52">
        <f>SUM(AB172:AB173)</f>
        <v>1988.3513564999994</v>
      </c>
    </row>
    <row r="175" spans="1:32" x14ac:dyDescent="0.25">
      <c r="K175" s="12"/>
    </row>
    <row r="176" spans="1:32" x14ac:dyDescent="0.25">
      <c r="A176" s="144" t="s">
        <v>408</v>
      </c>
      <c r="B176" s="144"/>
      <c r="C176" s="144"/>
      <c r="D176" s="144"/>
      <c r="E176" s="144"/>
      <c r="F176" s="144"/>
      <c r="G176" s="144"/>
      <c r="H176" s="144"/>
      <c r="I176" s="144"/>
      <c r="J176" s="144"/>
      <c r="K176" s="144"/>
      <c r="L176" s="144"/>
      <c r="M176" s="144"/>
      <c r="N176" s="144"/>
      <c r="O176" s="144"/>
      <c r="P176" s="144"/>
      <c r="Q176" s="144"/>
      <c r="R176" s="144"/>
      <c r="S176" s="144"/>
      <c r="T176" s="144"/>
      <c r="U176" s="144"/>
      <c r="V176" s="144"/>
      <c r="W176" s="144"/>
      <c r="X176" s="144"/>
      <c r="Y176" s="144"/>
      <c r="Z176" s="144"/>
      <c r="AA176" s="144"/>
      <c r="AB176" s="144"/>
    </row>
    <row r="177" spans="1:29" x14ac:dyDescent="0.25">
      <c r="A177" s="10">
        <v>42787</v>
      </c>
      <c r="B177" t="s">
        <v>322</v>
      </c>
      <c r="C177">
        <v>1500</v>
      </c>
      <c r="D177" s="22">
        <v>6.91</v>
      </c>
      <c r="E177" s="22">
        <f t="shared" ref="E177:E178" si="328">C177*D177</f>
        <v>10365</v>
      </c>
      <c r="F177" s="36">
        <f t="shared" ref="F177:F178" si="329">E177*0.0275%</f>
        <v>2.8503750000000001</v>
      </c>
      <c r="G177" s="36">
        <f t="shared" ref="G177:G178" si="330">E177*0.005%</f>
        <v>0.51824999999999999</v>
      </c>
      <c r="H177" s="22">
        <v>4</v>
      </c>
      <c r="I177" s="22">
        <v>0</v>
      </c>
      <c r="J177" s="22">
        <f>E177+F177+G177+H177</f>
        <v>10372.368624999999</v>
      </c>
      <c r="K177" s="12"/>
      <c r="L177" s="30">
        <v>42857</v>
      </c>
      <c r="M177" s="66">
        <v>96573</v>
      </c>
      <c r="N177" s="66" t="s">
        <v>322</v>
      </c>
      <c r="O177" s="66">
        <v>1500</v>
      </c>
      <c r="P177" s="36">
        <v>7.48</v>
      </c>
      <c r="Q177" s="22">
        <f t="shared" ref="Q177:Q180" si="331">O177*P177</f>
        <v>11220</v>
      </c>
      <c r="R177" s="36">
        <f t="shared" ref="R177:R180" si="332">Q177*0.0275%</f>
        <v>3.0855000000000001</v>
      </c>
      <c r="S177" s="36">
        <f t="shared" ref="S177:S180" si="333">Q177*0.005%</f>
        <v>0.56100000000000005</v>
      </c>
      <c r="T177" s="23">
        <v>8.99</v>
      </c>
      <c r="U177" s="23">
        <v>0</v>
      </c>
      <c r="V177" s="22">
        <v>0</v>
      </c>
      <c r="W177" s="22">
        <f t="shared" ref="W177:W182" si="334">Q177-R177-S177-T177-V177</f>
        <v>11207.363500000001</v>
      </c>
      <c r="X177" s="22">
        <f>20/COUNTA(W177:W186)</f>
        <v>2</v>
      </c>
      <c r="Y177" s="22">
        <f>W177-X177-J177</f>
        <v>832.99487500000214</v>
      </c>
      <c r="Z177" s="22">
        <f>IF(Q187 &gt; 20000, ((Y177+V177)*15%)-V177, 0)</f>
        <v>124.94923125000031</v>
      </c>
      <c r="AA177" s="22">
        <f>(Y177-Z177)*10%</f>
        <v>70.804564375000183</v>
      </c>
      <c r="AB177" s="22">
        <f>Y177-Z177-AA177</f>
        <v>637.24107937500162</v>
      </c>
    </row>
    <row r="178" spans="1:29" x14ac:dyDescent="0.25">
      <c r="A178" s="10">
        <v>42787</v>
      </c>
      <c r="B178" t="s">
        <v>324</v>
      </c>
      <c r="C178">
        <v>1000</v>
      </c>
      <c r="D178" s="22">
        <v>9</v>
      </c>
      <c r="E178" s="22">
        <f t="shared" si="328"/>
        <v>9000</v>
      </c>
      <c r="F178" s="36">
        <f t="shared" si="329"/>
        <v>2.4750000000000001</v>
      </c>
      <c r="G178" s="36">
        <f t="shared" si="330"/>
        <v>0.45</v>
      </c>
      <c r="H178" s="22">
        <v>4</v>
      </c>
      <c r="I178" s="22">
        <v>0</v>
      </c>
      <c r="J178" s="22">
        <f>E178+F178+G178+H178</f>
        <v>9006.9250000000011</v>
      </c>
      <c r="K178" s="12"/>
      <c r="L178" s="30">
        <v>42859</v>
      </c>
      <c r="M178" s="66">
        <v>97767</v>
      </c>
      <c r="N178" s="21" t="s">
        <v>327</v>
      </c>
      <c r="O178" s="66">
        <v>900</v>
      </c>
      <c r="P178" s="36">
        <v>9.5</v>
      </c>
      <c r="Q178" s="22">
        <f t="shared" si="331"/>
        <v>8550</v>
      </c>
      <c r="R178" s="36">
        <f t="shared" si="332"/>
        <v>2.3512500000000003</v>
      </c>
      <c r="S178" s="36">
        <f t="shared" si="333"/>
        <v>0.42750000000000005</v>
      </c>
      <c r="T178" s="23">
        <v>8.99</v>
      </c>
      <c r="U178" s="23">
        <v>0</v>
      </c>
      <c r="V178" s="22">
        <v>0</v>
      </c>
      <c r="W178" s="22">
        <f t="shared" si="334"/>
        <v>8538.2312500000007</v>
      </c>
      <c r="X178" s="22">
        <f>20/COUNTA(W177:W186)</f>
        <v>2</v>
      </c>
      <c r="Y178" s="22"/>
      <c r="Z178" s="22"/>
      <c r="AA178" s="22"/>
      <c r="AB178" s="22"/>
    </row>
    <row r="179" spans="1:29" x14ac:dyDescent="0.25">
      <c r="K179" s="12"/>
      <c r="L179" s="30">
        <v>42864</v>
      </c>
      <c r="M179" s="66">
        <v>99322</v>
      </c>
      <c r="N179" s="21" t="s">
        <v>327</v>
      </c>
      <c r="O179" s="66">
        <v>100</v>
      </c>
      <c r="P179" s="36">
        <v>9.5</v>
      </c>
      <c r="Q179" s="22">
        <f t="shared" si="331"/>
        <v>950</v>
      </c>
      <c r="R179" s="36">
        <f t="shared" si="332"/>
        <v>0.26125000000000004</v>
      </c>
      <c r="S179" s="36">
        <f t="shared" si="333"/>
        <v>4.7500000000000001E-2</v>
      </c>
      <c r="T179" s="36">
        <v>0</v>
      </c>
      <c r="U179" s="36">
        <v>0</v>
      </c>
      <c r="V179" s="22">
        <v>0</v>
      </c>
      <c r="W179" s="22">
        <f t="shared" si="334"/>
        <v>949.69124999999997</v>
      </c>
      <c r="X179" s="22">
        <f>20/COUNTA(W177:W186)</f>
        <v>2</v>
      </c>
      <c r="Y179" s="22">
        <f>SUM(W178:W179)-SUM(X178:X179)-J178</f>
        <v>476.99749999999949</v>
      </c>
      <c r="Z179" s="22">
        <f>IF(Q187 &gt; 20000, ((Y179+V179)*15%)-V179, 0)</f>
        <v>71.549624999999921</v>
      </c>
      <c r="AA179" s="22">
        <f>(Y179-Z179)*10%</f>
        <v>40.544787499999956</v>
      </c>
      <c r="AB179" s="22">
        <f>Y179-Z179-AA179</f>
        <v>364.90308749999963</v>
      </c>
    </row>
    <row r="180" spans="1:29" s="66" customFormat="1" x14ac:dyDescent="0.25">
      <c r="A180" s="10">
        <v>42787</v>
      </c>
      <c r="B180" t="s">
        <v>320</v>
      </c>
      <c r="C180">
        <v>300</v>
      </c>
      <c r="D180" s="22">
        <v>33.700000000000003</v>
      </c>
      <c r="E180" s="22">
        <f t="shared" ref="E180" si="335">C180*D180</f>
        <v>10110</v>
      </c>
      <c r="F180" s="36">
        <f t="shared" ref="F180" si="336">E180*0.0275%</f>
        <v>2.7802500000000001</v>
      </c>
      <c r="G180" s="36">
        <f t="shared" ref="G180" si="337">E180*0.005%</f>
        <v>0.50550000000000006</v>
      </c>
      <c r="H180" s="22">
        <v>4</v>
      </c>
      <c r="I180" s="22">
        <v>0</v>
      </c>
      <c r="J180" s="22">
        <f t="shared" ref="J180:J184" si="338">E180+F180+G180+H180</f>
        <v>10117.285749999999</v>
      </c>
      <c r="K180" s="12"/>
      <c r="L180" s="10">
        <v>42865</v>
      </c>
      <c r="M180" s="66">
        <v>99834</v>
      </c>
      <c r="N180" t="s">
        <v>320</v>
      </c>
      <c r="O180">
        <v>300</v>
      </c>
      <c r="P180" s="36">
        <v>35</v>
      </c>
      <c r="Q180" s="22">
        <f t="shared" si="331"/>
        <v>10500</v>
      </c>
      <c r="R180" s="36">
        <f t="shared" si="332"/>
        <v>2.8875000000000002</v>
      </c>
      <c r="S180" s="36">
        <f t="shared" si="333"/>
        <v>0.52500000000000002</v>
      </c>
      <c r="T180" s="23">
        <v>8.99</v>
      </c>
      <c r="U180" s="23">
        <v>0</v>
      </c>
      <c r="V180" s="22">
        <f>Q180*0.005%</f>
        <v>0.52500000000000002</v>
      </c>
      <c r="W180" s="22">
        <f t="shared" si="334"/>
        <v>10487.0725</v>
      </c>
      <c r="X180" s="22">
        <f>20/COUNTA(W177:W186)</f>
        <v>2</v>
      </c>
      <c r="Y180" s="22">
        <f t="shared" ref="Y180:Y184" si="339">W180-X180-J180</f>
        <v>367.78675000000112</v>
      </c>
      <c r="Z180" s="22">
        <f>IF(Q187 &gt; 20000, ((Y180+V180)*15%)-V180, 0)</f>
        <v>54.721762500000168</v>
      </c>
      <c r="AA180" s="22">
        <f>(Y180-Z180)*10%</f>
        <v>31.306498750000095</v>
      </c>
      <c r="AB180" s="22">
        <f>Y180-Z180-AA180</f>
        <v>281.75848875000082</v>
      </c>
      <c r="AC180" s="36"/>
    </row>
    <row r="181" spans="1:29" x14ac:dyDescent="0.25">
      <c r="A181" s="10">
        <v>42780</v>
      </c>
      <c r="B181" t="s">
        <v>317</v>
      </c>
      <c r="C181">
        <v>700</v>
      </c>
      <c r="D181" s="22">
        <v>18.239999999999998</v>
      </c>
      <c r="E181" s="22">
        <f t="shared" ref="E181:E185" si="340">C181*D181</f>
        <v>12767.999999999998</v>
      </c>
      <c r="F181" s="36">
        <f t="shared" ref="F181" si="341">E181*0.0275%</f>
        <v>3.5111999999999997</v>
      </c>
      <c r="G181" s="36">
        <f t="shared" ref="G181" si="342">E181*0.005%</f>
        <v>0.63839999999999997</v>
      </c>
      <c r="H181" s="22">
        <v>4</v>
      </c>
      <c r="I181" s="22">
        <v>0</v>
      </c>
      <c r="J181" s="22">
        <f t="shared" si="338"/>
        <v>12776.149599999999</v>
      </c>
      <c r="K181" s="12"/>
      <c r="L181" s="10">
        <v>42865</v>
      </c>
      <c r="M181" s="66">
        <v>99834</v>
      </c>
      <c r="N181" t="s">
        <v>317</v>
      </c>
      <c r="O181">
        <v>700</v>
      </c>
      <c r="P181" s="36">
        <v>19</v>
      </c>
      <c r="Q181" s="22">
        <f t="shared" ref="Q181:Q182" si="343">O181*P181</f>
        <v>13300</v>
      </c>
      <c r="R181" s="36">
        <f t="shared" ref="R181:R182" si="344">Q181*0.0275%</f>
        <v>3.6575000000000002</v>
      </c>
      <c r="S181" s="36">
        <f t="shared" ref="S181:S182" si="345">Q181*0.005%</f>
        <v>0.66500000000000004</v>
      </c>
      <c r="T181" s="23">
        <v>8.99</v>
      </c>
      <c r="U181" s="23">
        <v>0</v>
      </c>
      <c r="V181" s="22">
        <f>Q181*0.005%</f>
        <v>0.66500000000000004</v>
      </c>
      <c r="W181" s="22">
        <f t="shared" si="334"/>
        <v>13286.022499999999</v>
      </c>
      <c r="X181" s="22">
        <f>20/COUNTA(W177:W186)</f>
        <v>2</v>
      </c>
      <c r="Y181" s="22">
        <f t="shared" si="339"/>
        <v>507.8729000000003</v>
      </c>
      <c r="Z181" s="22">
        <f>IF(Q187 &gt; 20000, ((Y181+V181)*15%)-V181, 0)</f>
        <v>75.615685000000042</v>
      </c>
      <c r="AA181" s="22">
        <f t="shared" ref="AA181" si="346">(Y181-Z181)*10%</f>
        <v>43.225721500000027</v>
      </c>
      <c r="AB181" s="22">
        <f t="shared" ref="AB181:AB185" si="347">Y181-Z181-AA181</f>
        <v>389.03149350000024</v>
      </c>
      <c r="AC181" s="22"/>
    </row>
    <row r="182" spans="1:29" x14ac:dyDescent="0.25">
      <c r="A182" s="10">
        <v>41954</v>
      </c>
      <c r="B182" t="s">
        <v>268</v>
      </c>
      <c r="C182">
        <v>300</v>
      </c>
      <c r="D182" s="22">
        <v>13.7</v>
      </c>
      <c r="E182" s="22">
        <f t="shared" si="340"/>
        <v>4110</v>
      </c>
      <c r="F182" s="36">
        <f t="shared" ref="F182:F185" si="348">E182*0.0275%</f>
        <v>1.13025</v>
      </c>
      <c r="G182" s="36">
        <f t="shared" ref="G182:G185" si="349">E182*0.005%</f>
        <v>0.20550000000000002</v>
      </c>
      <c r="H182" s="22">
        <v>15.99</v>
      </c>
      <c r="I182" s="22">
        <v>0</v>
      </c>
      <c r="J182" s="22">
        <f t="shared" si="338"/>
        <v>4127.32575</v>
      </c>
      <c r="K182" s="12"/>
      <c r="L182" s="10">
        <v>42870</v>
      </c>
      <c r="M182" s="66">
        <v>101925</v>
      </c>
      <c r="N182" t="s">
        <v>268</v>
      </c>
      <c r="O182">
        <v>300</v>
      </c>
      <c r="P182" s="22">
        <v>15.77</v>
      </c>
      <c r="Q182" s="22">
        <f t="shared" si="343"/>
        <v>4731</v>
      </c>
      <c r="R182" s="22">
        <f t="shared" si="344"/>
        <v>1.3010250000000001</v>
      </c>
      <c r="S182" s="22">
        <f t="shared" si="345"/>
        <v>0.23655000000000001</v>
      </c>
      <c r="T182" s="22">
        <v>4</v>
      </c>
      <c r="U182" s="22">
        <v>0</v>
      </c>
      <c r="V182" s="22">
        <v>0</v>
      </c>
      <c r="W182" s="22">
        <f t="shared" si="334"/>
        <v>4725.4624250000006</v>
      </c>
      <c r="X182" s="22">
        <f>20/COUNTA(W177:W186)</f>
        <v>2</v>
      </c>
      <c r="Y182" s="22">
        <f t="shared" si="339"/>
        <v>596.13667500000065</v>
      </c>
      <c r="Z182" s="22">
        <f>IF(Q187 &gt; 20000, ((Y182+V182)*15%)-V182, 0)</f>
        <v>89.4205012500001</v>
      </c>
      <c r="AA182" s="22">
        <f t="shared" ref="AA182" si="350">(Y182-Z182)*10%</f>
        <v>50.671617375000061</v>
      </c>
      <c r="AB182" s="22">
        <f t="shared" si="347"/>
        <v>456.04455637500052</v>
      </c>
      <c r="AC182" s="22"/>
    </row>
    <row r="183" spans="1:29" x14ac:dyDescent="0.25">
      <c r="A183" s="10">
        <v>42836</v>
      </c>
      <c r="B183" s="66" t="s">
        <v>312</v>
      </c>
      <c r="C183" s="66">
        <v>3100</v>
      </c>
      <c r="D183" s="36">
        <v>3.95</v>
      </c>
      <c r="E183" s="22">
        <f t="shared" si="340"/>
        <v>12245</v>
      </c>
      <c r="F183" s="36">
        <f t="shared" si="348"/>
        <v>3.367375</v>
      </c>
      <c r="G183" s="36">
        <f t="shared" si="349"/>
        <v>0.61225000000000007</v>
      </c>
      <c r="H183" s="36">
        <v>4</v>
      </c>
      <c r="I183" s="36">
        <v>0</v>
      </c>
      <c r="J183" s="22">
        <f t="shared" si="338"/>
        <v>12252.979625</v>
      </c>
      <c r="K183" s="12"/>
      <c r="L183" s="10">
        <v>42870</v>
      </c>
      <c r="M183" s="66">
        <v>101925</v>
      </c>
      <c r="N183" t="s">
        <v>312</v>
      </c>
      <c r="O183">
        <v>3100</v>
      </c>
      <c r="P183" s="22">
        <v>4.3499999999999996</v>
      </c>
      <c r="Q183" s="22">
        <f t="shared" ref="Q183:Q185" si="351">O183*P183</f>
        <v>13484.999999999998</v>
      </c>
      <c r="R183" s="22">
        <f t="shared" ref="R183:R185" si="352">Q183*0.0275%</f>
        <v>3.7083749999999998</v>
      </c>
      <c r="S183" s="22">
        <f t="shared" ref="S183:S185" si="353">Q183*0.005%</f>
        <v>0.6742499999999999</v>
      </c>
      <c r="T183" s="22">
        <v>4</v>
      </c>
      <c r="U183" s="22">
        <v>0</v>
      </c>
      <c r="V183" s="22">
        <v>0</v>
      </c>
      <c r="W183" s="22">
        <f t="shared" ref="W183:W184" si="354">Q183-R183-S183-T183-V183</f>
        <v>13476.617374999998</v>
      </c>
      <c r="X183" s="22">
        <f>20/COUNTA(W177:W186)</f>
        <v>2</v>
      </c>
      <c r="Y183" s="22">
        <f t="shared" si="339"/>
        <v>1221.6377499999981</v>
      </c>
      <c r="Z183" s="22">
        <f>IF(Q187 &gt; 20000, ((Y183+V183)*15%)-V183, 0)</f>
        <v>183.2456624999997</v>
      </c>
      <c r="AA183" s="22">
        <f t="shared" ref="AA183:AA185" si="355">(Y183-Z183)*10%</f>
        <v>103.83920874999984</v>
      </c>
      <c r="AB183" s="22">
        <f t="shared" si="347"/>
        <v>934.5528787499984</v>
      </c>
      <c r="AC183" s="22"/>
    </row>
    <row r="184" spans="1:29" x14ac:dyDescent="0.25">
      <c r="A184" s="10">
        <v>42858</v>
      </c>
      <c r="B184" t="s">
        <v>267</v>
      </c>
      <c r="C184">
        <v>700</v>
      </c>
      <c r="D184" s="22">
        <v>9.57</v>
      </c>
      <c r="E184" s="22">
        <f t="shared" si="340"/>
        <v>6699</v>
      </c>
      <c r="F184" s="36">
        <f t="shared" si="348"/>
        <v>1.842225</v>
      </c>
      <c r="G184" s="36">
        <f t="shared" si="349"/>
        <v>0.33495000000000003</v>
      </c>
      <c r="H184" s="36">
        <v>4</v>
      </c>
      <c r="I184" s="36">
        <v>0</v>
      </c>
      <c r="J184" s="22">
        <f t="shared" si="338"/>
        <v>6705.1771750000007</v>
      </c>
      <c r="K184" s="12"/>
      <c r="L184" s="10">
        <v>42871</v>
      </c>
      <c r="M184" s="66">
        <v>102534</v>
      </c>
      <c r="N184" t="s">
        <v>267</v>
      </c>
      <c r="O184">
        <v>700</v>
      </c>
      <c r="P184" s="22">
        <v>10.17</v>
      </c>
      <c r="Q184" s="22">
        <f t="shared" si="351"/>
        <v>7119</v>
      </c>
      <c r="R184" s="22">
        <f t="shared" si="352"/>
        <v>1.9577250000000002</v>
      </c>
      <c r="S184" s="22">
        <f t="shared" si="353"/>
        <v>0.35595000000000004</v>
      </c>
      <c r="T184" s="22">
        <v>4</v>
      </c>
      <c r="U184" s="22">
        <v>0</v>
      </c>
      <c r="V184" s="22">
        <v>0</v>
      </c>
      <c r="W184" s="22">
        <f t="shared" si="354"/>
        <v>7112.6863249999997</v>
      </c>
      <c r="X184" s="22">
        <f>20/COUNTA(W177:W186)</f>
        <v>2</v>
      </c>
      <c r="Y184" s="22">
        <f t="shared" si="339"/>
        <v>405.50914999999895</v>
      </c>
      <c r="Z184" s="22">
        <f>IF(Q187 &gt; 20000, ((Y184+V184)*15%)-V184, 0)</f>
        <v>60.826372499999842</v>
      </c>
      <c r="AA184" s="22">
        <f t="shared" si="355"/>
        <v>34.468277749999913</v>
      </c>
      <c r="AB184" s="22">
        <f t="shared" si="347"/>
        <v>310.21449974999922</v>
      </c>
      <c r="AC184" s="22"/>
    </row>
    <row r="185" spans="1:29" x14ac:dyDescent="0.25">
      <c r="A185" s="10">
        <v>42695</v>
      </c>
      <c r="B185" t="s">
        <v>279</v>
      </c>
      <c r="C185">
        <v>300</v>
      </c>
      <c r="D185" s="22">
        <v>27.85</v>
      </c>
      <c r="E185" s="22">
        <f t="shared" si="340"/>
        <v>8355</v>
      </c>
      <c r="F185" s="36">
        <f t="shared" si="348"/>
        <v>2.297625</v>
      </c>
      <c r="G185" s="36">
        <f t="shared" si="349"/>
        <v>0.41775000000000001</v>
      </c>
      <c r="H185" s="22">
        <v>8.99</v>
      </c>
      <c r="I185" s="22">
        <v>0</v>
      </c>
      <c r="J185" s="22">
        <f t="shared" ref="J185" si="356">E185+F185+G185+H185</f>
        <v>8366.7053749999995</v>
      </c>
      <c r="K185" s="12"/>
      <c r="L185" s="10">
        <v>42873</v>
      </c>
      <c r="M185" s="66">
        <v>104082</v>
      </c>
      <c r="N185" t="s">
        <v>279</v>
      </c>
      <c r="O185">
        <v>300</v>
      </c>
      <c r="P185" s="22">
        <v>32.549999999999997</v>
      </c>
      <c r="Q185" s="22">
        <f t="shared" si="351"/>
        <v>9765</v>
      </c>
      <c r="R185" s="36">
        <f t="shared" si="352"/>
        <v>2.6853750000000001</v>
      </c>
      <c r="S185" s="36">
        <f t="shared" si="353"/>
        <v>0.48825000000000002</v>
      </c>
      <c r="T185" s="22">
        <v>4</v>
      </c>
      <c r="U185" s="22">
        <v>0</v>
      </c>
      <c r="V185" s="22">
        <v>0</v>
      </c>
      <c r="W185" s="22">
        <f t="shared" ref="W185:W186" si="357">Q185-R185-S185-T185-V185</f>
        <v>9757.8263750000006</v>
      </c>
      <c r="X185" s="22">
        <f>20/COUNTA(W177:W186)</f>
        <v>2</v>
      </c>
      <c r="Y185" s="22">
        <f t="shared" ref="Y185:Y186" si="358">W185-X185-J185</f>
        <v>1389.121000000001</v>
      </c>
      <c r="Z185" s="22">
        <f>IF(Q187 &gt; 20000, ((Y185+V185)*15%)-V185, 0)</f>
        <v>208.36815000000016</v>
      </c>
      <c r="AA185" s="22">
        <f t="shared" si="355"/>
        <v>118.07528500000008</v>
      </c>
      <c r="AB185" s="22">
        <f t="shared" si="347"/>
        <v>1062.6775650000006</v>
      </c>
      <c r="AC185" s="22"/>
    </row>
    <row r="186" spans="1:29" x14ac:dyDescent="0.25">
      <c r="A186" s="10">
        <v>42858</v>
      </c>
      <c r="B186" t="s">
        <v>269</v>
      </c>
      <c r="C186">
        <v>300</v>
      </c>
      <c r="D186" s="22">
        <v>25.75</v>
      </c>
      <c r="E186" s="22">
        <f t="shared" ref="E186" si="359">C186*D186</f>
        <v>7725</v>
      </c>
      <c r="F186" s="36">
        <f t="shared" ref="F186" si="360">E186*0.0275%</f>
        <v>2.1243750000000001</v>
      </c>
      <c r="G186" s="36">
        <f t="shared" ref="G186" si="361">E186*0.005%</f>
        <v>0.38625000000000004</v>
      </c>
      <c r="H186" s="36">
        <v>4</v>
      </c>
      <c r="I186" s="36">
        <v>0</v>
      </c>
      <c r="J186" s="22">
        <f>E186+F186+G186+H186</f>
        <v>7731.5106249999999</v>
      </c>
      <c r="K186" s="12"/>
      <c r="L186" s="10">
        <v>42885</v>
      </c>
      <c r="M186" s="66">
        <v>109729</v>
      </c>
      <c r="N186" t="s">
        <v>269</v>
      </c>
      <c r="O186">
        <v>300</v>
      </c>
      <c r="P186" s="22">
        <v>27.15</v>
      </c>
      <c r="Q186" s="22">
        <f t="shared" ref="Q186" si="362">O186*P186</f>
        <v>8145</v>
      </c>
      <c r="R186" s="22">
        <f t="shared" ref="R186" si="363">Q186*0.0275%</f>
        <v>2.2398750000000001</v>
      </c>
      <c r="S186" s="22">
        <f t="shared" ref="S186" si="364">Q186*0.005%</f>
        <v>0.40725</v>
      </c>
      <c r="T186" s="22">
        <v>4</v>
      </c>
      <c r="U186" s="22">
        <v>0</v>
      </c>
      <c r="V186" s="22">
        <v>0</v>
      </c>
      <c r="W186" s="22">
        <f t="shared" si="357"/>
        <v>8138.3528749999996</v>
      </c>
      <c r="X186" s="22">
        <f>20/COUNTA(W177:W186)</f>
        <v>2</v>
      </c>
      <c r="Y186" s="22">
        <f t="shared" si="358"/>
        <v>404.84224999999969</v>
      </c>
      <c r="Z186" s="22">
        <f>IF(Q187 &gt; 20000, ((Y186+V186)*15%)-V186, 0)</f>
        <v>60.72633749999995</v>
      </c>
      <c r="AA186" s="22">
        <f t="shared" ref="AA186" si="365">(Y186-Z186)*10%</f>
        <v>34.411591249999979</v>
      </c>
      <c r="AB186" s="22">
        <f t="shared" ref="AB186" si="366">Y186-Z186-AA186</f>
        <v>309.70432124999979</v>
      </c>
      <c r="AC186" s="22"/>
    </row>
    <row r="187" spans="1:29" x14ac:dyDescent="0.25">
      <c r="E187" s="22">
        <f>SUM(E177:E186)</f>
        <v>81377</v>
      </c>
      <c r="F187" s="22">
        <f>SUM(F177:F186)</f>
        <v>22.378674999999998</v>
      </c>
      <c r="G187" s="22">
        <f>SUM(G177:G186)</f>
        <v>4.0688500000000003</v>
      </c>
      <c r="H187" s="22">
        <f>SUM(H177:H186)</f>
        <v>52.980000000000004</v>
      </c>
      <c r="I187" s="22">
        <v>0</v>
      </c>
      <c r="J187" s="22">
        <f>SUM(J177:J186)</f>
        <v>81456.427524999992</v>
      </c>
      <c r="K187" s="12"/>
      <c r="L187" s="30"/>
      <c r="M187" s="66"/>
      <c r="N187" s="47"/>
      <c r="O187" s="66"/>
      <c r="P187" s="36"/>
      <c r="Q187" s="22">
        <f t="shared" ref="Q187:V187" si="367">SUM(Q177:Q186)</f>
        <v>87765</v>
      </c>
      <c r="R187" s="36">
        <f t="shared" si="367"/>
        <v>24.135375000000003</v>
      </c>
      <c r="S187" s="36">
        <f t="shared" si="367"/>
        <v>4.3882500000000002</v>
      </c>
      <c r="T187" s="36">
        <f t="shared" si="367"/>
        <v>55.96</v>
      </c>
      <c r="U187" s="36">
        <v>0</v>
      </c>
      <c r="V187" s="22">
        <f t="shared" si="367"/>
        <v>1.19</v>
      </c>
      <c r="W187" s="22">
        <f t="shared" ref="W187:AB187" si="368">SUM(W177:W186)</f>
        <v>87679.326375000004</v>
      </c>
      <c r="X187" s="22">
        <f t="shared" si="368"/>
        <v>20</v>
      </c>
      <c r="Y187" s="22">
        <f t="shared" si="368"/>
        <v>6202.8988500000014</v>
      </c>
      <c r="Z187" s="38">
        <f t="shared" si="368"/>
        <v>929.42332750000014</v>
      </c>
      <c r="AA187" s="38">
        <f t="shared" si="368"/>
        <v>527.34755225000015</v>
      </c>
      <c r="AB187" s="52">
        <f t="shared" si="368"/>
        <v>4746.1279702500015</v>
      </c>
    </row>
    <row r="188" spans="1:29" x14ac:dyDescent="0.25">
      <c r="E188" s="22"/>
      <c r="F188" s="22"/>
      <c r="G188" s="22"/>
      <c r="H188" s="22"/>
      <c r="I188" s="22"/>
      <c r="J188" s="22"/>
      <c r="K188" s="12"/>
      <c r="L188" s="30"/>
      <c r="M188" s="66"/>
      <c r="N188" s="47"/>
      <c r="O188" s="66"/>
      <c r="P188" s="36"/>
      <c r="Q188" s="22"/>
      <c r="R188" s="36"/>
      <c r="S188" s="36"/>
      <c r="T188" s="36"/>
      <c r="U188" s="36"/>
      <c r="V188" s="22"/>
      <c r="W188" s="22"/>
      <c r="X188" s="22"/>
      <c r="Y188" s="22"/>
      <c r="Z188" s="38"/>
      <c r="AA188" s="38"/>
    </row>
    <row r="189" spans="1:29" x14ac:dyDescent="0.25">
      <c r="A189" s="144" t="s">
        <v>409</v>
      </c>
      <c r="B189" s="144"/>
      <c r="C189" s="144"/>
      <c r="D189" s="144"/>
      <c r="E189" s="144"/>
      <c r="F189" s="144"/>
      <c r="G189" s="144"/>
      <c r="H189" s="144"/>
      <c r="I189" s="144"/>
      <c r="J189" s="144"/>
      <c r="K189" s="144"/>
      <c r="L189" s="144"/>
      <c r="M189" s="144"/>
      <c r="N189" s="144"/>
      <c r="O189" s="144"/>
      <c r="P189" s="144"/>
      <c r="Q189" s="144"/>
      <c r="R189" s="144"/>
      <c r="S189" s="144"/>
      <c r="T189" s="144"/>
      <c r="U189" s="144"/>
      <c r="V189" s="144"/>
      <c r="W189" s="144"/>
      <c r="X189" s="144"/>
      <c r="Y189" s="144"/>
      <c r="Z189" s="144"/>
      <c r="AA189" s="144"/>
      <c r="AB189" s="144"/>
    </row>
    <row r="190" spans="1:29" x14ac:dyDescent="0.25">
      <c r="A190" s="10">
        <v>42873</v>
      </c>
      <c r="B190" t="s">
        <v>315</v>
      </c>
      <c r="C190">
        <v>1400</v>
      </c>
      <c r="D190" s="22">
        <v>7.59</v>
      </c>
      <c r="E190" s="22">
        <f t="shared" ref="E190:E192" si="369">C190*D190</f>
        <v>10626</v>
      </c>
      <c r="F190" s="22">
        <f t="shared" ref="F190:F192" si="370">E190*0.0275%</f>
        <v>2.9221500000000002</v>
      </c>
      <c r="G190" s="22">
        <f t="shared" ref="G190:G192" si="371">E190*0.005%</f>
        <v>0.53129999999999999</v>
      </c>
      <c r="H190" s="36">
        <v>4</v>
      </c>
      <c r="I190" s="36">
        <v>0</v>
      </c>
      <c r="J190" s="22">
        <f>E190+F190+G190+H190</f>
        <v>10633.453450000001</v>
      </c>
      <c r="K190" s="12"/>
      <c r="L190" s="10">
        <v>42893</v>
      </c>
      <c r="M190">
        <v>112777</v>
      </c>
      <c r="N190" t="s">
        <v>315</v>
      </c>
      <c r="O190">
        <v>800</v>
      </c>
      <c r="P190" s="22">
        <v>8.35</v>
      </c>
      <c r="Q190" s="22">
        <f t="shared" ref="Q190:Q192" si="372">O190*P190</f>
        <v>6680</v>
      </c>
      <c r="R190" s="22">
        <f t="shared" ref="R190:R192" si="373">Q190*0.0275%</f>
        <v>1.8370000000000002</v>
      </c>
      <c r="S190" s="22">
        <f t="shared" ref="S190" si="374">Q190*0.005%</f>
        <v>0.33400000000000002</v>
      </c>
      <c r="T190" s="22">
        <v>4</v>
      </c>
      <c r="U190" s="22">
        <v>0</v>
      </c>
      <c r="V190" s="22">
        <v>0</v>
      </c>
      <c r="W190" s="22">
        <f>Q190-R190-S190-T190-V190</f>
        <v>6673.8289999999997</v>
      </c>
      <c r="X190" s="22">
        <f>20/COUNTA(W190:W192)</f>
        <v>6.666666666666667</v>
      </c>
      <c r="Y190" s="22">
        <f>W190-X190-(J190/C190)*O190</f>
        <v>590.90321904761822</v>
      </c>
      <c r="Z190" s="22">
        <f>IF(Q193 &gt; 20000, ((Y190+V190)*15%)-V190, 0)</f>
        <v>88.635482857142733</v>
      </c>
      <c r="AA190" s="22">
        <f t="shared" ref="AA190:AA192" si="375">(Y190-Z190)*10%</f>
        <v>50.226773619047549</v>
      </c>
      <c r="AB190" s="22">
        <f t="shared" ref="AB190:AB192" si="376">Y190-Z190-AA190</f>
        <v>452.04096257142794</v>
      </c>
      <c r="AC190" s="22"/>
    </row>
    <row r="191" spans="1:29" x14ac:dyDescent="0.25">
      <c r="A191" s="10">
        <v>41939</v>
      </c>
      <c r="B191" t="s">
        <v>289</v>
      </c>
      <c r="C191" s="85">
        <v>32600000</v>
      </c>
      <c r="D191" s="39">
        <v>6.9999999999999994E-5</v>
      </c>
      <c r="E191" s="22">
        <f t="shared" si="369"/>
        <v>2282</v>
      </c>
      <c r="F191" s="36">
        <f t="shared" si="370"/>
        <v>0.62755000000000005</v>
      </c>
      <c r="G191" s="36">
        <f t="shared" si="371"/>
        <v>0.11410000000000001</v>
      </c>
      <c r="H191" s="22">
        <v>15.99</v>
      </c>
      <c r="I191" s="22">
        <v>0</v>
      </c>
      <c r="J191" s="22">
        <f>E191+F191+G191+H191</f>
        <v>2298.7316499999997</v>
      </c>
      <c r="K191" s="12"/>
      <c r="L191" s="10">
        <v>42902</v>
      </c>
      <c r="M191">
        <v>115692</v>
      </c>
      <c r="N191" t="s">
        <v>289</v>
      </c>
      <c r="O191" s="85">
        <v>32600000</v>
      </c>
      <c r="P191" s="39">
        <v>8.0000000000000007E-5</v>
      </c>
      <c r="Q191" s="22">
        <f t="shared" si="372"/>
        <v>2608</v>
      </c>
      <c r="R191" s="22">
        <f t="shared" si="373"/>
        <v>0.71720000000000006</v>
      </c>
      <c r="S191" s="22">
        <f>Q191*0.005%</f>
        <v>0.13040000000000002</v>
      </c>
      <c r="T191" s="22">
        <v>4</v>
      </c>
      <c r="U191" s="22">
        <v>0</v>
      </c>
      <c r="V191" s="22">
        <v>0</v>
      </c>
      <c r="W191" s="22">
        <f>Q191-R191-S191-T191-V191</f>
        <v>2603.1523999999999</v>
      </c>
      <c r="X191" s="22">
        <f>20/COUNTA(W190:W192)</f>
        <v>6.666666666666667</v>
      </c>
      <c r="Y191" s="22">
        <f>W191-X191-J191</f>
        <v>297.75408333333371</v>
      </c>
      <c r="Z191" s="22">
        <f>IF(Q193 &gt; 20000, ((Y191+V191)*15%)-V191, 0)</f>
        <v>44.663112500000054</v>
      </c>
      <c r="AA191" s="22">
        <f t="shared" si="375"/>
        <v>25.309097083333366</v>
      </c>
      <c r="AB191" s="22">
        <f t="shared" si="376"/>
        <v>227.78187375000027</v>
      </c>
      <c r="AC191" s="22"/>
    </row>
    <row r="192" spans="1:29" s="66" customFormat="1" x14ac:dyDescent="0.25">
      <c r="A192" s="10">
        <v>42787</v>
      </c>
      <c r="B192" t="s">
        <v>318</v>
      </c>
      <c r="C192">
        <v>900</v>
      </c>
      <c r="D192" s="22">
        <v>11.6</v>
      </c>
      <c r="E192" s="22">
        <f t="shared" si="369"/>
        <v>10440</v>
      </c>
      <c r="F192" s="36">
        <f t="shared" si="370"/>
        <v>2.871</v>
      </c>
      <c r="G192" s="36">
        <f t="shared" si="371"/>
        <v>0.52200000000000002</v>
      </c>
      <c r="H192" s="22">
        <v>4</v>
      </c>
      <c r="I192" s="22">
        <v>0</v>
      </c>
      <c r="J192" s="22">
        <f>E192+F192+G192+H192</f>
        <v>10447.393</v>
      </c>
      <c r="K192" s="12"/>
      <c r="L192" s="30">
        <v>42916</v>
      </c>
      <c r="M192" s="66">
        <v>121050</v>
      </c>
      <c r="N192" s="66" t="s">
        <v>318</v>
      </c>
      <c r="O192" s="66">
        <v>900</v>
      </c>
      <c r="P192" s="36">
        <v>12.25</v>
      </c>
      <c r="Q192" s="22">
        <f t="shared" si="372"/>
        <v>11025</v>
      </c>
      <c r="R192" s="36">
        <f t="shared" si="373"/>
        <v>3.0318750000000003</v>
      </c>
      <c r="S192" s="36">
        <f t="shared" ref="S192" si="377">Q192*0.005%</f>
        <v>0.55125000000000002</v>
      </c>
      <c r="T192" s="22">
        <v>4</v>
      </c>
      <c r="U192" s="22">
        <v>0</v>
      </c>
      <c r="V192" s="22">
        <v>0</v>
      </c>
      <c r="W192" s="22">
        <f>Q192-R192-S192-T192-V192</f>
        <v>11017.416874999999</v>
      </c>
      <c r="X192" s="22">
        <f>20/COUNTA(W190:W192)</f>
        <v>6.666666666666667</v>
      </c>
      <c r="Y192" s="22">
        <f>W192-X192-J192</f>
        <v>563.35720833333289</v>
      </c>
      <c r="Z192" s="22">
        <f>IF(Q193 &gt; 20000, ((Y192+V192)*15%)-V192, 0)</f>
        <v>84.503581249999925</v>
      </c>
      <c r="AA192" s="22">
        <f t="shared" si="375"/>
        <v>47.885362708333304</v>
      </c>
      <c r="AB192" s="22">
        <f t="shared" si="376"/>
        <v>430.96826437499965</v>
      </c>
      <c r="AC192" s="36"/>
    </row>
    <row r="193" spans="1:29" x14ac:dyDescent="0.25">
      <c r="E193" s="22">
        <f>SUM(E190:E192)</f>
        <v>23348</v>
      </c>
      <c r="F193" s="22">
        <f>SUM(F190:F192)</f>
        <v>6.4207000000000001</v>
      </c>
      <c r="G193" s="22">
        <f>SUM(G190:G192)</f>
        <v>1.1674</v>
      </c>
      <c r="H193" s="22">
        <f>SUM(H190:H192)</f>
        <v>23.990000000000002</v>
      </c>
      <c r="I193" s="22">
        <v>0</v>
      </c>
      <c r="J193" s="22">
        <f>SUM(J190:J192)</f>
        <v>23379.578099999999</v>
      </c>
      <c r="K193" s="12"/>
      <c r="Q193" s="22">
        <f t="shared" ref="Q193:AB193" si="378">SUM(Q190:Q192)</f>
        <v>20313</v>
      </c>
      <c r="R193" s="22">
        <f t="shared" si="378"/>
        <v>5.586075000000001</v>
      </c>
      <c r="S193" s="22">
        <f t="shared" si="378"/>
        <v>1.0156499999999999</v>
      </c>
      <c r="T193" s="22">
        <f t="shared" si="378"/>
        <v>12</v>
      </c>
      <c r="U193" s="22">
        <v>0</v>
      </c>
      <c r="V193" s="22">
        <f t="shared" si="378"/>
        <v>0</v>
      </c>
      <c r="W193" s="22">
        <f t="shared" si="378"/>
        <v>20294.398275</v>
      </c>
      <c r="X193" s="22">
        <f t="shared" si="378"/>
        <v>20</v>
      </c>
      <c r="Y193" s="22">
        <f t="shared" si="378"/>
        <v>1452.0145107142848</v>
      </c>
      <c r="Z193" s="38">
        <f t="shared" si="378"/>
        <v>217.80217660714271</v>
      </c>
      <c r="AA193" s="38">
        <f t="shared" si="378"/>
        <v>123.42123341071422</v>
      </c>
      <c r="AB193" s="52">
        <f t="shared" si="378"/>
        <v>1110.7911006964277</v>
      </c>
    </row>
    <row r="194" spans="1:29" x14ac:dyDescent="0.25">
      <c r="K194" s="12"/>
      <c r="L194" s="30"/>
      <c r="M194" s="66"/>
      <c r="N194" s="47"/>
      <c r="O194" s="66"/>
      <c r="P194" s="36"/>
      <c r="Q194" s="22"/>
      <c r="R194" s="36"/>
      <c r="S194" s="36"/>
      <c r="T194" s="36"/>
      <c r="U194" s="36"/>
    </row>
    <row r="195" spans="1:29" x14ac:dyDescent="0.25">
      <c r="A195" s="144" t="s">
        <v>410</v>
      </c>
      <c r="B195" s="144"/>
      <c r="C195" s="144"/>
      <c r="D195" s="144"/>
      <c r="E195" s="144"/>
      <c r="F195" s="144"/>
      <c r="G195" s="144"/>
      <c r="H195" s="144"/>
      <c r="I195" s="144"/>
      <c r="J195" s="144"/>
      <c r="K195" s="144"/>
      <c r="L195" s="144"/>
      <c r="M195" s="144"/>
      <c r="N195" s="144"/>
      <c r="O195" s="144"/>
      <c r="P195" s="144"/>
      <c r="Q195" s="144"/>
      <c r="R195" s="144"/>
      <c r="S195" s="144"/>
      <c r="T195" s="144"/>
      <c r="U195" s="144"/>
      <c r="V195" s="144"/>
      <c r="W195" s="144"/>
      <c r="X195" s="144"/>
      <c r="Y195" s="144"/>
      <c r="Z195" s="144"/>
      <c r="AA195" s="144"/>
      <c r="AB195" s="144"/>
    </row>
    <row r="196" spans="1:29" x14ac:dyDescent="0.25">
      <c r="A196" s="10">
        <v>42863</v>
      </c>
      <c r="B196" t="s">
        <v>313</v>
      </c>
      <c r="C196">
        <v>2400</v>
      </c>
      <c r="D196" s="22">
        <v>3.7</v>
      </c>
      <c r="E196" s="22">
        <f t="shared" ref="E196" si="379">C196*D196</f>
        <v>8880</v>
      </c>
      <c r="F196" s="22">
        <f t="shared" ref="F196" si="380">E196*0.0275%</f>
        <v>2.4420000000000002</v>
      </c>
      <c r="G196" s="36">
        <f t="shared" ref="G196" si="381">E196*0.005%</f>
        <v>0.44400000000000001</v>
      </c>
      <c r="H196" s="22">
        <v>4</v>
      </c>
      <c r="I196" s="22">
        <v>0</v>
      </c>
      <c r="J196" s="22">
        <f>E196+F196+G196+H196</f>
        <v>8886.8859999999986</v>
      </c>
      <c r="K196" s="12"/>
      <c r="L196" s="10">
        <v>42934</v>
      </c>
      <c r="M196">
        <v>128115</v>
      </c>
      <c r="N196" s="22" t="s">
        <v>313</v>
      </c>
      <c r="O196">
        <v>2400</v>
      </c>
      <c r="P196" s="22">
        <v>3.9</v>
      </c>
      <c r="Q196" s="22">
        <f t="shared" ref="Q196:Q197" si="382">O196*P196</f>
        <v>9360</v>
      </c>
      <c r="R196" s="22">
        <f t="shared" ref="R196:R197" si="383">Q196*0.0275%</f>
        <v>2.5740000000000003</v>
      </c>
      <c r="S196" s="22">
        <f t="shared" ref="S196:S197" si="384">Q196*0.005%</f>
        <v>0.46800000000000003</v>
      </c>
      <c r="T196" s="22">
        <v>0</v>
      </c>
      <c r="U196" s="22">
        <v>0</v>
      </c>
      <c r="V196" s="22">
        <v>0</v>
      </c>
      <c r="W196" s="22">
        <f>Q196-R196-S196-T196-V196</f>
        <v>9356.9579999999987</v>
      </c>
      <c r="X196" s="22">
        <f>20/COUNTA(W196:W199)</f>
        <v>5</v>
      </c>
      <c r="Y196" s="22">
        <f>W196-X196-J196</f>
        <v>465.07200000000012</v>
      </c>
      <c r="Z196" s="22">
        <f>IF(Q200 &gt; 20000, ((Y196+V196)*15%)-V196, 0)</f>
        <v>69.760800000000017</v>
      </c>
      <c r="AA196" s="22">
        <f t="shared" ref="AA196:AA197" si="385">(Y196-Z196)*10%</f>
        <v>39.531120000000016</v>
      </c>
      <c r="AB196" s="22">
        <f t="shared" ref="AB196:AB197" si="386">Y196-Z196-AA196</f>
        <v>355.78008000000011</v>
      </c>
      <c r="AC196" s="22"/>
    </row>
    <row r="197" spans="1:29" x14ac:dyDescent="0.25">
      <c r="A197" s="10">
        <v>42867</v>
      </c>
      <c r="B197" t="s">
        <v>313</v>
      </c>
      <c r="C197">
        <v>2500</v>
      </c>
      <c r="D197" s="22">
        <v>3.47</v>
      </c>
      <c r="E197" s="22">
        <f t="shared" ref="E197" si="387">C197*D197</f>
        <v>8675</v>
      </c>
      <c r="F197" s="22">
        <f t="shared" ref="F197" si="388">E197*0.0275%</f>
        <v>2.3856250000000001</v>
      </c>
      <c r="G197" s="22">
        <f t="shared" ref="G197" si="389">E197*0.005%</f>
        <v>0.43375000000000002</v>
      </c>
      <c r="H197" s="36">
        <v>4</v>
      </c>
      <c r="I197" s="36">
        <v>0</v>
      </c>
      <c r="J197" s="22">
        <f>E197+F197+G197+H197</f>
        <v>8681.8193750000009</v>
      </c>
      <c r="K197" s="12"/>
      <c r="L197" s="10">
        <v>42934</v>
      </c>
      <c r="M197">
        <v>128115</v>
      </c>
      <c r="N197" t="s">
        <v>313</v>
      </c>
      <c r="O197">
        <v>2500</v>
      </c>
      <c r="P197" s="22">
        <v>3.9</v>
      </c>
      <c r="Q197" s="22">
        <f t="shared" si="382"/>
        <v>9750</v>
      </c>
      <c r="R197" s="22">
        <f t="shared" si="383"/>
        <v>2.6812500000000004</v>
      </c>
      <c r="S197" s="22">
        <f t="shared" si="384"/>
        <v>0.48750000000000004</v>
      </c>
      <c r="T197" s="22">
        <v>4</v>
      </c>
      <c r="U197" s="22">
        <v>0</v>
      </c>
      <c r="V197" s="22">
        <v>0</v>
      </c>
      <c r="W197" s="22">
        <f>Q197-R197-S197-T197-V197</f>
        <v>9742.8312500000011</v>
      </c>
      <c r="X197" s="22">
        <f>20/COUNTA(W196:W199)</f>
        <v>5</v>
      </c>
      <c r="Y197" s="22">
        <f>W197-X197-J197</f>
        <v>1056.0118750000001</v>
      </c>
      <c r="Z197" s="22">
        <f>IF(Q200 &gt; 20000, ((Y197+V197)*15%)-V197, 0)</f>
        <v>158.40178125000003</v>
      </c>
      <c r="AA197" s="22">
        <f t="shared" si="385"/>
        <v>89.761009375000015</v>
      </c>
      <c r="AB197" s="22">
        <f t="shared" si="386"/>
        <v>807.84908437500007</v>
      </c>
      <c r="AC197" s="22"/>
    </row>
    <row r="198" spans="1:29" x14ac:dyDescent="0.25">
      <c r="A198" s="10">
        <v>42870</v>
      </c>
      <c r="B198" t="s">
        <v>328</v>
      </c>
      <c r="C198">
        <v>2900</v>
      </c>
      <c r="D198" s="22">
        <v>3.59</v>
      </c>
      <c r="E198" s="22">
        <f t="shared" ref="E198:E199" si="390">C198*D198</f>
        <v>10411</v>
      </c>
      <c r="F198" s="22">
        <f t="shared" ref="F198:F199" si="391">E198*0.0275%</f>
        <v>2.8630250000000004</v>
      </c>
      <c r="G198" s="22">
        <f t="shared" ref="G198:G199" si="392">E198*0.005%</f>
        <v>0.52055000000000007</v>
      </c>
      <c r="H198" s="36">
        <v>4</v>
      </c>
      <c r="I198" s="36">
        <v>0</v>
      </c>
      <c r="J198" s="22">
        <f>E198+F198+G198+H198</f>
        <v>10418.383575</v>
      </c>
      <c r="K198" s="12"/>
      <c r="L198" s="10">
        <v>42935</v>
      </c>
      <c r="M198">
        <v>128738</v>
      </c>
      <c r="N198" t="s">
        <v>328</v>
      </c>
      <c r="O198">
        <v>2900</v>
      </c>
      <c r="P198" s="22">
        <v>3.9</v>
      </c>
      <c r="Q198" s="22">
        <f t="shared" ref="Q198:Q199" si="393">O198*P198</f>
        <v>11310</v>
      </c>
      <c r="R198" s="22">
        <f t="shared" ref="R198:R199" si="394">Q198*0.0275%</f>
        <v>3.1102500000000002</v>
      </c>
      <c r="S198" s="22">
        <f t="shared" ref="S198:S199" si="395">Q198*0.005%</f>
        <v>0.5655</v>
      </c>
      <c r="T198" s="22">
        <v>4</v>
      </c>
      <c r="U198" s="22">
        <v>0</v>
      </c>
      <c r="V198" s="22">
        <v>0</v>
      </c>
      <c r="W198" s="22">
        <f>Q198-R198-S198-T198-V198</f>
        <v>11302.32425</v>
      </c>
      <c r="X198" s="22">
        <f>20/COUNTA(W196:W199)</f>
        <v>5</v>
      </c>
      <c r="Y198" s="22">
        <f>W198-X198-J198</f>
        <v>878.94067499999983</v>
      </c>
      <c r="Z198" s="22">
        <f>IF(Q200 &gt; 20000, ((Y198+V198)*15%)-V198, 0)</f>
        <v>131.84110124999998</v>
      </c>
      <c r="AA198" s="22">
        <f t="shared" ref="AA198:AA199" si="396">(Y198-Z198)*10%</f>
        <v>74.709957374999988</v>
      </c>
      <c r="AB198" s="22">
        <f t="shared" ref="AB198:AB199" si="397">Y198-Z198-AA198</f>
        <v>672.38961637499983</v>
      </c>
      <c r="AC198" s="22"/>
    </row>
    <row r="199" spans="1:29" s="66" customFormat="1" x14ac:dyDescent="0.25">
      <c r="A199" s="10">
        <v>42922</v>
      </c>
      <c r="B199" t="s">
        <v>274</v>
      </c>
      <c r="C199">
        <v>400</v>
      </c>
      <c r="D199" s="22">
        <v>13.96</v>
      </c>
      <c r="E199" s="22">
        <f t="shared" si="390"/>
        <v>5584</v>
      </c>
      <c r="F199" s="22">
        <f t="shared" si="391"/>
        <v>1.5356000000000001</v>
      </c>
      <c r="G199" s="22">
        <f t="shared" si="392"/>
        <v>0.2792</v>
      </c>
      <c r="H199" s="36">
        <v>4</v>
      </c>
      <c r="I199" s="36">
        <v>0</v>
      </c>
      <c r="J199" s="22">
        <f>E199+F199+G199+H199</f>
        <v>5589.8148000000001</v>
      </c>
      <c r="K199" s="12"/>
      <c r="L199" s="10">
        <v>42943</v>
      </c>
      <c r="M199">
        <v>132658</v>
      </c>
      <c r="N199" t="s">
        <v>274</v>
      </c>
      <c r="O199">
        <v>400</v>
      </c>
      <c r="P199" s="22">
        <v>15.5</v>
      </c>
      <c r="Q199" s="22">
        <f t="shared" si="393"/>
        <v>6200</v>
      </c>
      <c r="R199" s="22">
        <f t="shared" si="394"/>
        <v>1.7050000000000001</v>
      </c>
      <c r="S199" s="22">
        <f t="shared" si="395"/>
        <v>0.31</v>
      </c>
      <c r="T199" s="22">
        <v>4</v>
      </c>
      <c r="U199" s="22">
        <v>0</v>
      </c>
      <c r="V199" s="22">
        <v>0</v>
      </c>
      <c r="W199" s="22">
        <f>Q199-R199-S199-T199-V199</f>
        <v>6193.9849999999997</v>
      </c>
      <c r="X199" s="22">
        <f>20/COUNTA(W196:W199)</f>
        <v>5</v>
      </c>
      <c r="Y199" s="22">
        <f>W199-X199-J199</f>
        <v>599.17019999999957</v>
      </c>
      <c r="Z199" s="22">
        <f>IF(Q200 &gt; 20000, ((Y199+V199)*15%)-V199, 0)</f>
        <v>89.875529999999927</v>
      </c>
      <c r="AA199" s="22">
        <f t="shared" si="396"/>
        <v>50.929466999999967</v>
      </c>
      <c r="AB199" s="22">
        <f t="shared" si="397"/>
        <v>458.36520299999967</v>
      </c>
      <c r="AC199" s="36"/>
    </row>
    <row r="200" spans="1:29" x14ac:dyDescent="0.25">
      <c r="E200" s="22">
        <f>SUM(E196:E199)</f>
        <v>33550</v>
      </c>
      <c r="F200" s="22">
        <f>SUM(F196:F199)</f>
        <v>9.2262500000000003</v>
      </c>
      <c r="G200" s="22">
        <f>SUM(G196:G199)</f>
        <v>1.6775000000000002</v>
      </c>
      <c r="H200" s="22">
        <f>SUM(H196:H199)</f>
        <v>16</v>
      </c>
      <c r="I200" s="22">
        <v>0</v>
      </c>
      <c r="J200" s="22">
        <f>SUM(J196:J199)</f>
        <v>33576.903749999998</v>
      </c>
      <c r="K200" s="12"/>
      <c r="Q200" s="22">
        <f t="shared" ref="Q200:AB200" si="398">SUM(Q196:Q199)</f>
        <v>36620</v>
      </c>
      <c r="R200" s="22">
        <f t="shared" si="398"/>
        <v>10.070500000000001</v>
      </c>
      <c r="S200" s="22">
        <f t="shared" si="398"/>
        <v>1.831</v>
      </c>
      <c r="T200" s="22">
        <f t="shared" si="398"/>
        <v>12</v>
      </c>
      <c r="U200" s="22">
        <v>0</v>
      </c>
      <c r="V200" s="22">
        <f t="shared" si="398"/>
        <v>0</v>
      </c>
      <c r="W200" s="22">
        <f t="shared" si="398"/>
        <v>36596.0985</v>
      </c>
      <c r="X200" s="22">
        <f t="shared" si="398"/>
        <v>20</v>
      </c>
      <c r="Y200" s="22">
        <f t="shared" si="398"/>
        <v>2999.1947499999997</v>
      </c>
      <c r="Z200" s="38">
        <f t="shared" si="398"/>
        <v>449.87921249999994</v>
      </c>
      <c r="AA200" s="38">
        <f t="shared" si="398"/>
        <v>254.93155374999998</v>
      </c>
      <c r="AB200" s="52">
        <f t="shared" si="398"/>
        <v>2294.3839837499995</v>
      </c>
    </row>
    <row r="201" spans="1:29" x14ac:dyDescent="0.25">
      <c r="K201" s="12"/>
    </row>
    <row r="202" spans="1:29" x14ac:dyDescent="0.25">
      <c r="A202" s="144" t="s">
        <v>411</v>
      </c>
      <c r="B202" s="144"/>
      <c r="C202" s="144"/>
      <c r="D202" s="144"/>
      <c r="E202" s="144"/>
      <c r="F202" s="144"/>
      <c r="G202" s="144"/>
      <c r="H202" s="144"/>
      <c r="I202" s="144"/>
      <c r="J202" s="144"/>
      <c r="K202" s="144"/>
      <c r="L202" s="144"/>
      <c r="M202" s="144"/>
      <c r="N202" s="144"/>
      <c r="O202" s="144"/>
      <c r="P202" s="144"/>
      <c r="Q202" s="144"/>
      <c r="R202" s="144"/>
      <c r="S202" s="144"/>
      <c r="T202" s="144"/>
      <c r="U202" s="144"/>
      <c r="V202" s="144"/>
      <c r="W202" s="144"/>
      <c r="X202" s="144"/>
      <c r="Y202" s="144"/>
      <c r="Z202" s="144"/>
      <c r="AA202" s="144"/>
      <c r="AB202" s="144"/>
    </row>
    <row r="203" spans="1:29" x14ac:dyDescent="0.25">
      <c r="A203" s="10">
        <v>42870</v>
      </c>
      <c r="B203" t="s">
        <v>329</v>
      </c>
      <c r="C203">
        <v>1000</v>
      </c>
      <c r="D203" s="22">
        <v>7.65</v>
      </c>
      <c r="E203" s="22">
        <f t="shared" ref="E203" si="399">C203*D203</f>
        <v>7650</v>
      </c>
      <c r="F203" s="22">
        <f t="shared" ref="F203" si="400">E203*0.0275%</f>
        <v>2.1037500000000002</v>
      </c>
      <c r="G203" s="22">
        <f t="shared" ref="G203" si="401">E203*0.005%</f>
        <v>0.38250000000000001</v>
      </c>
      <c r="H203" s="36">
        <v>4</v>
      </c>
      <c r="I203" s="36">
        <v>0</v>
      </c>
      <c r="J203" s="22">
        <f t="shared" ref="J203:J210" si="402">E203+F203+G203+H203</f>
        <v>7656.4862499999999</v>
      </c>
      <c r="K203" s="12"/>
      <c r="L203" s="10">
        <v>42954</v>
      </c>
      <c r="M203">
        <v>137915</v>
      </c>
      <c r="N203" t="s">
        <v>329</v>
      </c>
      <c r="O203">
        <v>1000</v>
      </c>
      <c r="P203" s="22">
        <v>8.1300000000000008</v>
      </c>
      <c r="Q203" s="22">
        <f t="shared" ref="Q203" si="403">O203*P203</f>
        <v>8130.0000000000009</v>
      </c>
      <c r="R203" s="22">
        <f t="shared" ref="R203" si="404">Q203*0.0275%</f>
        <v>2.2357500000000003</v>
      </c>
      <c r="S203" s="22">
        <f t="shared" ref="S203" si="405">Q203*0.005%</f>
        <v>0.40650000000000008</v>
      </c>
      <c r="T203" s="22">
        <v>4</v>
      </c>
      <c r="U203" s="22">
        <v>0</v>
      </c>
      <c r="V203" s="22">
        <v>0</v>
      </c>
      <c r="W203" s="22">
        <f>Q203-R203-S203-T203-V203</f>
        <v>8123.357750000001</v>
      </c>
      <c r="X203" s="22">
        <f>20/COUNTA(T203:T218)</f>
        <v>1.8181818181818181</v>
      </c>
      <c r="Y203" s="22">
        <f>W203-X203-J203</f>
        <v>465.05331818181912</v>
      </c>
      <c r="Z203" s="22">
        <f>IF(Q219 &gt; 20000, ((Y203+V203)*15%)-V203, 0)</f>
        <v>69.757997727272866</v>
      </c>
      <c r="AA203" s="22">
        <f t="shared" ref="AA203" si="406">(Y203-Z203)*10%</f>
        <v>39.52953204545463</v>
      </c>
      <c r="AB203" s="22">
        <f t="shared" ref="AB203" si="407">Y203-Z203-AA203</f>
        <v>355.76578840909161</v>
      </c>
      <c r="AC203" s="22"/>
    </row>
    <row r="204" spans="1:29" x14ac:dyDescent="0.25">
      <c r="A204" s="10">
        <v>42944</v>
      </c>
      <c r="B204" t="s">
        <v>331</v>
      </c>
      <c r="C204">
        <v>600</v>
      </c>
      <c r="D204" s="22">
        <v>16</v>
      </c>
      <c r="E204" s="22">
        <f>C204*D204</f>
        <v>9600</v>
      </c>
      <c r="F204" s="22">
        <f t="shared" ref="F204" si="408">E204*0.0275%</f>
        <v>2.64</v>
      </c>
      <c r="G204" s="22">
        <f>E204*0.005%</f>
        <v>0.48000000000000004</v>
      </c>
      <c r="H204" s="22">
        <v>4</v>
      </c>
      <c r="I204" s="22">
        <v>0</v>
      </c>
      <c r="J204" s="22">
        <f t="shared" si="402"/>
        <v>9607.119999999999</v>
      </c>
      <c r="K204" s="12"/>
      <c r="L204" s="10">
        <v>42955</v>
      </c>
      <c r="M204">
        <v>138804</v>
      </c>
      <c r="N204" t="s">
        <v>331</v>
      </c>
      <c r="O204">
        <v>600</v>
      </c>
      <c r="P204" s="22">
        <v>16.670000000000002</v>
      </c>
      <c r="Q204" s="22">
        <f>O204*P204</f>
        <v>10002.000000000002</v>
      </c>
      <c r="R204" s="22">
        <f t="shared" ref="R204" si="409">Q204*0.0275%</f>
        <v>2.7505500000000005</v>
      </c>
      <c r="S204" s="22">
        <f>Q204*0.005%</f>
        <v>0.5001000000000001</v>
      </c>
      <c r="T204" s="22">
        <v>4</v>
      </c>
      <c r="U204" s="22">
        <v>0</v>
      </c>
      <c r="V204" s="22">
        <v>0</v>
      </c>
      <c r="W204" s="22">
        <f>Q204-R204-S204-T204-V204</f>
        <v>9994.7493500000019</v>
      </c>
      <c r="X204" s="22">
        <f>20/COUNTA(T203:T218)</f>
        <v>1.8181818181818181</v>
      </c>
      <c r="Y204" s="22">
        <f>W204-X204-J204</f>
        <v>385.8111681818209</v>
      </c>
      <c r="Z204" s="22">
        <f>IF(Q219 &gt; 20000, ((Y204+V204)*15%)-V204, 0)</f>
        <v>57.87167522727313</v>
      </c>
      <c r="AA204" s="22">
        <f t="shared" ref="AA204:AA205" si="410">(Y204-Z204)*10%</f>
        <v>32.793949295454773</v>
      </c>
      <c r="AB204" s="22">
        <f t="shared" ref="AB204:AB205" si="411">Y204-Z204-AA204</f>
        <v>295.14554365909299</v>
      </c>
      <c r="AC204" s="22"/>
    </row>
    <row r="205" spans="1:29" x14ac:dyDescent="0.25">
      <c r="A205" s="10">
        <v>42867</v>
      </c>
      <c r="B205" t="s">
        <v>309</v>
      </c>
      <c r="C205">
        <v>600</v>
      </c>
      <c r="D205" s="22">
        <v>13.4</v>
      </c>
      <c r="E205" s="22">
        <f t="shared" ref="E205:E210" si="412">C205*D205</f>
        <v>8040</v>
      </c>
      <c r="F205" s="22">
        <f t="shared" ref="F205" si="413">E205*0.0275%</f>
        <v>2.2110000000000003</v>
      </c>
      <c r="G205" s="22">
        <f t="shared" ref="G205" si="414">E205*0.005%</f>
        <v>0.40200000000000002</v>
      </c>
      <c r="H205" s="36">
        <v>4</v>
      </c>
      <c r="I205" s="36">
        <v>0</v>
      </c>
      <c r="J205" s="22">
        <f t="shared" si="402"/>
        <v>8046.6130000000003</v>
      </c>
      <c r="K205" s="12"/>
      <c r="L205" s="10">
        <v>42961</v>
      </c>
      <c r="M205">
        <v>142215</v>
      </c>
      <c r="N205" t="s">
        <v>309</v>
      </c>
      <c r="O205">
        <v>600</v>
      </c>
      <c r="P205" s="22">
        <v>14.5</v>
      </c>
      <c r="Q205" s="22">
        <f t="shared" ref="Q205" si="415">O205*P205</f>
        <v>8700</v>
      </c>
      <c r="R205" s="22">
        <f t="shared" ref="R205" si="416">Q205*0.0275%</f>
        <v>2.3925000000000001</v>
      </c>
      <c r="S205" s="22">
        <f t="shared" ref="S205" si="417">Q205*0.005%</f>
        <v>0.435</v>
      </c>
      <c r="T205" s="22">
        <v>4</v>
      </c>
      <c r="U205" s="22">
        <v>0</v>
      </c>
      <c r="V205" s="22">
        <v>0</v>
      </c>
      <c r="W205" s="22">
        <f>Q205-R205-S205-T205-V205</f>
        <v>8693.1725000000006</v>
      </c>
      <c r="X205" s="22">
        <f>20/COUNTA(T203:T218)</f>
        <v>1.8181818181818181</v>
      </c>
      <c r="Y205" s="22">
        <f>W205-X205-J205</f>
        <v>644.74131818181831</v>
      </c>
      <c r="Z205" s="22">
        <f>IF(Q219 &gt; 20000, ((Y205+V205)*15%)-V205, 0)</f>
        <v>96.711197727272747</v>
      </c>
      <c r="AA205" s="22">
        <f t="shared" si="410"/>
        <v>54.803012045454558</v>
      </c>
      <c r="AB205" s="22">
        <f t="shared" si="411"/>
        <v>493.22710840909099</v>
      </c>
      <c r="AC205" s="22"/>
    </row>
    <row r="206" spans="1:29" x14ac:dyDescent="0.25">
      <c r="A206" s="10">
        <v>41851</v>
      </c>
      <c r="B206" t="s">
        <v>303</v>
      </c>
      <c r="C206">
        <v>13800</v>
      </c>
      <c r="D206" s="22">
        <v>0.18</v>
      </c>
      <c r="E206" s="22">
        <f t="shared" si="412"/>
        <v>2484</v>
      </c>
      <c r="F206" s="31"/>
      <c r="G206" s="31"/>
      <c r="H206" s="31">
        <v>15.99</v>
      </c>
      <c r="I206" s="31">
        <v>0</v>
      </c>
      <c r="J206" s="22">
        <f t="shared" si="402"/>
        <v>2499.9899999999998</v>
      </c>
      <c r="K206" s="12"/>
      <c r="AB206" s="22"/>
      <c r="AC206" s="22"/>
    </row>
    <row r="207" spans="1:29" x14ac:dyDescent="0.25">
      <c r="A207" s="10">
        <v>41904</v>
      </c>
      <c r="B207" t="s">
        <v>303</v>
      </c>
      <c r="C207">
        <v>1</v>
      </c>
      <c r="D207" s="22">
        <v>0.13</v>
      </c>
      <c r="E207" s="22">
        <f t="shared" si="412"/>
        <v>0.13</v>
      </c>
      <c r="F207" s="22">
        <v>0</v>
      </c>
      <c r="G207" s="22">
        <v>0</v>
      </c>
      <c r="H207" s="22">
        <v>7.99</v>
      </c>
      <c r="I207" s="22">
        <v>0</v>
      </c>
      <c r="J207" s="22">
        <f t="shared" si="402"/>
        <v>8.120000000000001</v>
      </c>
      <c r="K207" s="12"/>
      <c r="AB207" s="22"/>
      <c r="AC207" s="22"/>
    </row>
    <row r="208" spans="1:29" x14ac:dyDescent="0.25">
      <c r="A208" s="10">
        <v>41905</v>
      </c>
      <c r="B208" t="s">
        <v>303</v>
      </c>
      <c r="C208">
        <v>3001</v>
      </c>
      <c r="D208" s="22">
        <v>0.13</v>
      </c>
      <c r="E208" s="22">
        <f t="shared" si="412"/>
        <v>390.13</v>
      </c>
      <c r="F208" s="22">
        <v>0.1</v>
      </c>
      <c r="G208" s="22">
        <v>0.01</v>
      </c>
      <c r="H208" s="22">
        <v>0</v>
      </c>
      <c r="I208" s="22">
        <v>0</v>
      </c>
      <c r="J208" s="22">
        <f t="shared" si="402"/>
        <v>390.24</v>
      </c>
      <c r="K208" s="12"/>
      <c r="AB208" s="22"/>
      <c r="AC208" s="22"/>
    </row>
    <row r="209" spans="1:32" x14ac:dyDescent="0.25">
      <c r="A209" s="10">
        <v>41906</v>
      </c>
      <c r="B209" t="s">
        <v>303</v>
      </c>
      <c r="C209">
        <v>1</v>
      </c>
      <c r="D209" s="22">
        <v>0.13</v>
      </c>
      <c r="E209" s="22">
        <f t="shared" si="412"/>
        <v>0.13</v>
      </c>
      <c r="F209" s="22">
        <v>0</v>
      </c>
      <c r="G209" s="22">
        <f>3.53*(E209/SUM(E209:E210))</f>
        <v>1.7649999999999999</v>
      </c>
      <c r="H209" s="22">
        <v>0</v>
      </c>
      <c r="I209" s="22">
        <v>0</v>
      </c>
      <c r="J209" s="22">
        <f t="shared" si="402"/>
        <v>1.895</v>
      </c>
      <c r="K209" s="12"/>
      <c r="AB209" s="22"/>
      <c r="AC209" s="22"/>
    </row>
    <row r="210" spans="1:32" x14ac:dyDescent="0.25">
      <c r="A210" s="10">
        <v>41907</v>
      </c>
      <c r="B210" t="s">
        <v>303</v>
      </c>
      <c r="C210">
        <v>1</v>
      </c>
      <c r="D210" s="22">
        <v>0.13</v>
      </c>
      <c r="E210" s="22">
        <f t="shared" si="412"/>
        <v>0.13</v>
      </c>
      <c r="F210" s="22">
        <v>0</v>
      </c>
      <c r="G210" s="22">
        <f>3.53*(E210/SUM(E209:E210))</f>
        <v>1.7649999999999999</v>
      </c>
      <c r="H210" s="22">
        <v>0</v>
      </c>
      <c r="I210" s="22">
        <v>0</v>
      </c>
      <c r="J210" s="22">
        <f t="shared" si="402"/>
        <v>1.895</v>
      </c>
      <c r="K210" s="12"/>
      <c r="L210" s="10">
        <v>42961</v>
      </c>
      <c r="M210">
        <v>142215</v>
      </c>
      <c r="N210" t="s">
        <v>334</v>
      </c>
      <c r="O210">
        <v>200</v>
      </c>
      <c r="P210" s="22">
        <v>18.149999999999999</v>
      </c>
      <c r="Q210" s="22">
        <f>O210*P210</f>
        <v>3629.9999999999995</v>
      </c>
      <c r="R210" s="22">
        <f t="shared" ref="R210" si="418">Q210*0.0275%</f>
        <v>0.99824999999999997</v>
      </c>
      <c r="S210" s="22">
        <f>Q210*0.005%</f>
        <v>0.18149999999999999</v>
      </c>
      <c r="T210" s="22">
        <v>4</v>
      </c>
      <c r="U210" s="22">
        <v>0</v>
      </c>
      <c r="V210" s="22">
        <v>0</v>
      </c>
      <c r="W210" s="22">
        <f t="shared" ref="W210:W217" si="419">Q210-R210-S210-T210-V210</f>
        <v>3624.8202499999993</v>
      </c>
      <c r="X210" s="22">
        <f>20/COUNTA(T203:T218)</f>
        <v>1.8181818181818181</v>
      </c>
      <c r="Y210" s="22">
        <f>W210-X210-(SUM(J206:J211) / SUM(C206:C211) * O210 * 100)</f>
        <v>541.01549100060993</v>
      </c>
      <c r="Z210" s="22">
        <f>IF(Q219 &gt; 20000, ((Y210+V210)*15%)-V210, 0)</f>
        <v>81.152323650091489</v>
      </c>
      <c r="AA210" s="22">
        <f t="shared" ref="AA210" si="420">(Y210-Z210)*10%</f>
        <v>45.986316735051844</v>
      </c>
      <c r="AB210" s="22">
        <f t="shared" ref="AB210" si="421">Y210-Z210-AA210</f>
        <v>413.87685061546659</v>
      </c>
      <c r="AC210" s="22"/>
    </row>
    <row r="211" spans="1:32" x14ac:dyDescent="0.25">
      <c r="A211" s="10">
        <v>41908</v>
      </c>
      <c r="B211" t="s">
        <v>303</v>
      </c>
      <c r="C211">
        <v>12996</v>
      </c>
      <c r="D211" s="22">
        <v>0.13</v>
      </c>
      <c r="E211" s="22">
        <f t="shared" ref="E211" si="422">C211*D211</f>
        <v>1689.48</v>
      </c>
      <c r="F211" s="22">
        <v>0.46</v>
      </c>
      <c r="G211" s="22">
        <v>0.08</v>
      </c>
      <c r="H211" s="22">
        <v>0</v>
      </c>
      <c r="I211" s="22">
        <v>0</v>
      </c>
      <c r="J211" s="22">
        <f t="shared" ref="J211" si="423">E211+F211+G211+H211</f>
        <v>1690.02</v>
      </c>
      <c r="K211" s="12"/>
      <c r="L211" s="10">
        <v>42961</v>
      </c>
      <c r="M211">
        <v>142215</v>
      </c>
      <c r="N211" t="s">
        <v>412</v>
      </c>
      <c r="O211">
        <v>98</v>
      </c>
      <c r="P211" s="22">
        <v>18.149999999999999</v>
      </c>
      <c r="Q211" s="22">
        <f t="shared" ref="Q211" si="424">O211*P211</f>
        <v>1778.6999999999998</v>
      </c>
      <c r="R211" s="22">
        <f t="shared" ref="R211" si="425">Q211*0.0275%</f>
        <v>0.48914249999999998</v>
      </c>
      <c r="S211" s="22">
        <f t="shared" ref="S211" si="426">Q211*0.005%</f>
        <v>8.8935E-2</v>
      </c>
      <c r="T211" s="22">
        <v>4</v>
      </c>
      <c r="U211" s="22">
        <v>0</v>
      </c>
      <c r="V211" s="22">
        <v>0</v>
      </c>
      <c r="W211" s="22">
        <f t="shared" si="419"/>
        <v>1774.1219224999998</v>
      </c>
      <c r="X211" s="22">
        <f>20/COUNTA(T203:T218)</f>
        <v>1.8181818181818181</v>
      </c>
      <c r="Y211" s="22">
        <f>W211-X211-(SUM(J206:J211) / SUM(C206:C211) * O211 * 100)</f>
        <v>262.13031786302622</v>
      </c>
      <c r="Z211" s="22">
        <f>IF(Q219 &gt; 20000, ((Y211+V211)*15%)-V211, 0)</f>
        <v>39.319547679453933</v>
      </c>
      <c r="AA211" s="22">
        <f t="shared" ref="AA211:AA212" si="427">(Y211-Z211)*10%</f>
        <v>22.28107701835723</v>
      </c>
      <c r="AB211" s="22">
        <f t="shared" ref="AB211:AB212" si="428">Y211-Z211-AA211</f>
        <v>200.52969316521506</v>
      </c>
      <c r="AC211" s="38"/>
      <c r="AD211" s="38"/>
      <c r="AE211" s="41"/>
      <c r="AF211" s="38"/>
    </row>
    <row r="212" spans="1:32" x14ac:dyDescent="0.25">
      <c r="A212" s="10">
        <v>42949</v>
      </c>
      <c r="B212" t="s">
        <v>332</v>
      </c>
      <c r="C212">
        <v>2300</v>
      </c>
      <c r="D212" s="22">
        <v>3.33</v>
      </c>
      <c r="E212" s="22">
        <f t="shared" ref="E212" si="429">C212*D212</f>
        <v>7659</v>
      </c>
      <c r="F212" s="22">
        <f t="shared" ref="F212" si="430">E212*0.0275%</f>
        <v>2.1062250000000002</v>
      </c>
      <c r="G212" s="22">
        <f t="shared" ref="G212" si="431">E212*0.005%</f>
        <v>0.38295000000000001</v>
      </c>
      <c r="H212" s="22">
        <v>4</v>
      </c>
      <c r="I212" s="22">
        <v>0</v>
      </c>
      <c r="J212" s="22">
        <f t="shared" ref="J212:J217" si="432">E212+F212+G212+H212</f>
        <v>7665.4891750000006</v>
      </c>
      <c r="K212" s="12"/>
      <c r="L212" s="10">
        <v>42968</v>
      </c>
      <c r="M212">
        <v>146387</v>
      </c>
      <c r="N212" t="s">
        <v>332</v>
      </c>
      <c r="O212">
        <v>2300</v>
      </c>
      <c r="P212" s="22">
        <v>3.52</v>
      </c>
      <c r="Q212" s="22">
        <f t="shared" ref="Q212" si="433">O212*P212</f>
        <v>8096</v>
      </c>
      <c r="R212" s="22">
        <f t="shared" ref="R212" si="434">Q212*0.0275%</f>
        <v>2.2263999999999999</v>
      </c>
      <c r="S212" s="22">
        <f t="shared" ref="S212" si="435">Q212*0.005%</f>
        <v>0.40479999999999999</v>
      </c>
      <c r="T212" s="22">
        <v>4</v>
      </c>
      <c r="U212" s="22">
        <v>0</v>
      </c>
      <c r="V212" s="22">
        <v>0</v>
      </c>
      <c r="W212" s="22">
        <f t="shared" si="419"/>
        <v>8089.3688000000002</v>
      </c>
      <c r="X212" s="22">
        <f>20/COUNTA(T203:T218)</f>
        <v>1.8181818181818181</v>
      </c>
      <c r="Y212" s="22">
        <f>W212-X212-J212</f>
        <v>422.06144318181759</v>
      </c>
      <c r="Z212" s="22">
        <f>IF(Q219 &gt; 20000, ((Y212+V212)*15%)-V212, 0)</f>
        <v>63.309216477272635</v>
      </c>
      <c r="AA212" s="22">
        <f t="shared" si="427"/>
        <v>35.875222670454498</v>
      </c>
      <c r="AB212" s="22">
        <f t="shared" si="428"/>
        <v>322.87700403409048</v>
      </c>
      <c r="AC212" s="38"/>
      <c r="AD212" s="38"/>
      <c r="AE212" s="41"/>
      <c r="AF212" s="38"/>
    </row>
    <row r="213" spans="1:32" x14ac:dyDescent="0.25">
      <c r="A213" s="10">
        <v>42921</v>
      </c>
      <c r="B213" t="s">
        <v>272</v>
      </c>
      <c r="C213">
        <v>600</v>
      </c>
      <c r="D213" s="22">
        <v>9.0500000000000007</v>
      </c>
      <c r="E213" s="22">
        <f t="shared" ref="E213" si="436">C213*D213</f>
        <v>5430</v>
      </c>
      <c r="F213" s="22">
        <f t="shared" ref="F213:F215" si="437">E213*0.0275%</f>
        <v>1.4932500000000002</v>
      </c>
      <c r="G213" s="22">
        <f t="shared" ref="G213" si="438">E213*0.005%</f>
        <v>0.27150000000000002</v>
      </c>
      <c r="H213" s="36">
        <v>4</v>
      </c>
      <c r="I213" s="36">
        <v>0</v>
      </c>
      <c r="J213" s="22">
        <f t="shared" si="432"/>
        <v>5435.7647500000003</v>
      </c>
      <c r="K213" s="12"/>
      <c r="L213" s="10">
        <v>42969</v>
      </c>
      <c r="M213">
        <v>147314</v>
      </c>
      <c r="N213" t="s">
        <v>272</v>
      </c>
      <c r="O213">
        <v>600</v>
      </c>
      <c r="P213" s="22">
        <v>10.199999999999999</v>
      </c>
      <c r="Q213" s="22">
        <f t="shared" ref="Q213" si="439">O213*P213</f>
        <v>6120</v>
      </c>
      <c r="R213" s="22">
        <f t="shared" ref="R213:R217" si="440">Q213*0.0275%</f>
        <v>1.6830000000000001</v>
      </c>
      <c r="S213" s="22">
        <f t="shared" ref="S213" si="441">Q213*0.005%</f>
        <v>0.30599999999999999</v>
      </c>
      <c r="T213" s="22">
        <v>1.49</v>
      </c>
      <c r="U213" s="22">
        <v>0</v>
      </c>
      <c r="V213" s="22">
        <v>0</v>
      </c>
      <c r="W213" s="22">
        <f t="shared" si="419"/>
        <v>6116.5210000000006</v>
      </c>
      <c r="X213" s="22">
        <f>20/COUNTA(T203:T218)</f>
        <v>1.8181818181818181</v>
      </c>
      <c r="Y213" s="22">
        <f>W213-X213-J213</f>
        <v>678.93806818181838</v>
      </c>
      <c r="Z213" s="22">
        <f>IF(Q219 &gt; 20000, ((Y213+V213)*15%)-V213, 0)</f>
        <v>101.84071022727275</v>
      </c>
      <c r="AA213" s="22">
        <f t="shared" ref="AA213:AA214" si="442">(Y213-Z213)*10%</f>
        <v>57.709735795454563</v>
      </c>
      <c r="AB213" s="22">
        <f t="shared" ref="AB213:AB214" si="443">Y213-Z213-AA213</f>
        <v>519.38762215909105</v>
      </c>
      <c r="AC213" s="38"/>
      <c r="AD213" s="38"/>
      <c r="AE213" s="41"/>
      <c r="AF213" s="38"/>
    </row>
    <row r="214" spans="1:32" x14ac:dyDescent="0.25">
      <c r="A214" s="10">
        <v>42943</v>
      </c>
      <c r="B214" t="s">
        <v>330</v>
      </c>
      <c r="C214">
        <v>1100</v>
      </c>
      <c r="D214" s="22">
        <v>7.9</v>
      </c>
      <c r="E214" s="22">
        <f>C214*D214</f>
        <v>8690</v>
      </c>
      <c r="F214" s="22">
        <f t="shared" si="437"/>
        <v>2.3897500000000003</v>
      </c>
      <c r="G214" s="22">
        <f>E214*0.005%</f>
        <v>0.4345</v>
      </c>
      <c r="H214" s="36">
        <v>4</v>
      </c>
      <c r="I214" s="36">
        <v>0</v>
      </c>
      <c r="J214" s="22">
        <f t="shared" si="432"/>
        <v>8696.8242499999997</v>
      </c>
      <c r="K214" s="12"/>
      <c r="L214" s="10">
        <v>42971</v>
      </c>
      <c r="M214">
        <v>149172</v>
      </c>
      <c r="N214" t="s">
        <v>330</v>
      </c>
      <c r="O214">
        <v>1100</v>
      </c>
      <c r="P214" s="22">
        <v>8.3000000000000007</v>
      </c>
      <c r="Q214" s="22">
        <f>O214*P214</f>
        <v>9130</v>
      </c>
      <c r="R214" s="22">
        <f t="shared" si="440"/>
        <v>2.5107500000000003</v>
      </c>
      <c r="S214" s="22">
        <f>Q214*0.005%</f>
        <v>0.45650000000000002</v>
      </c>
      <c r="T214" s="22">
        <v>1.49</v>
      </c>
      <c r="U214" s="22">
        <v>0</v>
      </c>
      <c r="V214" s="22">
        <v>0</v>
      </c>
      <c r="W214" s="22">
        <f t="shared" si="419"/>
        <v>9125.5427500000005</v>
      </c>
      <c r="X214" s="22">
        <f>20/COUNTA(T203:T218)</f>
        <v>1.8181818181818181</v>
      </c>
      <c r="Y214" s="22">
        <f>W214-X214-J214</f>
        <v>426.90031818181888</v>
      </c>
      <c r="Z214" s="22">
        <f>IF(Q219 &gt; 20000, ((Y214+V214)*15%)-V214, 0)</f>
        <v>64.035047727272826</v>
      </c>
      <c r="AA214" s="22">
        <f t="shared" si="442"/>
        <v>36.286527045454605</v>
      </c>
      <c r="AB214" s="22">
        <f t="shared" si="443"/>
        <v>326.57874340909143</v>
      </c>
      <c r="AC214" s="38"/>
      <c r="AD214" s="38"/>
      <c r="AE214" s="41"/>
      <c r="AF214" s="38"/>
    </row>
    <row r="215" spans="1:32" x14ac:dyDescent="0.25">
      <c r="A215" s="10">
        <v>42956</v>
      </c>
      <c r="B215" t="s">
        <v>333</v>
      </c>
      <c r="C215">
        <v>1500</v>
      </c>
      <c r="D215" s="22">
        <v>6.75</v>
      </c>
      <c r="E215" s="22">
        <f t="shared" ref="E215" si="444">C215*D215</f>
        <v>10125</v>
      </c>
      <c r="F215" s="22">
        <f t="shared" si="437"/>
        <v>2.7843750000000003</v>
      </c>
      <c r="G215" s="22">
        <f t="shared" ref="G215" si="445">E215*0.005%</f>
        <v>0.50624999999999998</v>
      </c>
      <c r="H215" s="22">
        <v>4</v>
      </c>
      <c r="I215" s="22">
        <v>0</v>
      </c>
      <c r="J215" s="22">
        <f t="shared" si="432"/>
        <v>10132.290625</v>
      </c>
      <c r="K215" s="12"/>
      <c r="L215" s="10">
        <v>42975</v>
      </c>
      <c r="M215">
        <v>151043</v>
      </c>
      <c r="N215" t="s">
        <v>333</v>
      </c>
      <c r="O215">
        <v>1500</v>
      </c>
      <c r="P215" s="22">
        <v>7.12</v>
      </c>
      <c r="Q215" s="22">
        <f t="shared" ref="Q215" si="446">O215*P215</f>
        <v>10680</v>
      </c>
      <c r="R215" s="22">
        <f t="shared" si="440"/>
        <v>2.9370000000000003</v>
      </c>
      <c r="S215" s="22">
        <f t="shared" ref="S215:S217" si="447">Q215*0.005%</f>
        <v>0.53400000000000003</v>
      </c>
      <c r="T215" s="22">
        <v>1.49</v>
      </c>
      <c r="U215" s="22">
        <v>0</v>
      </c>
      <c r="V215" s="22">
        <v>0</v>
      </c>
      <c r="W215" s="22">
        <f t="shared" si="419"/>
        <v>10675.039000000001</v>
      </c>
      <c r="X215" s="22">
        <f>20/COUNTA(T203:T218)</f>
        <v>1.8181818181818181</v>
      </c>
      <c r="Y215" s="22">
        <f>W215-X215-J215</f>
        <v>540.93019318181905</v>
      </c>
      <c r="Z215" s="22">
        <f>IF(Q219 &gt; 20000, ((Y215+V215)*15%)-V215, 0)</f>
        <v>81.13952897727286</v>
      </c>
      <c r="AA215" s="22">
        <f t="shared" ref="AA215:AA218" si="448">(Y215-Z215)*10%</f>
        <v>45.979066420454622</v>
      </c>
      <c r="AB215" s="22">
        <f t="shared" ref="AB215:AB218" si="449">Y215-Z215-AA215</f>
        <v>413.81159778409159</v>
      </c>
      <c r="AC215" s="38"/>
      <c r="AD215" s="38"/>
      <c r="AE215" s="41"/>
      <c r="AF215" s="38"/>
    </row>
    <row r="216" spans="1:32" x14ac:dyDescent="0.25">
      <c r="A216" s="10">
        <v>42867</v>
      </c>
      <c r="B216" t="s">
        <v>315</v>
      </c>
      <c r="C216">
        <v>800</v>
      </c>
      <c r="D216" s="22">
        <v>10.199999999999999</v>
      </c>
      <c r="E216" s="22">
        <f t="shared" ref="E216" si="450">C216*D216</f>
        <v>8159.9999999999991</v>
      </c>
      <c r="F216" s="22">
        <f t="shared" ref="F216" si="451">E216*0.0275%</f>
        <v>2.2439999999999998</v>
      </c>
      <c r="G216" s="22">
        <f t="shared" ref="G216" si="452">E216*0.005%</f>
        <v>0.40799999999999997</v>
      </c>
      <c r="H216" s="36">
        <v>4</v>
      </c>
      <c r="I216" s="36">
        <v>0</v>
      </c>
      <c r="J216" s="22">
        <f t="shared" si="432"/>
        <v>8166.6519999999991</v>
      </c>
      <c r="K216" s="12"/>
      <c r="L216" s="10">
        <v>42975</v>
      </c>
      <c r="M216">
        <v>151043</v>
      </c>
      <c r="N216" t="s">
        <v>315</v>
      </c>
      <c r="O216">
        <v>800</v>
      </c>
      <c r="P216" s="22">
        <v>11</v>
      </c>
      <c r="Q216" s="22">
        <f t="shared" ref="Q216" si="453">O216*P216</f>
        <v>8800</v>
      </c>
      <c r="R216" s="22">
        <f t="shared" ref="R216" si="454">Q216*0.0275%</f>
        <v>2.42</v>
      </c>
      <c r="S216" s="22">
        <f t="shared" ref="S216" si="455">Q216*0.005%</f>
        <v>0.44</v>
      </c>
      <c r="T216" s="22"/>
      <c r="U216" s="22">
        <v>0</v>
      </c>
      <c r="V216" s="22">
        <v>0</v>
      </c>
      <c r="W216" s="22">
        <f t="shared" si="419"/>
        <v>8797.14</v>
      </c>
      <c r="X216" s="22"/>
      <c r="Y216" s="22">
        <f>W216-X216-J216</f>
        <v>630.48800000000028</v>
      </c>
      <c r="Z216" s="22">
        <f>IF(Q219 &gt; 20000, ((Y216+V216)*15%)-V216, 0)</f>
        <v>94.573200000000043</v>
      </c>
      <c r="AA216" s="22">
        <f t="shared" si="448"/>
        <v>53.591480000000026</v>
      </c>
      <c r="AB216" s="22">
        <f t="shared" si="449"/>
        <v>482.32332000000019</v>
      </c>
      <c r="AC216" s="22"/>
    </row>
    <row r="217" spans="1:32" x14ac:dyDescent="0.25">
      <c r="A217" s="10">
        <v>42873</v>
      </c>
      <c r="B217" t="s">
        <v>315</v>
      </c>
      <c r="C217">
        <v>1400</v>
      </c>
      <c r="D217" s="22">
        <v>7.59</v>
      </c>
      <c r="E217" s="22">
        <f t="shared" ref="E217" si="456">C217*D217</f>
        <v>10626</v>
      </c>
      <c r="F217" s="22">
        <f t="shared" ref="F217" si="457">E217*0.0275%</f>
        <v>2.9221500000000002</v>
      </c>
      <c r="G217" s="22">
        <f t="shared" ref="G217" si="458">E217*0.005%</f>
        <v>0.53129999999999999</v>
      </c>
      <c r="H217" s="36">
        <v>4</v>
      </c>
      <c r="I217" s="36">
        <v>0</v>
      </c>
      <c r="J217" s="22">
        <f t="shared" si="432"/>
        <v>10633.453450000001</v>
      </c>
      <c r="K217" s="12"/>
      <c r="L217" s="10">
        <v>42975</v>
      </c>
      <c r="M217">
        <v>151043</v>
      </c>
      <c r="N217" t="s">
        <v>315</v>
      </c>
      <c r="O217">
        <v>600</v>
      </c>
      <c r="P217" s="22">
        <v>11</v>
      </c>
      <c r="Q217" s="22">
        <f>O217*P217</f>
        <v>6600</v>
      </c>
      <c r="R217" s="22">
        <f t="shared" si="440"/>
        <v>1.8150000000000002</v>
      </c>
      <c r="S217" s="22">
        <f t="shared" si="447"/>
        <v>0.33</v>
      </c>
      <c r="T217" s="22">
        <v>1.49</v>
      </c>
      <c r="U217" s="22">
        <v>0</v>
      </c>
      <c r="V217" s="22">
        <v>0</v>
      </c>
      <c r="W217" s="22">
        <f t="shared" si="419"/>
        <v>6596.3650000000007</v>
      </c>
      <c r="X217" s="22">
        <f>20/COUNTA(T203:T218)</f>
        <v>1.8181818181818181</v>
      </c>
      <c r="Y217" s="22">
        <f>W217-X217-((J217/C217)*O217)</f>
        <v>2037.3524824675324</v>
      </c>
      <c r="Z217" s="22">
        <f>IF(Q219 &gt; 20000, ((Y217+V217)*15%)-V217, 0)</f>
        <v>305.60287237012983</v>
      </c>
      <c r="AA217" s="22">
        <f t="shared" si="448"/>
        <v>173.17496100974029</v>
      </c>
      <c r="AB217" s="22">
        <f t="shared" si="449"/>
        <v>1558.5746490876622</v>
      </c>
      <c r="AC217" s="38"/>
      <c r="AD217" s="38"/>
      <c r="AE217" s="41"/>
      <c r="AF217" s="38"/>
    </row>
    <row r="218" spans="1:32" x14ac:dyDescent="0.25">
      <c r="A218" s="10">
        <v>41850</v>
      </c>
      <c r="B218" t="s">
        <v>302</v>
      </c>
      <c r="C218">
        <v>4800</v>
      </c>
      <c r="D218" s="22">
        <v>1.05</v>
      </c>
      <c r="E218" s="22">
        <f>C218*D218</f>
        <v>5040</v>
      </c>
      <c r="F218" s="31"/>
      <c r="G218" s="31"/>
      <c r="H218" s="31">
        <v>15.99</v>
      </c>
      <c r="I218" s="31">
        <v>0</v>
      </c>
      <c r="J218" s="22">
        <f>E218+F218+G218+H218</f>
        <v>5055.99</v>
      </c>
      <c r="K218" s="33"/>
      <c r="L218" s="10">
        <v>42978</v>
      </c>
      <c r="M218">
        <v>153852</v>
      </c>
      <c r="N218" t="s">
        <v>337</v>
      </c>
      <c r="O218">
        <v>40</v>
      </c>
      <c r="P218" s="22">
        <v>11.5</v>
      </c>
      <c r="Q218" s="22">
        <f>O218*P218</f>
        <v>460</v>
      </c>
      <c r="R218" s="22">
        <f>Q218*0.0275%</f>
        <v>0.1265</v>
      </c>
      <c r="S218" s="22">
        <f>Q218*0.005%</f>
        <v>2.3E-2</v>
      </c>
      <c r="T218" s="22">
        <v>2.4900000000000002</v>
      </c>
      <c r="U218" s="22">
        <v>0</v>
      </c>
      <c r="V218" s="22">
        <v>0</v>
      </c>
      <c r="W218" s="22">
        <f>Q218-R218-S218-T218-V218</f>
        <v>457.36049999999994</v>
      </c>
      <c r="X218" s="22">
        <f>20/COUNTA(T203:T218)</f>
        <v>1.8181818181818181</v>
      </c>
      <c r="Y218" s="22">
        <f>W218-X218-((J218/C218)*(O218*10))</f>
        <v>34.209818181818093</v>
      </c>
      <c r="Z218" s="22">
        <f>IF(Q219 &gt; 20000, ((Y218+V218)*15%)-V218, 0)</f>
        <v>5.1314727272727136</v>
      </c>
      <c r="AA218" s="22">
        <f t="shared" si="448"/>
        <v>2.9078345454545378</v>
      </c>
      <c r="AB218" s="22">
        <f t="shared" si="449"/>
        <v>26.17051090909084</v>
      </c>
      <c r="AC218" s="22"/>
    </row>
    <row r="219" spans="1:32" x14ac:dyDescent="0.25">
      <c r="E219" s="22">
        <f>SUM(E203:E218)</f>
        <v>85584</v>
      </c>
      <c r="F219" s="22">
        <f>SUM(F203:F218)</f>
        <v>21.454500000000003</v>
      </c>
      <c r="G219" s="22">
        <f>SUM(G203:G218)</f>
        <v>7.4189999999999996</v>
      </c>
      <c r="H219" s="22">
        <f>SUM(H203:H218)</f>
        <v>75.97</v>
      </c>
      <c r="I219" s="22">
        <v>0</v>
      </c>
      <c r="J219" s="22">
        <f>SUM(J203:J218)</f>
        <v>85688.843500000003</v>
      </c>
      <c r="K219" s="12"/>
      <c r="Q219" s="22">
        <f t="shared" ref="Q219:AB219" si="459">SUM(Q203:Q218)</f>
        <v>82126.700000000012</v>
      </c>
      <c r="R219" s="22">
        <f t="shared" si="459"/>
        <v>22.584842500000004</v>
      </c>
      <c r="S219" s="22">
        <f t="shared" si="459"/>
        <v>4.1063349999999996</v>
      </c>
      <c r="T219" s="22">
        <f t="shared" si="459"/>
        <v>32.449999999999996</v>
      </c>
      <c r="U219" s="22">
        <v>0</v>
      </c>
      <c r="V219" s="22">
        <f t="shared" si="459"/>
        <v>0</v>
      </c>
      <c r="W219" s="22">
        <f t="shared" si="459"/>
        <v>82067.55882250001</v>
      </c>
      <c r="X219" s="22">
        <f t="shared" si="459"/>
        <v>19.999999999999996</v>
      </c>
      <c r="Y219" s="22">
        <f t="shared" si="459"/>
        <v>7069.6319367857195</v>
      </c>
      <c r="Z219" s="38">
        <f t="shared" si="459"/>
        <v>1060.4447905178579</v>
      </c>
      <c r="AA219" s="38">
        <f t="shared" si="459"/>
        <v>600.91871462678614</v>
      </c>
      <c r="AB219" s="52">
        <f t="shared" si="459"/>
        <v>5408.2684316410759</v>
      </c>
    </row>
    <row r="220" spans="1:32" x14ac:dyDescent="0.25">
      <c r="K220" s="12"/>
    </row>
    <row r="221" spans="1:32" x14ac:dyDescent="0.25">
      <c r="A221" s="144" t="s">
        <v>413</v>
      </c>
      <c r="B221" s="144"/>
      <c r="C221" s="144"/>
      <c r="D221" s="144"/>
      <c r="E221" s="144"/>
      <c r="F221" s="144"/>
      <c r="G221" s="144"/>
      <c r="H221" s="144"/>
      <c r="I221" s="144"/>
      <c r="J221" s="144"/>
      <c r="K221" s="144"/>
      <c r="L221" s="144"/>
      <c r="M221" s="144"/>
      <c r="N221" s="144"/>
      <c r="O221" s="144"/>
      <c r="P221" s="144"/>
      <c r="Q221" s="144"/>
      <c r="R221" s="144"/>
      <c r="S221" s="144"/>
      <c r="T221" s="144"/>
      <c r="U221" s="144"/>
      <c r="V221" s="144"/>
      <c r="W221" s="144"/>
      <c r="X221" s="144"/>
      <c r="Y221" s="144"/>
      <c r="Z221" s="144"/>
      <c r="AA221" s="144"/>
      <c r="AB221" s="144"/>
    </row>
    <row r="222" spans="1:32" x14ac:dyDescent="0.25">
      <c r="A222" s="10">
        <v>41850</v>
      </c>
      <c r="B222" t="s">
        <v>302</v>
      </c>
      <c r="C222">
        <v>4800</v>
      </c>
      <c r="D222" s="22">
        <v>1.05</v>
      </c>
      <c r="E222" s="22">
        <f>C222*D222</f>
        <v>5040</v>
      </c>
      <c r="F222" s="31"/>
      <c r="G222" s="31"/>
      <c r="H222" s="31">
        <v>15.99</v>
      </c>
      <c r="I222" s="31">
        <v>0</v>
      </c>
      <c r="J222" s="22">
        <f>E222+F222+G222+H222</f>
        <v>5055.99</v>
      </c>
      <c r="K222" s="33"/>
      <c r="L222" s="10">
        <v>42984</v>
      </c>
      <c r="M222">
        <v>158634</v>
      </c>
      <c r="N222" t="s">
        <v>337</v>
      </c>
      <c r="O222">
        <v>40</v>
      </c>
      <c r="P222" s="22">
        <v>11.5</v>
      </c>
      <c r="Q222" s="22">
        <f>O222*P222</f>
        <v>460</v>
      </c>
      <c r="R222" s="22">
        <f>Q222*0.0275%</f>
        <v>0.1265</v>
      </c>
      <c r="S222" s="22">
        <f>Q222*0.005%</f>
        <v>2.3E-2</v>
      </c>
      <c r="T222" s="22">
        <v>2.4900000000000002</v>
      </c>
      <c r="U222" s="22">
        <v>0</v>
      </c>
      <c r="V222" s="22">
        <v>0.02</v>
      </c>
      <c r="W222" s="22">
        <f>Q222-R222-S222-T222-V222</f>
        <v>457.34049999999996</v>
      </c>
      <c r="X222" s="22">
        <f>0/COUNTA(W222:W226)</f>
        <v>0</v>
      </c>
      <c r="Y222" s="22">
        <f>W222-X222-(J222/C222*(O222*10))</f>
        <v>36.007999999999925</v>
      </c>
      <c r="Z222" s="22">
        <f>IF(Q227 &gt; 20000, ((Y222+V222)*15%)-V222, 0)</f>
        <v>5.3841999999999892</v>
      </c>
      <c r="AA222" s="22">
        <f t="shared" ref="AA222:AA223" si="460">(Y222-Z222)*10%</f>
        <v>3.0623799999999939</v>
      </c>
      <c r="AB222" s="22">
        <f t="shared" ref="AB222:AB223" si="461">Y222-Z222-AA222</f>
        <v>27.561419999999941</v>
      </c>
      <c r="AC222" s="22"/>
    </row>
    <row r="223" spans="1:32" x14ac:dyDescent="0.25">
      <c r="A223" s="24"/>
      <c r="B223" s="25"/>
      <c r="C223" s="25"/>
      <c r="D223" s="25"/>
      <c r="E223" s="33"/>
      <c r="F223" s="33"/>
      <c r="G223" s="33"/>
      <c r="H223" s="33"/>
      <c r="I223" s="33"/>
      <c r="J223" s="33"/>
      <c r="K223" s="33"/>
      <c r="L223" s="10">
        <v>42984</v>
      </c>
      <c r="M223">
        <v>158634</v>
      </c>
      <c r="N223" t="s">
        <v>302</v>
      </c>
      <c r="O223">
        <v>400</v>
      </c>
      <c r="P223" s="22">
        <v>11.5</v>
      </c>
      <c r="Q223" s="22">
        <f>O223*P223</f>
        <v>4600</v>
      </c>
      <c r="R223" s="22">
        <f>Q223*0.0275%</f>
        <v>1.2650000000000001</v>
      </c>
      <c r="S223" s="22">
        <f>Q223*0.005%</f>
        <v>0.23</v>
      </c>
      <c r="T223" s="22">
        <v>2.4900000000000002</v>
      </c>
      <c r="U223" s="22">
        <v>0</v>
      </c>
      <c r="V223" s="22">
        <v>0.56000000000000005</v>
      </c>
      <c r="W223" s="22">
        <f>Q223-R223-S223-T223-V223</f>
        <v>4595.4549999999999</v>
      </c>
      <c r="X223" s="22">
        <f>0/COUNTA(W222:W226)</f>
        <v>0</v>
      </c>
      <c r="Y223" s="22">
        <f>W223-X223-(J222/C222*(O223*10))</f>
        <v>382.13000000000011</v>
      </c>
      <c r="Z223" s="22">
        <f>IF(Q227 &gt; 20000, ((Y223+V223)*15%)-V223, 0)</f>
        <v>56.843500000000013</v>
      </c>
      <c r="AA223" s="22">
        <f t="shared" si="460"/>
        <v>32.528650000000013</v>
      </c>
      <c r="AB223" s="22">
        <f t="shared" si="461"/>
        <v>292.75785000000008</v>
      </c>
      <c r="AC223" s="22"/>
    </row>
    <row r="224" spans="1:32" x14ac:dyDescent="0.25">
      <c r="A224" s="10">
        <v>42978</v>
      </c>
      <c r="B224" t="s">
        <v>336</v>
      </c>
      <c r="C224">
        <v>400</v>
      </c>
      <c r="D224" s="22">
        <v>25.7</v>
      </c>
      <c r="E224" s="22">
        <f t="shared" ref="E224" si="462">C224*D224</f>
        <v>10280</v>
      </c>
      <c r="F224" s="22">
        <f t="shared" ref="F224" si="463">E224*0.0275%</f>
        <v>2.827</v>
      </c>
      <c r="G224" s="22">
        <f t="shared" ref="G224" si="464">E224*0.005%</f>
        <v>0.51400000000000001</v>
      </c>
      <c r="H224" s="22">
        <v>2.4900000000000002</v>
      </c>
      <c r="I224" s="22">
        <v>0</v>
      </c>
      <c r="J224" s="22">
        <f>E224+F224+G224+H224</f>
        <v>10285.830999999998</v>
      </c>
      <c r="K224" s="12"/>
      <c r="L224" s="10">
        <v>42992</v>
      </c>
      <c r="M224">
        <v>165164</v>
      </c>
      <c r="N224" t="s">
        <v>336</v>
      </c>
      <c r="O224">
        <v>400</v>
      </c>
      <c r="P224" s="22">
        <v>28.1</v>
      </c>
      <c r="Q224" s="22">
        <f>O224*P224</f>
        <v>11240</v>
      </c>
      <c r="R224" s="22">
        <f>Q224*0.0275%</f>
        <v>3.0910000000000002</v>
      </c>
      <c r="S224" s="22">
        <f>Q224*0.005%</f>
        <v>0.56200000000000006</v>
      </c>
      <c r="T224" s="22">
        <v>2.4900000000000002</v>
      </c>
      <c r="U224" s="22">
        <v>0</v>
      </c>
      <c r="V224" s="22">
        <v>0.36</v>
      </c>
      <c r="W224" s="22">
        <f>Q224-R224-S224-T224-V224</f>
        <v>11233.496999999999</v>
      </c>
      <c r="X224" s="22">
        <f>0/COUNTA(W222:W226)</f>
        <v>0</v>
      </c>
      <c r="Y224" s="22">
        <f>W224-X224-J224</f>
        <v>947.66600000000108</v>
      </c>
      <c r="Z224" s="22">
        <f>IF(Q227 &gt; 20000, ((Y224+V224)*15%)-V224, 0)</f>
        <v>141.84390000000013</v>
      </c>
      <c r="AA224" s="22">
        <f t="shared" ref="AA224" si="465">(Y224-Z224)*10%</f>
        <v>80.582210000000103</v>
      </c>
      <c r="AB224" s="22">
        <f t="shared" ref="AB224" si="466">Y224-Z224-AA224</f>
        <v>725.23989000000086</v>
      </c>
      <c r="AC224" s="22"/>
    </row>
    <row r="225" spans="1:29" x14ac:dyDescent="0.25">
      <c r="A225" s="10">
        <v>42984</v>
      </c>
      <c r="B225" t="s">
        <v>327</v>
      </c>
      <c r="C225">
        <v>700</v>
      </c>
      <c r="D225" s="22">
        <v>9.6</v>
      </c>
      <c r="E225" s="22">
        <f t="shared" ref="E225" si="467">C225*D225</f>
        <v>6720</v>
      </c>
      <c r="F225" s="22">
        <f t="shared" ref="F225" si="468">E225*0.0275%</f>
        <v>1.8480000000000001</v>
      </c>
      <c r="G225" s="22">
        <f t="shared" ref="G225" si="469">E225*0.005%</f>
        <v>0.33600000000000002</v>
      </c>
      <c r="H225" s="22">
        <v>2.4900000000000002</v>
      </c>
      <c r="I225" s="22">
        <v>0</v>
      </c>
      <c r="J225" s="22">
        <f>E225+F225+G225+H225</f>
        <v>6724.674</v>
      </c>
      <c r="K225" s="12"/>
      <c r="L225" s="10">
        <v>42996</v>
      </c>
      <c r="M225">
        <v>168102</v>
      </c>
      <c r="N225" t="s">
        <v>327</v>
      </c>
      <c r="O225">
        <v>700</v>
      </c>
      <c r="P225" s="22">
        <v>10.5</v>
      </c>
      <c r="Q225" s="22">
        <f>O225*P225</f>
        <v>7350</v>
      </c>
      <c r="R225" s="22">
        <f>Q225*0.0275%</f>
        <v>2.0212500000000002</v>
      </c>
      <c r="S225" s="22">
        <f>Q225*0.005%</f>
        <v>0.36749999999999999</v>
      </c>
      <c r="T225" s="22">
        <v>2.4900000000000002</v>
      </c>
      <c r="U225" s="22">
        <v>0</v>
      </c>
      <c r="V225" s="22">
        <v>0.25</v>
      </c>
      <c r="W225" s="22">
        <f>Q225-R225-S225-T225-V225</f>
        <v>7344.8712500000001</v>
      </c>
      <c r="X225" s="22">
        <f>0/COUNTA(W222:W226)</f>
        <v>0</v>
      </c>
      <c r="Y225" s="22">
        <f>W225-X225-J225</f>
        <v>620.19725000000017</v>
      </c>
      <c r="Z225" s="22">
        <f>IF(Q227 &gt; 20000, ((Y225+V225)*15%)-V225, 0)</f>
        <v>92.817087500000028</v>
      </c>
      <c r="AA225" s="22">
        <f t="shared" ref="AA225" si="470">(Y225-Z225)*10%</f>
        <v>52.738016250000015</v>
      </c>
      <c r="AB225" s="22">
        <f t="shared" ref="AB225" si="471">Y225-Z225-AA225</f>
        <v>474.64214625000011</v>
      </c>
      <c r="AC225" s="22"/>
    </row>
    <row r="226" spans="1:29" x14ac:dyDescent="0.25">
      <c r="A226" s="10">
        <v>42944</v>
      </c>
      <c r="B226" t="s">
        <v>305</v>
      </c>
      <c r="C226">
        <v>900</v>
      </c>
      <c r="D226" s="22">
        <v>10.8</v>
      </c>
      <c r="E226" s="22">
        <f>C226*D226</f>
        <v>9720</v>
      </c>
      <c r="F226" s="22">
        <f t="shared" ref="F226" si="472">E226*0.0275%</f>
        <v>2.673</v>
      </c>
      <c r="G226" s="22">
        <f>E226*0.005%</f>
        <v>0.48600000000000004</v>
      </c>
      <c r="H226" s="36">
        <v>4</v>
      </c>
      <c r="I226" s="36">
        <v>0</v>
      </c>
      <c r="J226" s="22">
        <f>E226+F226+G226+H226</f>
        <v>9727.1590000000015</v>
      </c>
      <c r="K226" s="12"/>
      <c r="L226" s="10">
        <v>42998</v>
      </c>
      <c r="M226">
        <v>171064</v>
      </c>
      <c r="N226" t="s">
        <v>305</v>
      </c>
      <c r="O226">
        <v>900</v>
      </c>
      <c r="P226" s="22">
        <v>11.5</v>
      </c>
      <c r="Q226" s="22">
        <f>O226*P226</f>
        <v>10350</v>
      </c>
      <c r="R226" s="22">
        <f t="shared" ref="R226" si="473">Q226*0.0275%</f>
        <v>2.8462500000000004</v>
      </c>
      <c r="S226" s="22">
        <f>Q226*0.005%</f>
        <v>0.51750000000000007</v>
      </c>
      <c r="T226" s="22">
        <v>2.4900000000000002</v>
      </c>
      <c r="U226" s="22">
        <v>0</v>
      </c>
      <c r="V226" s="22">
        <v>0.51</v>
      </c>
      <c r="W226" s="22">
        <f>Q226-R226-S226-T226-V226</f>
        <v>10343.63625</v>
      </c>
      <c r="X226" s="22">
        <f>0/COUNTA(W222:W226)</f>
        <v>0</v>
      </c>
      <c r="Y226" s="22">
        <f>W226-X226-J226</f>
        <v>616.47724999999809</v>
      </c>
      <c r="Z226" s="22">
        <f>IF(Q227 &gt; 20000, ((Y226+V226)*15%)-V226, 0)</f>
        <v>92.038087499999705</v>
      </c>
      <c r="AA226" s="22">
        <f t="shared" ref="AA226" si="474">(Y226-Z226)*10%</f>
        <v>52.443916249999837</v>
      </c>
      <c r="AB226" s="22">
        <f t="shared" ref="AB226" si="475">Y226-Z226-AA226</f>
        <v>471.9952462499985</v>
      </c>
      <c r="AC226" s="22"/>
    </row>
    <row r="227" spans="1:29" x14ac:dyDescent="0.25">
      <c r="E227" s="22">
        <f>SUM(E222:E226)</f>
        <v>31760</v>
      </c>
      <c r="F227" s="22">
        <f>SUM(F222:F226)</f>
        <v>7.3479999999999999</v>
      </c>
      <c r="G227" s="22">
        <f>SUM(G222:G226)</f>
        <v>1.3360000000000001</v>
      </c>
      <c r="H227" s="22">
        <f>SUM(H222:H226)</f>
        <v>24.97</v>
      </c>
      <c r="I227" s="22">
        <v>0</v>
      </c>
      <c r="J227" s="22">
        <f>SUM(J222:J226)</f>
        <v>31793.654000000002</v>
      </c>
      <c r="K227" s="12"/>
      <c r="Q227" s="22">
        <f t="shared" ref="Q227:AB227" si="476">SUM(Q222:Q226)</f>
        <v>34000</v>
      </c>
      <c r="R227" s="22">
        <f t="shared" si="476"/>
        <v>9.3500000000000014</v>
      </c>
      <c r="S227" s="22">
        <f t="shared" si="476"/>
        <v>1.7000000000000002</v>
      </c>
      <c r="T227" s="22">
        <f t="shared" si="476"/>
        <v>12.450000000000001</v>
      </c>
      <c r="U227" s="22">
        <v>0</v>
      </c>
      <c r="V227" s="22">
        <f t="shared" si="476"/>
        <v>1.7</v>
      </c>
      <c r="W227" s="22">
        <f t="shared" si="476"/>
        <v>33974.800000000003</v>
      </c>
      <c r="X227" s="22">
        <f t="shared" si="476"/>
        <v>0</v>
      </c>
      <c r="Y227" s="22">
        <f t="shared" si="476"/>
        <v>2602.4784999999993</v>
      </c>
      <c r="Z227" s="38">
        <f t="shared" si="476"/>
        <v>388.92677499999991</v>
      </c>
      <c r="AA227" s="38">
        <f t="shared" si="476"/>
        <v>221.35517249999995</v>
      </c>
      <c r="AB227" s="52">
        <f t="shared" si="476"/>
        <v>1992.1965524999994</v>
      </c>
    </row>
    <row r="228" spans="1:29" x14ac:dyDescent="0.25">
      <c r="E228" s="22"/>
      <c r="F228" s="22"/>
      <c r="G228" s="22"/>
      <c r="H228" s="22"/>
      <c r="I228" s="22"/>
      <c r="J228" s="22"/>
      <c r="K228" s="12"/>
      <c r="Q228" s="22"/>
      <c r="R228" s="22"/>
      <c r="S228" s="22"/>
      <c r="T228" s="22"/>
      <c r="U228" s="22"/>
      <c r="V228" s="22"/>
      <c r="W228" s="22"/>
      <c r="X228" s="22"/>
      <c r="Y228" s="22"/>
      <c r="Z228" s="38"/>
      <c r="AA228" s="38"/>
    </row>
    <row r="229" spans="1:29" x14ac:dyDescent="0.25">
      <c r="A229" s="144" t="s">
        <v>414</v>
      </c>
      <c r="B229" s="144"/>
      <c r="C229" s="144"/>
      <c r="D229" s="144"/>
      <c r="E229" s="144"/>
      <c r="F229" s="144"/>
      <c r="G229" s="144"/>
      <c r="H229" s="144"/>
      <c r="I229" s="144"/>
      <c r="J229" s="144"/>
      <c r="K229" s="144"/>
      <c r="L229" s="144"/>
      <c r="M229" s="144"/>
      <c r="N229" s="144"/>
      <c r="O229" s="144"/>
      <c r="P229" s="144"/>
      <c r="Q229" s="144"/>
      <c r="R229" s="144"/>
      <c r="S229" s="144"/>
      <c r="T229" s="144"/>
      <c r="U229" s="144"/>
      <c r="V229" s="144"/>
      <c r="W229" s="144"/>
      <c r="X229" s="144"/>
      <c r="Y229" s="144"/>
      <c r="Z229" s="144"/>
      <c r="AA229" s="144"/>
      <c r="AB229" s="144"/>
    </row>
    <row r="230" spans="1:29" x14ac:dyDescent="0.25">
      <c r="A230" s="10">
        <v>42964</v>
      </c>
      <c r="B230" t="s">
        <v>313</v>
      </c>
      <c r="C230">
        <v>2000</v>
      </c>
      <c r="D230" s="22">
        <v>3.45</v>
      </c>
      <c r="E230" s="22">
        <f t="shared" ref="E230:E232" si="477">C230*D230</f>
        <v>6900</v>
      </c>
      <c r="F230" s="22">
        <f t="shared" ref="F230" si="478">E230*0.0275%</f>
        <v>1.8975000000000002</v>
      </c>
      <c r="G230" s="22">
        <f t="shared" ref="G230" si="479">E230*0.005%</f>
        <v>0.34500000000000003</v>
      </c>
      <c r="H230" s="22">
        <v>4</v>
      </c>
      <c r="I230" s="22">
        <v>0</v>
      </c>
      <c r="J230" s="22">
        <f>E230+F230+G230+H230</f>
        <v>6906.2425000000003</v>
      </c>
      <c r="K230" s="12"/>
      <c r="L230" s="10">
        <v>43017</v>
      </c>
      <c r="M230">
        <v>189362</v>
      </c>
      <c r="N230" t="s">
        <v>313</v>
      </c>
      <c r="O230">
        <v>2000</v>
      </c>
      <c r="P230" s="22">
        <v>3.54</v>
      </c>
      <c r="Q230" s="22">
        <f t="shared" ref="Q230:Q232" si="480">O230*P230</f>
        <v>7080</v>
      </c>
      <c r="R230" s="22">
        <f t="shared" ref="R230:R232" si="481">Q230*0.0275%</f>
        <v>1.9470000000000001</v>
      </c>
      <c r="S230" s="22">
        <f t="shared" ref="S230:S232" si="482">Q230*0.005%</f>
        <v>0.35400000000000004</v>
      </c>
      <c r="T230" s="22">
        <v>2.4900000000000002</v>
      </c>
      <c r="U230" s="22">
        <v>0</v>
      </c>
      <c r="V230" s="22">
        <v>0.35</v>
      </c>
      <c r="W230" s="22">
        <f>Q230-R230-S230-T230-V230</f>
        <v>7074.8589999999995</v>
      </c>
      <c r="X230" s="22">
        <f>0/COUNTA(W230:W232)</f>
        <v>0</v>
      </c>
      <c r="Y230" s="22">
        <f>W230-X230-J230</f>
        <v>168.61649999999918</v>
      </c>
      <c r="Z230" s="22">
        <f>IF(Q233 &gt; 20000, ((Y230+V230)*15%)-V230, 0)</f>
        <v>24.994974999999872</v>
      </c>
      <c r="AA230" s="22">
        <f t="shared" ref="AA230" si="483">(Y230-Z230)*10%</f>
        <v>14.362152499999931</v>
      </c>
      <c r="AB230" s="22">
        <f t="shared" ref="AB230" si="484">Y230-Z230-AA230</f>
        <v>129.25937249999939</v>
      </c>
      <c r="AC230" s="22"/>
    </row>
    <row r="231" spans="1:29" x14ac:dyDescent="0.25">
      <c r="A231" s="29">
        <v>41660</v>
      </c>
      <c r="B231" s="28" t="s">
        <v>294</v>
      </c>
      <c r="C231" s="28">
        <v>100</v>
      </c>
      <c r="D231" s="32">
        <v>27.1</v>
      </c>
      <c r="E231" s="32">
        <f t="shared" si="477"/>
        <v>2710</v>
      </c>
      <c r="F231" s="32"/>
      <c r="G231" s="32"/>
      <c r="H231" s="32">
        <v>15.99</v>
      </c>
      <c r="I231" s="32">
        <v>0</v>
      </c>
      <c r="J231" s="32">
        <f>E231+F231+G231+H231</f>
        <v>2725.99</v>
      </c>
      <c r="K231" s="28"/>
      <c r="L231" s="10">
        <v>43028</v>
      </c>
      <c r="M231">
        <v>202271</v>
      </c>
      <c r="N231" t="s">
        <v>294</v>
      </c>
      <c r="O231">
        <v>100</v>
      </c>
      <c r="P231" s="22">
        <v>30.5</v>
      </c>
      <c r="Q231" s="22">
        <f t="shared" si="480"/>
        <v>3050</v>
      </c>
      <c r="R231" s="22">
        <f t="shared" si="481"/>
        <v>0.83875</v>
      </c>
      <c r="S231" s="22">
        <f t="shared" si="482"/>
        <v>0.1525</v>
      </c>
      <c r="T231" s="22">
        <v>2.4900000000000002</v>
      </c>
      <c r="U231" s="22">
        <v>0</v>
      </c>
      <c r="V231" s="22">
        <v>0.15</v>
      </c>
      <c r="W231" s="22">
        <f>Q231-R231-S231-T231-V231</f>
        <v>3046.3687500000001</v>
      </c>
      <c r="X231" s="22">
        <f>0/COUNTA(W230:W232)</f>
        <v>0</v>
      </c>
      <c r="Y231" s="22">
        <f>W231-X231-J231</f>
        <v>320.37875000000031</v>
      </c>
      <c r="Z231" s="22">
        <f>IF(Q233 &gt; 20000, ((Y231+V231)*15%)-V231, 0)</f>
        <v>47.929312500000044</v>
      </c>
      <c r="AA231" s="22">
        <f t="shared" ref="AA231" si="485">(Y231-Z231)*10%</f>
        <v>27.244943750000029</v>
      </c>
      <c r="AB231" s="22">
        <f t="shared" ref="AB231" si="486">Y231-Z231-AA231</f>
        <v>245.20449375000024</v>
      </c>
      <c r="AC231" s="22"/>
    </row>
    <row r="232" spans="1:29" x14ac:dyDescent="0.25">
      <c r="A232" s="10">
        <v>42787</v>
      </c>
      <c r="B232" t="s">
        <v>296</v>
      </c>
      <c r="C232">
        <v>500</v>
      </c>
      <c r="D232" s="22">
        <v>21.2</v>
      </c>
      <c r="E232" s="22">
        <f t="shared" si="477"/>
        <v>10600</v>
      </c>
      <c r="F232" s="36">
        <f t="shared" ref="F232" si="487">E232*0.0275%</f>
        <v>2.915</v>
      </c>
      <c r="G232" s="36">
        <f t="shared" ref="G232" si="488">E232*0.005%</f>
        <v>0.53</v>
      </c>
      <c r="H232" s="22">
        <v>4</v>
      </c>
      <c r="I232" s="22">
        <v>0</v>
      </c>
      <c r="J232" s="22">
        <f>E232+F232+G232+H232</f>
        <v>10607.445000000002</v>
      </c>
      <c r="K232" s="12"/>
      <c r="L232" s="10">
        <v>43031</v>
      </c>
      <c r="M232" s="66">
        <v>203840</v>
      </c>
      <c r="N232" t="s">
        <v>296</v>
      </c>
      <c r="O232">
        <v>500</v>
      </c>
      <c r="P232" s="22">
        <v>22.15</v>
      </c>
      <c r="Q232" s="22">
        <f t="shared" si="480"/>
        <v>11075</v>
      </c>
      <c r="R232" s="22">
        <f t="shared" si="481"/>
        <v>3.0456250000000002</v>
      </c>
      <c r="S232" s="22">
        <f t="shared" si="482"/>
        <v>0.55375000000000008</v>
      </c>
      <c r="T232" s="22">
        <v>2.4900000000000002</v>
      </c>
      <c r="U232" s="22">
        <v>0</v>
      </c>
      <c r="V232" s="22">
        <v>0.55000000000000004</v>
      </c>
      <c r="W232" s="22">
        <f>Q232-R232-S232-T232-V232</f>
        <v>11068.360625000001</v>
      </c>
      <c r="X232" s="22">
        <f>0/COUNTA(W230:W232)</f>
        <v>0</v>
      </c>
      <c r="Y232" s="22">
        <f>W232-X232-J232</f>
        <v>460.91562499999964</v>
      </c>
      <c r="Z232" s="22">
        <f>IF(Q233 &gt; 20000, ((Y232+V232)*15%)-V232, 0)</f>
        <v>68.669843749999941</v>
      </c>
      <c r="AA232" s="22">
        <f t="shared" ref="AA232" si="489">(Y232-Z232)*10%</f>
        <v>39.224578124999972</v>
      </c>
      <c r="AB232" s="22">
        <f t="shared" ref="AB232" si="490">Y232-Z232-AA232</f>
        <v>353.02120312499972</v>
      </c>
      <c r="AC232" s="22"/>
    </row>
    <row r="233" spans="1:29" x14ac:dyDescent="0.25">
      <c r="E233" s="22">
        <f>SUM(E230:E232)</f>
        <v>20210</v>
      </c>
      <c r="F233" s="22">
        <f>SUM(F230:F232)</f>
        <v>4.8125</v>
      </c>
      <c r="G233" s="22">
        <f>SUM(G230:G232)</f>
        <v>0.875</v>
      </c>
      <c r="H233" s="22">
        <f>SUM(H230:H232)</f>
        <v>23.990000000000002</v>
      </c>
      <c r="I233" s="22">
        <v>0</v>
      </c>
      <c r="J233" s="22">
        <f>SUM(J230:J232)</f>
        <v>20239.677500000002</v>
      </c>
      <c r="K233" s="12"/>
      <c r="Q233" s="22">
        <f t="shared" ref="Q233:AB233" si="491">SUM(Q230:Q232)</f>
        <v>21205</v>
      </c>
      <c r="R233" s="22">
        <f t="shared" si="491"/>
        <v>5.8313750000000004</v>
      </c>
      <c r="S233" s="22">
        <f t="shared" si="491"/>
        <v>1.0602500000000001</v>
      </c>
      <c r="T233" s="22">
        <f t="shared" si="491"/>
        <v>7.4700000000000006</v>
      </c>
      <c r="U233" s="22">
        <v>0</v>
      </c>
      <c r="V233" s="22">
        <f t="shared" si="491"/>
        <v>1.05</v>
      </c>
      <c r="W233" s="22">
        <f t="shared" si="491"/>
        <v>21189.588374999999</v>
      </c>
      <c r="X233" s="22">
        <f t="shared" si="491"/>
        <v>0</v>
      </c>
      <c r="Y233" s="22">
        <f t="shared" si="491"/>
        <v>949.91087499999912</v>
      </c>
      <c r="Z233" s="38">
        <f t="shared" si="491"/>
        <v>141.59413124999986</v>
      </c>
      <c r="AA233" s="38">
        <f t="shared" si="491"/>
        <v>80.831674374999935</v>
      </c>
      <c r="AB233" s="52">
        <f t="shared" si="491"/>
        <v>727.48506937499928</v>
      </c>
    </row>
    <row r="234" spans="1:29" x14ac:dyDescent="0.25">
      <c r="E234" s="22"/>
      <c r="F234" s="22"/>
      <c r="G234" s="22"/>
      <c r="H234" s="22"/>
      <c r="I234" s="22"/>
      <c r="J234" s="22"/>
      <c r="K234" s="12"/>
      <c r="Q234" s="22"/>
      <c r="R234" s="22"/>
      <c r="S234" s="22"/>
      <c r="T234" s="22"/>
      <c r="U234" s="22"/>
      <c r="V234" s="22"/>
      <c r="W234" s="22"/>
      <c r="X234" s="22"/>
      <c r="Y234" s="22"/>
      <c r="Z234" s="38"/>
      <c r="AA234" s="38"/>
    </row>
    <row r="235" spans="1:29" x14ac:dyDescent="0.25">
      <c r="A235" s="144" t="s">
        <v>415</v>
      </c>
      <c r="B235" s="144"/>
      <c r="C235" s="144"/>
      <c r="D235" s="144"/>
      <c r="E235" s="144"/>
      <c r="F235" s="144"/>
      <c r="G235" s="144"/>
      <c r="H235" s="144"/>
      <c r="I235" s="144"/>
      <c r="J235" s="144"/>
      <c r="K235" s="144"/>
      <c r="L235" s="144"/>
      <c r="M235" s="144"/>
      <c r="N235" s="144"/>
      <c r="O235" s="144"/>
      <c r="P235" s="144"/>
      <c r="Q235" s="144"/>
      <c r="R235" s="144"/>
      <c r="S235" s="144"/>
      <c r="T235" s="144"/>
      <c r="U235" s="144"/>
      <c r="V235" s="144"/>
      <c r="W235" s="144"/>
      <c r="X235" s="144"/>
      <c r="Y235" s="144"/>
      <c r="Z235" s="144"/>
      <c r="AA235" s="144"/>
      <c r="AB235" s="144"/>
    </row>
    <row r="236" spans="1:29" x14ac:dyDescent="0.25">
      <c r="A236" s="10">
        <v>42999</v>
      </c>
      <c r="B236" t="s">
        <v>340</v>
      </c>
      <c r="C236">
        <v>300</v>
      </c>
      <c r="D236" s="22">
        <v>32.200000000000003</v>
      </c>
      <c r="E236" s="22">
        <f t="shared" ref="E236:E237" si="492">C236*D236</f>
        <v>9660</v>
      </c>
      <c r="F236" s="22">
        <f t="shared" ref="F236" si="493">E236*0.0275%</f>
        <v>2.6565000000000003</v>
      </c>
      <c r="G236" s="22">
        <f t="shared" ref="G236" si="494">E236*0.005%</f>
        <v>0.48300000000000004</v>
      </c>
      <c r="H236" s="22">
        <v>2.4900000000000002</v>
      </c>
      <c r="I236" s="22">
        <v>0</v>
      </c>
      <c r="J236" s="22">
        <f>E236+F236+G236+H236</f>
        <v>9665.6294999999991</v>
      </c>
      <c r="K236" s="12"/>
      <c r="L236" s="10">
        <v>43047</v>
      </c>
      <c r="M236" s="66">
        <v>223016</v>
      </c>
      <c r="N236" t="s">
        <v>340</v>
      </c>
      <c r="O236">
        <v>300</v>
      </c>
      <c r="P236" s="22">
        <v>33.799999999999997</v>
      </c>
      <c r="Q236" s="22">
        <f t="shared" ref="Q236:Q237" si="495">O236*P236</f>
        <v>10140</v>
      </c>
      <c r="R236" s="22">
        <f t="shared" ref="R236:R237" si="496">Q236*0.0275%</f>
        <v>2.7885</v>
      </c>
      <c r="S236" s="22">
        <f t="shared" ref="S236:S237" si="497">Q236*0.005%</f>
        <v>0.50700000000000001</v>
      </c>
      <c r="T236" s="22">
        <v>2.4900000000000002</v>
      </c>
      <c r="U236" s="22">
        <v>0</v>
      </c>
      <c r="V236" s="22">
        <v>0</v>
      </c>
      <c r="W236" s="22">
        <f>Q236-R236-S236-T236-V236</f>
        <v>10134.2145</v>
      </c>
      <c r="X236" s="22">
        <f>0/COUNTA(W236:W237)</f>
        <v>0</v>
      </c>
      <c r="Y236" s="22">
        <f>W236-X236-J236</f>
        <v>468.58500000000095</v>
      </c>
      <c r="Z236" s="22">
        <f>IF(Q238 &gt; 20000, ((Y236+V236)*15%)-V236, 0)</f>
        <v>0</v>
      </c>
      <c r="AA236" s="22">
        <f t="shared" ref="AA236:AA237" si="498">(Y236-Z236)*10%</f>
        <v>46.858500000000099</v>
      </c>
      <c r="AB236" s="22">
        <f t="shared" ref="AB236:AB237" si="499">Y236-Z236-AA236</f>
        <v>421.72650000000084</v>
      </c>
      <c r="AC236" s="22"/>
    </row>
    <row r="237" spans="1:29" x14ac:dyDescent="0.25">
      <c r="A237" s="10">
        <v>43048</v>
      </c>
      <c r="B237" t="s">
        <v>294</v>
      </c>
      <c r="C237">
        <v>300</v>
      </c>
      <c r="D237" s="22">
        <v>27.1</v>
      </c>
      <c r="E237" s="22">
        <f t="shared" si="492"/>
        <v>8130</v>
      </c>
      <c r="F237" s="36">
        <f t="shared" ref="F237" si="500">E237*0.0275%</f>
        <v>2.2357500000000003</v>
      </c>
      <c r="G237" s="36">
        <f t="shared" ref="G237" si="501">E237*0.005%</f>
        <v>0.40650000000000003</v>
      </c>
      <c r="H237" s="22">
        <v>2.4900000000000002</v>
      </c>
      <c r="I237" s="22">
        <v>0</v>
      </c>
      <c r="J237" s="22">
        <f>E237+F237+G237+H237</f>
        <v>8135.1322499999997</v>
      </c>
      <c r="K237" s="12"/>
      <c r="L237" s="10">
        <v>43067</v>
      </c>
      <c r="M237" s="66">
        <v>243135</v>
      </c>
      <c r="N237" t="s">
        <v>294</v>
      </c>
      <c r="O237">
        <v>300</v>
      </c>
      <c r="P237" s="22">
        <v>26.7</v>
      </c>
      <c r="Q237" s="22">
        <f t="shared" si="495"/>
        <v>8010</v>
      </c>
      <c r="R237" s="22">
        <f t="shared" si="496"/>
        <v>2.20275</v>
      </c>
      <c r="S237" s="22">
        <f t="shared" si="497"/>
        <v>0.40050000000000002</v>
      </c>
      <c r="T237" s="22">
        <v>2.4900000000000002</v>
      </c>
      <c r="U237" s="22">
        <v>0</v>
      </c>
      <c r="V237" s="22">
        <v>0</v>
      </c>
      <c r="W237" s="22">
        <f>Q237-R237-S237-T237-V237</f>
        <v>8004.9067500000001</v>
      </c>
      <c r="X237" s="22">
        <f>0/COUNTA(W236:W237)</f>
        <v>0</v>
      </c>
      <c r="Y237" s="22">
        <f>W237-X237-J237</f>
        <v>-130.22549999999956</v>
      </c>
      <c r="Z237" s="22">
        <f>IF(Q238 &gt; 20000, ((Y237+V237)*15%)-V237, 0)</f>
        <v>0</v>
      </c>
      <c r="AA237" s="22">
        <f t="shared" si="498"/>
        <v>-13.022549999999956</v>
      </c>
      <c r="AB237" s="22">
        <f t="shared" si="499"/>
        <v>-117.2029499999996</v>
      </c>
      <c r="AC237" s="22"/>
    </row>
    <row r="238" spans="1:29" x14ac:dyDescent="0.25">
      <c r="E238" s="22">
        <f>SUM(E236:E237)</f>
        <v>17790</v>
      </c>
      <c r="F238" s="22">
        <f>SUM(F236:F237)</f>
        <v>4.8922500000000007</v>
      </c>
      <c r="G238" s="22">
        <f>SUM(G236:G237)</f>
        <v>0.88950000000000007</v>
      </c>
      <c r="H238" s="22">
        <f>SUM(H236:H237)</f>
        <v>4.9800000000000004</v>
      </c>
      <c r="I238" s="22">
        <v>0</v>
      </c>
      <c r="J238" s="22">
        <f>SUM(J236:J237)</f>
        <v>17800.761749999998</v>
      </c>
      <c r="K238" s="12"/>
      <c r="Q238" s="22">
        <f t="shared" ref="Q238:AB238" si="502">SUM(Q236:Q237)</f>
        <v>18150</v>
      </c>
      <c r="R238" s="22">
        <f t="shared" si="502"/>
        <v>4.99125</v>
      </c>
      <c r="S238" s="22">
        <f t="shared" si="502"/>
        <v>0.90749999999999997</v>
      </c>
      <c r="T238" s="22">
        <f t="shared" si="502"/>
        <v>4.9800000000000004</v>
      </c>
      <c r="U238" s="22">
        <v>0</v>
      </c>
      <c r="V238" s="22">
        <f t="shared" si="502"/>
        <v>0</v>
      </c>
      <c r="W238" s="22">
        <f t="shared" si="502"/>
        <v>18139.12125</v>
      </c>
      <c r="X238" s="22">
        <f t="shared" si="502"/>
        <v>0</v>
      </c>
      <c r="Y238" s="22">
        <f t="shared" si="502"/>
        <v>338.35950000000139</v>
      </c>
      <c r="Z238" s="38">
        <f t="shared" si="502"/>
        <v>0</v>
      </c>
      <c r="AA238" s="38">
        <f t="shared" si="502"/>
        <v>33.835950000000139</v>
      </c>
      <c r="AB238" s="52">
        <f t="shared" si="502"/>
        <v>304.52355000000125</v>
      </c>
    </row>
    <row r="239" spans="1:29" x14ac:dyDescent="0.25">
      <c r="L239" s="30"/>
      <c r="M239" s="66"/>
      <c r="N239" s="47"/>
      <c r="O239" s="66"/>
      <c r="P239" s="36"/>
      <c r="Q239" s="22"/>
      <c r="R239" s="36"/>
      <c r="S239" s="36"/>
      <c r="T239" s="36"/>
      <c r="U239" s="36"/>
    </row>
    <row r="240" spans="1:29" x14ac:dyDescent="0.25">
      <c r="A240" s="144" t="s">
        <v>416</v>
      </c>
      <c r="B240" s="144"/>
      <c r="C240" s="144"/>
      <c r="D240" s="144"/>
      <c r="E240" s="144"/>
      <c r="F240" s="144"/>
      <c r="G240" s="144"/>
      <c r="H240" s="144"/>
      <c r="I240" s="144"/>
      <c r="J240" s="144"/>
      <c r="K240" s="144"/>
      <c r="L240" s="144"/>
      <c r="M240" s="144"/>
      <c r="N240" s="144"/>
      <c r="O240" s="144"/>
      <c r="P240" s="144"/>
      <c r="Q240" s="144"/>
      <c r="R240" s="144"/>
      <c r="S240" s="144"/>
      <c r="T240" s="144"/>
      <c r="U240" s="144"/>
      <c r="V240" s="144"/>
      <c r="W240" s="144"/>
      <c r="X240" s="144"/>
      <c r="Y240" s="144"/>
      <c r="Z240" s="144"/>
      <c r="AA240" s="144"/>
      <c r="AB240" s="144"/>
    </row>
    <row r="241" spans="1:29" x14ac:dyDescent="0.25">
      <c r="A241" s="10">
        <v>42996</v>
      </c>
      <c r="B241" t="s">
        <v>339</v>
      </c>
      <c r="C241">
        <v>400</v>
      </c>
      <c r="D241" s="22">
        <v>23.65</v>
      </c>
      <c r="E241" s="22">
        <f t="shared" ref="E241:E244" si="503">C241*D241</f>
        <v>9460</v>
      </c>
      <c r="F241" s="22">
        <f t="shared" ref="F241:F244" si="504">E241*0.0275%</f>
        <v>2.6015000000000001</v>
      </c>
      <c r="G241" s="22">
        <f t="shared" ref="G241:G244" si="505">E241*0.005%</f>
        <v>0.47300000000000003</v>
      </c>
      <c r="H241" s="22">
        <v>2.4900000000000002</v>
      </c>
      <c r="I241" s="22">
        <v>0</v>
      </c>
      <c r="J241" s="22">
        <f>E241+F241+G241+H241</f>
        <v>9465.5645000000004</v>
      </c>
      <c r="K241" s="12"/>
      <c r="L241" s="10">
        <v>43110</v>
      </c>
      <c r="M241">
        <v>295916</v>
      </c>
      <c r="N241" t="s">
        <v>339</v>
      </c>
      <c r="O241">
        <v>400</v>
      </c>
      <c r="P241" s="22">
        <v>29</v>
      </c>
      <c r="Q241" s="22">
        <f t="shared" ref="Q241:Q244" si="506">O241*P241</f>
        <v>11600</v>
      </c>
      <c r="R241" s="22">
        <f t="shared" ref="R241:R244" si="507">Q241*0.0275%</f>
        <v>3.1900000000000004</v>
      </c>
      <c r="S241" s="22">
        <f t="shared" ref="S241:S244" si="508">Q241*0.005%</f>
        <v>0.58000000000000007</v>
      </c>
      <c r="T241" s="22">
        <v>2.4900000000000002</v>
      </c>
      <c r="U241" s="22">
        <v>0</v>
      </c>
      <c r="V241" s="22">
        <v>0</v>
      </c>
      <c r="W241" s="22">
        <f>Q241-R241-S241-T241-V241</f>
        <v>11593.74</v>
      </c>
      <c r="X241" s="22">
        <f>0/COUNTA(W241:W244)</f>
        <v>0</v>
      </c>
      <c r="Y241" s="22">
        <f>W241-X241-J241</f>
        <v>2128.1754999999994</v>
      </c>
      <c r="Z241" s="22">
        <f>IF(Q245 &gt; 20000, ((Y241+V241)*15%)-V241, 0)</f>
        <v>0</v>
      </c>
      <c r="AA241" s="22">
        <f t="shared" ref="AA241:AA244" si="509">(Y241-Z241)*10%</f>
        <v>212.81754999999995</v>
      </c>
      <c r="AB241" s="22">
        <f t="shared" ref="AB241:AB244" si="510">Y241-Z241-AA241</f>
        <v>1915.3579499999994</v>
      </c>
      <c r="AC241" s="22"/>
    </row>
    <row r="242" spans="1:29" x14ac:dyDescent="0.25">
      <c r="A242" s="10">
        <v>43112</v>
      </c>
      <c r="B242" t="s">
        <v>344</v>
      </c>
      <c r="C242">
        <v>900</v>
      </c>
      <c r="D242" s="22">
        <v>0</v>
      </c>
      <c r="E242" s="22">
        <f t="shared" si="503"/>
        <v>0</v>
      </c>
      <c r="F242" s="22">
        <f t="shared" si="504"/>
        <v>0</v>
      </c>
      <c r="G242" s="22">
        <f t="shared" si="505"/>
        <v>0</v>
      </c>
      <c r="H242" s="22">
        <v>0</v>
      </c>
      <c r="I242" s="22">
        <v>0</v>
      </c>
      <c r="J242" s="22">
        <f>E242+F242+G242+H242</f>
        <v>0</v>
      </c>
      <c r="K242" s="12"/>
      <c r="L242" s="10">
        <v>43112</v>
      </c>
      <c r="M242">
        <v>300342</v>
      </c>
      <c r="N242" t="s">
        <v>344</v>
      </c>
      <c r="O242">
        <v>900</v>
      </c>
      <c r="P242" s="22">
        <v>0.05</v>
      </c>
      <c r="Q242" s="22">
        <f t="shared" si="506"/>
        <v>45</v>
      </c>
      <c r="R242" s="22">
        <f t="shared" si="507"/>
        <v>1.2375000000000001E-2</v>
      </c>
      <c r="S242" s="22">
        <f t="shared" si="508"/>
        <v>2.2500000000000003E-3</v>
      </c>
      <c r="T242" s="22">
        <v>2.4900000000000002</v>
      </c>
      <c r="U242" s="22">
        <v>0</v>
      </c>
      <c r="V242" s="22">
        <v>0</v>
      </c>
      <c r="W242" s="22">
        <f>Q242-R242-S242-T242-V242</f>
        <v>42.495375000000003</v>
      </c>
      <c r="X242" s="22">
        <f>0/COUNTA(W241:W244)</f>
        <v>0</v>
      </c>
      <c r="Y242" s="22">
        <f>W242-X242-J242</f>
        <v>42.495375000000003</v>
      </c>
      <c r="Z242" s="22">
        <f>IF(Q245 &gt; 20000, ((Y242+V242)*15%)-V242, 0)</f>
        <v>0</v>
      </c>
      <c r="AA242" s="22">
        <f t="shared" si="509"/>
        <v>4.2495375000000006</v>
      </c>
      <c r="AB242" s="22">
        <f t="shared" si="510"/>
        <v>38.2458375</v>
      </c>
      <c r="AC242" s="22"/>
    </row>
    <row r="243" spans="1:29" x14ac:dyDescent="0.25">
      <c r="A243" s="10">
        <v>43112</v>
      </c>
      <c r="B243" t="s">
        <v>345</v>
      </c>
      <c r="C243">
        <v>1100</v>
      </c>
      <c r="D243" s="22">
        <v>0</v>
      </c>
      <c r="E243" s="22">
        <f t="shared" ref="E243" si="511">C243*D243</f>
        <v>0</v>
      </c>
      <c r="F243" s="36">
        <f t="shared" ref="F243" si="512">E243*0.0275%</f>
        <v>0</v>
      </c>
      <c r="G243" s="36">
        <f t="shared" ref="G243" si="513">E243*0.005%</f>
        <v>0</v>
      </c>
      <c r="H243" s="22">
        <v>0</v>
      </c>
      <c r="I243" s="22">
        <v>0</v>
      </c>
      <c r="J243" s="22">
        <f>E243+F243+G243+H243</f>
        <v>0</v>
      </c>
      <c r="K243" s="12"/>
      <c r="L243" s="10">
        <v>43112</v>
      </c>
      <c r="M243">
        <v>300342</v>
      </c>
      <c r="N243" t="s">
        <v>345</v>
      </c>
      <c r="O243">
        <v>1100</v>
      </c>
      <c r="P243" s="22">
        <v>0.05</v>
      </c>
      <c r="Q243" s="22">
        <f t="shared" ref="Q243" si="514">O243*P243</f>
        <v>55</v>
      </c>
      <c r="R243" s="22">
        <f t="shared" ref="R243" si="515">Q243*0.0275%</f>
        <v>1.5125000000000001E-2</v>
      </c>
      <c r="S243" s="22">
        <f t="shared" ref="S243" si="516">Q243*0.005%</f>
        <v>2.7500000000000003E-3</v>
      </c>
      <c r="T243" s="22">
        <v>2.4900000000000002</v>
      </c>
      <c r="U243" s="22">
        <v>0</v>
      </c>
      <c r="V243" s="22">
        <v>0</v>
      </c>
      <c r="W243" s="22">
        <f>Q243-R243-S243-T243-V243</f>
        <v>52.492125000000001</v>
      </c>
      <c r="X243" s="22">
        <f>0/COUNTA(W240:W243)</f>
        <v>0</v>
      </c>
      <c r="Y243" s="22">
        <f>W243-X243-J243</f>
        <v>52.492125000000001</v>
      </c>
      <c r="Z243" s="22">
        <f>IF(Q244 &gt; 20000, ((Y243+V243)*15%)-V243, 0)</f>
        <v>0</v>
      </c>
      <c r="AA243" s="22">
        <f t="shared" ref="AA243" si="517">(Y243-Z243)*10%</f>
        <v>5.2492125000000005</v>
      </c>
      <c r="AB243" s="22">
        <f t="shared" ref="AB243" si="518">Y243-Z243-AA243</f>
        <v>47.242912500000003</v>
      </c>
      <c r="AC243" s="22"/>
    </row>
    <row r="244" spans="1:29" x14ac:dyDescent="0.25">
      <c r="A244" s="10">
        <v>43003</v>
      </c>
      <c r="B244" t="s">
        <v>341</v>
      </c>
      <c r="C244">
        <v>600</v>
      </c>
      <c r="D244" s="22">
        <v>5.4</v>
      </c>
      <c r="E244" s="22">
        <f t="shared" si="503"/>
        <v>3240</v>
      </c>
      <c r="F244" s="36">
        <f t="shared" si="504"/>
        <v>0.89100000000000001</v>
      </c>
      <c r="G244" s="36">
        <f t="shared" si="505"/>
        <v>0.16200000000000001</v>
      </c>
      <c r="H244" s="22">
        <v>2.4900000000000002</v>
      </c>
      <c r="I244" s="22">
        <v>0</v>
      </c>
      <c r="J244" s="22">
        <f>E244+F244+G244+H244</f>
        <v>3243.5429999999997</v>
      </c>
      <c r="K244" s="12"/>
      <c r="L244" s="10">
        <v>43131</v>
      </c>
      <c r="M244">
        <v>330417</v>
      </c>
      <c r="N244" t="s">
        <v>341</v>
      </c>
      <c r="O244">
        <v>600</v>
      </c>
      <c r="P244" s="22">
        <v>7</v>
      </c>
      <c r="Q244" s="22">
        <f t="shared" si="506"/>
        <v>4200</v>
      </c>
      <c r="R244" s="22">
        <f t="shared" si="507"/>
        <v>1.155</v>
      </c>
      <c r="S244" s="22">
        <f t="shared" si="508"/>
        <v>0.21000000000000002</v>
      </c>
      <c r="T244" s="22">
        <v>2.4900000000000002</v>
      </c>
      <c r="U244" s="22">
        <v>0</v>
      </c>
      <c r="V244" s="22">
        <v>0</v>
      </c>
      <c r="W244" s="22">
        <f>Q244-R244-S244-T244-V244</f>
        <v>4196.1450000000004</v>
      </c>
      <c r="X244" s="22">
        <f>0/COUNTA(W241:W244)</f>
        <v>0</v>
      </c>
      <c r="Y244" s="22">
        <f>W244-X244-J244</f>
        <v>952.60200000000077</v>
      </c>
      <c r="Z244" s="22">
        <f>IF(Q245 &gt; 20000, ((Y244+V244)*15%)-V244, 0)</f>
        <v>0</v>
      </c>
      <c r="AA244" s="22">
        <f t="shared" si="509"/>
        <v>95.260200000000083</v>
      </c>
      <c r="AB244" s="22">
        <f t="shared" si="510"/>
        <v>857.34180000000072</v>
      </c>
      <c r="AC244" s="22"/>
    </row>
    <row r="245" spans="1:29" x14ac:dyDescent="0.25">
      <c r="E245" s="22">
        <f>SUM(E241:E244)</f>
        <v>12700</v>
      </c>
      <c r="F245" s="22">
        <f>SUM(F241:F244)</f>
        <v>3.4925000000000002</v>
      </c>
      <c r="G245" s="22">
        <f>SUM(G241:G244)</f>
        <v>0.63500000000000001</v>
      </c>
      <c r="H245" s="22">
        <f>SUM(H241:H244)</f>
        <v>4.9800000000000004</v>
      </c>
      <c r="I245" s="22">
        <v>0</v>
      </c>
      <c r="J245" s="22">
        <f>SUM(J241:J244)</f>
        <v>12709.1075</v>
      </c>
      <c r="K245" s="12"/>
      <c r="Q245" s="22">
        <f t="shared" ref="Q245:AB245" si="519">SUM(Q241:Q244)</f>
        <v>15900</v>
      </c>
      <c r="R245" s="22">
        <f t="shared" si="519"/>
        <v>4.3725000000000005</v>
      </c>
      <c r="S245" s="22">
        <f t="shared" si="519"/>
        <v>0.79500000000000015</v>
      </c>
      <c r="T245" s="22">
        <f t="shared" si="519"/>
        <v>9.9600000000000009</v>
      </c>
      <c r="U245" s="22">
        <v>0</v>
      </c>
      <c r="V245" s="22">
        <f t="shared" si="519"/>
        <v>0</v>
      </c>
      <c r="W245" s="22">
        <f t="shared" si="519"/>
        <v>15884.872500000001</v>
      </c>
      <c r="X245" s="22">
        <f t="shared" si="519"/>
        <v>0</v>
      </c>
      <c r="Y245" s="22">
        <f t="shared" si="519"/>
        <v>3175.7650000000003</v>
      </c>
      <c r="Z245" s="38">
        <f t="shared" si="519"/>
        <v>0</v>
      </c>
      <c r="AA245" s="38">
        <f t="shared" si="519"/>
        <v>317.57650000000001</v>
      </c>
      <c r="AB245" s="52">
        <f t="shared" si="519"/>
        <v>2858.1885000000002</v>
      </c>
    </row>
    <row r="246" spans="1:29" x14ac:dyDescent="0.25">
      <c r="E246" s="22"/>
      <c r="F246" s="22"/>
      <c r="G246" s="22"/>
      <c r="H246" s="22"/>
      <c r="I246" s="22"/>
      <c r="J246" s="22"/>
      <c r="K246" s="12"/>
      <c r="Q246" s="22"/>
      <c r="R246" s="22"/>
      <c r="S246" s="22"/>
      <c r="T246" s="22"/>
      <c r="U246" s="22"/>
      <c r="V246" s="22"/>
      <c r="W246" s="22"/>
      <c r="X246" s="22"/>
      <c r="Y246" s="22"/>
      <c r="Z246" s="38"/>
      <c r="AA246" s="38"/>
    </row>
    <row r="247" spans="1:29" x14ac:dyDescent="0.25">
      <c r="A247" s="144" t="s">
        <v>417</v>
      </c>
      <c r="B247" s="144"/>
      <c r="C247" s="144"/>
      <c r="D247" s="144"/>
      <c r="E247" s="144"/>
      <c r="F247" s="144"/>
      <c r="G247" s="144"/>
      <c r="H247" s="144"/>
      <c r="I247" s="144"/>
      <c r="J247" s="144"/>
      <c r="K247" s="144"/>
      <c r="L247" s="144"/>
      <c r="M247" s="144"/>
      <c r="N247" s="144"/>
      <c r="O247" s="144"/>
      <c r="P247" s="144"/>
      <c r="Q247" s="144"/>
      <c r="R247" s="144"/>
      <c r="S247" s="144"/>
      <c r="T247" s="144"/>
      <c r="U247" s="144"/>
      <c r="V247" s="144"/>
      <c r="W247" s="144"/>
      <c r="X247" s="144"/>
      <c r="Y247" s="144"/>
      <c r="Z247" s="144"/>
      <c r="AA247" s="144"/>
      <c r="AB247" s="144"/>
    </row>
    <row r="248" spans="1:29" x14ac:dyDescent="0.25">
      <c r="A248" s="10">
        <v>43003</v>
      </c>
      <c r="B248" t="s">
        <v>418</v>
      </c>
      <c r="C248">
        <v>900</v>
      </c>
      <c r="D248" s="22">
        <v>11.2</v>
      </c>
      <c r="E248" s="22">
        <f t="shared" ref="E248" si="520">C248*D248</f>
        <v>10080</v>
      </c>
      <c r="F248" s="22">
        <f t="shared" ref="F248" si="521">E248*0.0275%</f>
        <v>2.7720000000000002</v>
      </c>
      <c r="G248" s="22">
        <f t="shared" ref="G248" si="522">E248*0.005%</f>
        <v>0.504</v>
      </c>
      <c r="H248" s="22">
        <v>2.4900000000000002</v>
      </c>
      <c r="I248" s="22">
        <v>0</v>
      </c>
      <c r="J248" s="22">
        <f>E248+F248+G248+H248</f>
        <v>10085.766000000001</v>
      </c>
      <c r="K248" s="12"/>
      <c r="L248" s="10">
        <v>43147</v>
      </c>
      <c r="M248">
        <v>356267</v>
      </c>
      <c r="N248" t="s">
        <v>267</v>
      </c>
      <c r="O248">
        <v>900</v>
      </c>
      <c r="P248" s="22">
        <v>15.3</v>
      </c>
      <c r="Q248" s="22">
        <f t="shared" ref="Q248:Q250" si="523">O248*P248</f>
        <v>13770</v>
      </c>
      <c r="R248" s="22">
        <f t="shared" ref="R248:R250" si="524">Q248*0.0275%</f>
        <v>3.7867500000000001</v>
      </c>
      <c r="S248" s="22">
        <f t="shared" ref="S248:S250" si="525">Q248*0.005%</f>
        <v>0.6885</v>
      </c>
      <c r="T248" s="36">
        <v>2.4900000000000002</v>
      </c>
      <c r="U248" s="36">
        <v>0</v>
      </c>
      <c r="V248" s="22">
        <f>Q248*0.005%</f>
        <v>0.6885</v>
      </c>
      <c r="W248" s="22">
        <f>Q248-R248-S248-T248-V248</f>
        <v>13762.346250000001</v>
      </c>
      <c r="X248" s="22">
        <f>0/COUNTA(W248:W250)</f>
        <v>0</v>
      </c>
      <c r="Y248" s="22">
        <f>W248-X248-J248</f>
        <v>3676.5802499999991</v>
      </c>
      <c r="Z248" s="22">
        <f>IF(Q251 &gt; 20000, ((Y248+V248)*15%)-V248, 0)</f>
        <v>550.90181249999989</v>
      </c>
      <c r="AA248" s="22">
        <f t="shared" ref="AA248" si="526">(Y248-Z248)*10%</f>
        <v>312.56784374999995</v>
      </c>
      <c r="AB248" s="22">
        <f>Y248-Z248-AA248</f>
        <v>2813.1105937499992</v>
      </c>
    </row>
    <row r="249" spans="1:29" x14ac:dyDescent="0.25">
      <c r="A249" s="10">
        <v>43038</v>
      </c>
      <c r="B249" t="s">
        <v>342</v>
      </c>
      <c r="C249">
        <v>80</v>
      </c>
      <c r="D249" s="22">
        <v>61.5</v>
      </c>
      <c r="E249" s="22">
        <f t="shared" ref="E249:E250" si="527">C249*D249</f>
        <v>4920</v>
      </c>
      <c r="F249" s="22">
        <f t="shared" ref="F249:F250" si="528">E249*0.0275%</f>
        <v>1.353</v>
      </c>
      <c r="G249" s="22">
        <f t="shared" ref="G249:G250" si="529">E249*0.005%</f>
        <v>0.24600000000000002</v>
      </c>
      <c r="H249" s="22">
        <v>2.4900000000000002</v>
      </c>
      <c r="I249" s="22">
        <v>0</v>
      </c>
      <c r="J249" s="22">
        <f>E249+F249+G249+H249</f>
        <v>4924.0889999999999</v>
      </c>
      <c r="K249" s="12"/>
      <c r="L249" s="10">
        <v>43154</v>
      </c>
      <c r="M249">
        <v>370124</v>
      </c>
      <c r="N249" t="s">
        <v>342</v>
      </c>
      <c r="O249">
        <v>80</v>
      </c>
      <c r="P249" s="22">
        <v>87.3</v>
      </c>
      <c r="Q249" s="22">
        <f t="shared" si="523"/>
        <v>6984</v>
      </c>
      <c r="R249" s="22">
        <f t="shared" si="524"/>
        <v>1.9206000000000001</v>
      </c>
      <c r="S249" s="22">
        <f t="shared" si="525"/>
        <v>0.34920000000000001</v>
      </c>
      <c r="T249" s="36">
        <v>2.4900000000000002</v>
      </c>
      <c r="U249" s="36">
        <v>0</v>
      </c>
      <c r="V249" s="22">
        <f t="shared" ref="V249:V250" si="530">Q249*0.005%</f>
        <v>0.34920000000000001</v>
      </c>
      <c r="W249" s="22">
        <f>Q249-R249-S249-T249-V249</f>
        <v>6978.8910000000005</v>
      </c>
      <c r="X249" s="22">
        <f>0/COUNTA(W248:W250)</f>
        <v>0</v>
      </c>
      <c r="Y249" s="22">
        <f>W249-X249-J249</f>
        <v>2054.8020000000006</v>
      </c>
      <c r="Z249" s="22">
        <f>IF(Q251 &gt; 20000, ((Y249+V249)*15%)-V249, 0)</f>
        <v>307.9234800000001</v>
      </c>
      <c r="AA249" s="22">
        <f t="shared" ref="AA249:AA250" si="531">(Y249-Z249)*10%</f>
        <v>174.68785200000005</v>
      </c>
      <c r="AB249" s="22">
        <f>Y249-Z249-AA249</f>
        <v>1572.1906680000004</v>
      </c>
    </row>
    <row r="250" spans="1:29" x14ac:dyDescent="0.25">
      <c r="A250" s="10">
        <v>43038</v>
      </c>
      <c r="B250" t="s">
        <v>343</v>
      </c>
      <c r="C250">
        <v>100</v>
      </c>
      <c r="D250" s="22">
        <v>61.5</v>
      </c>
      <c r="E250" s="22">
        <f t="shared" si="527"/>
        <v>6150</v>
      </c>
      <c r="F250" s="22">
        <f t="shared" si="528"/>
        <v>1.6912500000000001</v>
      </c>
      <c r="G250" s="22">
        <f t="shared" si="529"/>
        <v>0.3075</v>
      </c>
      <c r="H250" s="22">
        <v>2.4900000000000002</v>
      </c>
      <c r="I250" s="22">
        <v>0</v>
      </c>
      <c r="J250" s="22">
        <f>E250+F250+G250+H250</f>
        <v>6154.4887499999995</v>
      </c>
      <c r="K250" s="12"/>
      <c r="L250" s="10">
        <v>43154</v>
      </c>
      <c r="M250">
        <v>370124</v>
      </c>
      <c r="N250" t="s">
        <v>343</v>
      </c>
      <c r="O250">
        <v>100</v>
      </c>
      <c r="P250" s="22">
        <v>87.3</v>
      </c>
      <c r="Q250" s="22">
        <f t="shared" si="523"/>
        <v>8730</v>
      </c>
      <c r="R250" s="22">
        <f t="shared" si="524"/>
        <v>2.4007499999999999</v>
      </c>
      <c r="S250" s="22">
        <f t="shared" si="525"/>
        <v>0.4365</v>
      </c>
      <c r="T250" s="36">
        <v>2.4900000000000002</v>
      </c>
      <c r="U250" s="36">
        <v>0</v>
      </c>
      <c r="V250" s="22">
        <f t="shared" si="530"/>
        <v>0.4365</v>
      </c>
      <c r="W250" s="22">
        <f>Q250-R250-S250-T250-V250</f>
        <v>8724.2362499999999</v>
      </c>
      <c r="X250" s="22">
        <f>0/COUNTA(W248:W250)</f>
        <v>0</v>
      </c>
      <c r="Y250" s="22">
        <f>W250-X250-J250</f>
        <v>2569.7475000000004</v>
      </c>
      <c r="Z250" s="22">
        <f>IF(Q251 &gt; 20000, ((Y250+V250)*15%)-V250, 0)</f>
        <v>385.09109999999998</v>
      </c>
      <c r="AA250" s="22">
        <f t="shared" si="531"/>
        <v>218.46564000000004</v>
      </c>
      <c r="AB250" s="22">
        <f>Y250-Z250-AA250</f>
        <v>1966.1907600000002</v>
      </c>
    </row>
    <row r="251" spans="1:29" x14ac:dyDescent="0.25">
      <c r="E251" s="22">
        <f>SUM(E248:E250)</f>
        <v>21150</v>
      </c>
      <c r="F251" s="22">
        <f>SUM(F248:F250)</f>
        <v>5.8162500000000001</v>
      </c>
      <c r="G251" s="22">
        <f>SUM(G248:G250)</f>
        <v>1.0575000000000001</v>
      </c>
      <c r="H251" s="22">
        <f>SUM(H248:H250)</f>
        <v>7.4700000000000006</v>
      </c>
      <c r="I251" s="22">
        <v>0</v>
      </c>
      <c r="J251" s="22">
        <f>SUM(J248:J250)</f>
        <v>21164.34375</v>
      </c>
      <c r="K251" s="12"/>
      <c r="Q251" s="22">
        <f t="shared" ref="Q251:AB251" si="532">SUM(Q248:Q250)</f>
        <v>29484</v>
      </c>
      <c r="R251" s="22">
        <f t="shared" si="532"/>
        <v>8.1081000000000003</v>
      </c>
      <c r="S251" s="22">
        <f t="shared" si="532"/>
        <v>1.4742000000000002</v>
      </c>
      <c r="T251" s="22">
        <f t="shared" si="532"/>
        <v>7.4700000000000006</v>
      </c>
      <c r="U251" s="22">
        <v>0</v>
      </c>
      <c r="V251" s="22">
        <f t="shared" si="532"/>
        <v>1.4742000000000002</v>
      </c>
      <c r="W251" s="22">
        <f t="shared" si="532"/>
        <v>29465.4735</v>
      </c>
      <c r="X251" s="22">
        <f t="shared" si="532"/>
        <v>0</v>
      </c>
      <c r="Y251" s="22">
        <f t="shared" si="532"/>
        <v>8301.1297500000001</v>
      </c>
      <c r="Z251" s="38">
        <f t="shared" si="532"/>
        <v>1243.9163924999998</v>
      </c>
      <c r="AA251" s="38">
        <f t="shared" si="532"/>
        <v>705.72133574999998</v>
      </c>
      <c r="AB251" s="52">
        <f t="shared" si="532"/>
        <v>6351.4920217500003</v>
      </c>
    </row>
    <row r="252" spans="1:29" x14ac:dyDescent="0.25">
      <c r="L252" s="30"/>
      <c r="M252" s="66"/>
      <c r="N252" s="47"/>
      <c r="O252" s="66"/>
      <c r="P252" s="36"/>
      <c r="Q252" s="22"/>
      <c r="R252" s="36"/>
      <c r="S252" s="36"/>
      <c r="T252" s="36"/>
      <c r="U252" s="36"/>
    </row>
    <row r="253" spans="1:29" x14ac:dyDescent="0.25">
      <c r="A253" s="144" t="s">
        <v>419</v>
      </c>
      <c r="B253" s="144"/>
      <c r="C253" s="144"/>
      <c r="D253" s="144"/>
      <c r="E253" s="144"/>
      <c r="F253" s="144"/>
      <c r="G253" s="144"/>
      <c r="H253" s="144"/>
      <c r="I253" s="144"/>
      <c r="J253" s="144"/>
      <c r="K253" s="144"/>
      <c r="L253" s="144"/>
      <c r="M253" s="144"/>
      <c r="N253" s="144"/>
      <c r="O253" s="144"/>
      <c r="P253" s="144"/>
      <c r="Q253" s="144"/>
      <c r="R253" s="144"/>
      <c r="S253" s="144"/>
      <c r="T253" s="144"/>
      <c r="U253" s="144"/>
      <c r="V253" s="144"/>
      <c r="W253" s="144"/>
      <c r="X253" s="144"/>
      <c r="Y253" s="144"/>
      <c r="Z253" s="144"/>
      <c r="AA253" s="144"/>
      <c r="AB253" s="144"/>
    </row>
    <row r="254" spans="1:29" x14ac:dyDescent="0.25">
      <c r="A254" s="10">
        <v>43235</v>
      </c>
      <c r="B254" t="s">
        <v>347</v>
      </c>
      <c r="C254">
        <v>500</v>
      </c>
      <c r="D254" s="22">
        <v>0</v>
      </c>
      <c r="E254" s="22">
        <f t="shared" ref="E254:E255" si="533">C254*D254</f>
        <v>0</v>
      </c>
      <c r="F254" s="22">
        <f t="shared" ref="F254:F255" si="534">E254*0.0275%</f>
        <v>0</v>
      </c>
      <c r="G254" s="22">
        <f t="shared" ref="G254:G255" si="535">E254*0.005%</f>
        <v>0</v>
      </c>
      <c r="H254" s="22">
        <v>0</v>
      </c>
      <c r="I254" s="22">
        <v>0</v>
      </c>
      <c r="J254" s="22">
        <f>E254+F254+G254+H254</f>
        <v>0</v>
      </c>
      <c r="K254" s="12"/>
      <c r="L254" s="10">
        <v>43235</v>
      </c>
      <c r="M254">
        <v>516503</v>
      </c>
      <c r="N254" t="s">
        <v>347</v>
      </c>
      <c r="O254">
        <v>500</v>
      </c>
      <c r="P254" s="22">
        <v>0.4</v>
      </c>
      <c r="Q254" s="22">
        <f t="shared" ref="Q254:Q255" si="536">O254*P254</f>
        <v>200</v>
      </c>
      <c r="R254" s="22">
        <f t="shared" ref="R254:R255" si="537">Q254*0.0275%</f>
        <v>5.5E-2</v>
      </c>
      <c r="S254" s="22">
        <v>0</v>
      </c>
      <c r="T254" s="36">
        <v>2.4900000000000002</v>
      </c>
      <c r="U254" s="36">
        <v>0</v>
      </c>
      <c r="V254" s="22">
        <f>Q254*0.005%</f>
        <v>0.01</v>
      </c>
      <c r="W254" s="22">
        <f>Q254-R254-S254-T254-V254</f>
        <v>197.44499999999999</v>
      </c>
      <c r="X254" s="22">
        <f>0/COUNTA(W254:W255)</f>
        <v>0</v>
      </c>
      <c r="Y254" s="22">
        <f>W254-X254-J254</f>
        <v>197.44499999999999</v>
      </c>
      <c r="Z254" s="22">
        <f>IF(Q256 &gt; 20000, ((Y254+V254)*15%)-V254, 0)</f>
        <v>0</v>
      </c>
      <c r="AA254" s="22">
        <f t="shared" ref="AA254:AA255" si="538">(Y254-Z254)*10%</f>
        <v>19.744500000000002</v>
      </c>
      <c r="AB254" s="22">
        <f>Y254-Z254-AA254</f>
        <v>177.70049999999998</v>
      </c>
    </row>
    <row r="255" spans="1:29" x14ac:dyDescent="0.25">
      <c r="A255" s="10">
        <v>43235</v>
      </c>
      <c r="B255" t="s">
        <v>346</v>
      </c>
      <c r="C255">
        <v>97</v>
      </c>
      <c r="D255" s="22">
        <v>0</v>
      </c>
      <c r="E255" s="22">
        <f t="shared" si="533"/>
        <v>0</v>
      </c>
      <c r="F255" s="22">
        <f t="shared" si="534"/>
        <v>0</v>
      </c>
      <c r="G255" s="22">
        <f t="shared" si="535"/>
        <v>0</v>
      </c>
      <c r="H255" s="22">
        <v>0</v>
      </c>
      <c r="I255" s="22">
        <v>0</v>
      </c>
      <c r="J255" s="22">
        <f>E255+F255+G255+H255</f>
        <v>0</v>
      </c>
      <c r="K255" s="12"/>
      <c r="L255" s="10">
        <v>43235</v>
      </c>
      <c r="M255">
        <v>516503</v>
      </c>
      <c r="N255" t="s">
        <v>346</v>
      </c>
      <c r="O255">
        <v>97</v>
      </c>
      <c r="P255" s="22">
        <v>0.4</v>
      </c>
      <c r="Q255" s="22">
        <f t="shared" si="536"/>
        <v>38.800000000000004</v>
      </c>
      <c r="R255" s="22">
        <f t="shared" si="537"/>
        <v>1.0670000000000002E-2</v>
      </c>
      <c r="S255" s="22">
        <v>0</v>
      </c>
      <c r="T255" s="36">
        <v>2.4900000000000002</v>
      </c>
      <c r="U255" s="36">
        <v>0</v>
      </c>
      <c r="V255" s="22">
        <f t="shared" ref="V255" si="539">Q255*0.005%</f>
        <v>1.9400000000000003E-3</v>
      </c>
      <c r="W255" s="22">
        <f>Q255-R255-S255-T255-V255</f>
        <v>36.297390000000007</v>
      </c>
      <c r="X255" s="22">
        <f>0/COUNTA(W254:W255)</f>
        <v>0</v>
      </c>
      <c r="Y255" s="22">
        <f>W255-X255-J255</f>
        <v>36.297390000000007</v>
      </c>
      <c r="Z255" s="22">
        <f>IF(Q256 &gt; 20000, ((Y255+V255)*15%)-V255, 0)</f>
        <v>0</v>
      </c>
      <c r="AA255" s="22">
        <f t="shared" si="538"/>
        <v>3.6297390000000007</v>
      </c>
      <c r="AB255" s="22">
        <f>Y255-Z255-AA255</f>
        <v>32.667651000000006</v>
      </c>
    </row>
    <row r="256" spans="1:29" x14ac:dyDescent="0.25">
      <c r="E256" s="22">
        <f>SUM(E254:E255)</f>
        <v>0</v>
      </c>
      <c r="F256" s="22">
        <f>SUM(F254:F255)</f>
        <v>0</v>
      </c>
      <c r="G256" s="22">
        <f>SUM(G254:G255)</f>
        <v>0</v>
      </c>
      <c r="H256" s="22">
        <f>SUM(H254:H255)</f>
        <v>0</v>
      </c>
      <c r="I256" s="22">
        <v>0</v>
      </c>
      <c r="J256" s="22">
        <f>SUM(J254:J255)</f>
        <v>0</v>
      </c>
      <c r="K256" s="12"/>
      <c r="Q256" s="22">
        <f t="shared" ref="Q256:AB256" si="540">SUM(Q254:Q255)</f>
        <v>238.8</v>
      </c>
      <c r="R256" s="22">
        <f t="shared" si="540"/>
        <v>6.5670000000000006E-2</v>
      </c>
      <c r="S256" s="22">
        <f t="shared" si="540"/>
        <v>0</v>
      </c>
      <c r="T256" s="22">
        <f t="shared" si="540"/>
        <v>4.9800000000000004</v>
      </c>
      <c r="U256" s="22">
        <v>0</v>
      </c>
      <c r="V256" s="22">
        <f t="shared" si="540"/>
        <v>1.1940000000000001E-2</v>
      </c>
      <c r="W256" s="22">
        <f t="shared" si="540"/>
        <v>233.74239</v>
      </c>
      <c r="X256" s="22">
        <f t="shared" si="540"/>
        <v>0</v>
      </c>
      <c r="Y256" s="22">
        <f t="shared" si="540"/>
        <v>233.74239</v>
      </c>
      <c r="Z256" s="38">
        <f t="shared" si="540"/>
        <v>0</v>
      </c>
      <c r="AA256" s="38">
        <f t="shared" si="540"/>
        <v>23.374239000000003</v>
      </c>
      <c r="AB256" s="52">
        <f t="shared" si="540"/>
        <v>210.36815099999998</v>
      </c>
    </row>
    <row r="257" spans="1:29" x14ac:dyDescent="0.25">
      <c r="L257" s="30"/>
      <c r="M257" s="66"/>
      <c r="N257" s="47"/>
      <c r="O257" s="66"/>
      <c r="P257" s="36"/>
      <c r="Q257" s="22"/>
      <c r="R257" s="36"/>
      <c r="S257" s="36"/>
      <c r="T257" s="36"/>
      <c r="U257" s="36"/>
    </row>
    <row r="258" spans="1:29" x14ac:dyDescent="0.25">
      <c r="A258" s="144" t="s">
        <v>420</v>
      </c>
      <c r="B258" s="144"/>
      <c r="C258" s="144"/>
      <c r="D258" s="144"/>
      <c r="E258" s="144"/>
      <c r="F258" s="144"/>
      <c r="G258" s="144"/>
      <c r="H258" s="144"/>
      <c r="I258" s="144"/>
      <c r="J258" s="144"/>
      <c r="K258" s="144"/>
      <c r="L258" s="144"/>
      <c r="M258" s="144"/>
      <c r="N258" s="144"/>
      <c r="O258" s="144"/>
      <c r="P258" s="144"/>
      <c r="Q258" s="144"/>
      <c r="R258" s="144"/>
      <c r="S258" s="144"/>
      <c r="T258" s="144"/>
      <c r="U258" s="144"/>
      <c r="V258" s="144"/>
      <c r="W258" s="144"/>
      <c r="X258" s="144"/>
      <c r="Y258" s="144"/>
      <c r="Z258" s="144"/>
      <c r="AA258" s="144"/>
      <c r="AB258" s="144"/>
    </row>
    <row r="259" spans="1:29" x14ac:dyDescent="0.25">
      <c r="A259" s="10">
        <v>42797</v>
      </c>
      <c r="B259" t="s">
        <v>325</v>
      </c>
      <c r="C259">
        <v>1100</v>
      </c>
      <c r="D259" s="22">
        <v>3.78</v>
      </c>
      <c r="E259" s="22">
        <f t="shared" ref="E259" si="541">C259*D259</f>
        <v>4158</v>
      </c>
      <c r="F259" s="22">
        <f t="shared" ref="F259" si="542">E259*0.0275%</f>
        <v>1.1434500000000001</v>
      </c>
      <c r="G259" s="22">
        <f t="shared" ref="G259" si="543">E259*0.005%</f>
        <v>0.2079</v>
      </c>
      <c r="H259" s="22">
        <v>4</v>
      </c>
      <c r="I259" s="22">
        <v>0</v>
      </c>
      <c r="J259" s="22">
        <f>E259+F259+G259+H259</f>
        <v>4163.3513499999999</v>
      </c>
      <c r="K259" s="12"/>
      <c r="L259" s="30">
        <v>43278</v>
      </c>
      <c r="M259" s="66">
        <v>603490</v>
      </c>
      <c r="N259" s="66" t="s">
        <v>325</v>
      </c>
      <c r="O259" s="66">
        <v>1100</v>
      </c>
      <c r="P259" s="36">
        <v>3.81</v>
      </c>
      <c r="Q259" s="22">
        <f t="shared" ref="Q259" si="544">O259*P259</f>
        <v>4191</v>
      </c>
      <c r="R259" s="22">
        <f t="shared" ref="R259" si="545">Q259*0.0275%</f>
        <v>1.152525</v>
      </c>
      <c r="S259" s="22">
        <v>0</v>
      </c>
      <c r="T259" s="36">
        <v>2.4900000000000002</v>
      </c>
      <c r="U259" s="36">
        <v>0</v>
      </c>
      <c r="V259" s="22">
        <f>Q259*0.005%</f>
        <v>0.20955000000000001</v>
      </c>
      <c r="W259" s="22">
        <f>Q259-R259-S259-T259-V259</f>
        <v>4187.1479250000002</v>
      </c>
      <c r="X259" s="22">
        <f>0/COUNTA(W259:W259)</f>
        <v>0</v>
      </c>
      <c r="Y259" s="22">
        <f>W259-X259-J259</f>
        <v>23.796575000000303</v>
      </c>
      <c r="Z259" s="22">
        <f>IF(Q260 &gt; 20000, ((Y259+V259)*15%)-V259, 0)</f>
        <v>0</v>
      </c>
      <c r="AA259" s="22">
        <f t="shared" ref="AA259" si="546">(Y259-Z259)*10%</f>
        <v>2.3796575000000302</v>
      </c>
      <c r="AB259" s="22">
        <f>Y259-Z259-AA259</f>
        <v>21.416917500000274</v>
      </c>
    </row>
    <row r="260" spans="1:29" x14ac:dyDescent="0.25">
      <c r="E260" s="22">
        <f>SUM(E259:E259)</f>
        <v>4158</v>
      </c>
      <c r="F260" s="22">
        <f>SUM(F259:F259)</f>
        <v>1.1434500000000001</v>
      </c>
      <c r="G260" s="22">
        <f>SUM(G259:G259)</f>
        <v>0.2079</v>
      </c>
      <c r="H260" s="22">
        <f>SUM(H259:H259)</f>
        <v>4</v>
      </c>
      <c r="I260" s="22">
        <v>0</v>
      </c>
      <c r="J260" s="22">
        <f>SUM(J259:J259)</f>
        <v>4163.3513499999999</v>
      </c>
      <c r="K260" s="12"/>
      <c r="Q260" s="22">
        <f t="shared" ref="Q260:AB260" si="547">SUM(Q259:Q259)</f>
        <v>4191</v>
      </c>
      <c r="R260" s="22">
        <f t="shared" si="547"/>
        <v>1.152525</v>
      </c>
      <c r="S260" s="22">
        <f t="shared" si="547"/>
        <v>0</v>
      </c>
      <c r="T260" s="22">
        <f t="shared" si="547"/>
        <v>2.4900000000000002</v>
      </c>
      <c r="U260" s="22">
        <v>0</v>
      </c>
      <c r="V260" s="22">
        <f t="shared" si="547"/>
        <v>0.20955000000000001</v>
      </c>
      <c r="W260" s="22">
        <f t="shared" si="547"/>
        <v>4187.1479250000002</v>
      </c>
      <c r="X260" s="22">
        <f t="shared" si="547"/>
        <v>0</v>
      </c>
      <c r="Y260" s="22">
        <f t="shared" si="547"/>
        <v>23.796575000000303</v>
      </c>
      <c r="Z260" s="38">
        <f t="shared" si="547"/>
        <v>0</v>
      </c>
      <c r="AA260" s="38">
        <f t="shared" si="547"/>
        <v>2.3796575000000302</v>
      </c>
      <c r="AB260" s="52">
        <f t="shared" si="547"/>
        <v>21.416917500000274</v>
      </c>
    </row>
    <row r="261" spans="1:29" x14ac:dyDescent="0.25">
      <c r="L261" s="30"/>
      <c r="M261" s="66"/>
      <c r="N261" s="47"/>
      <c r="O261" s="66"/>
      <c r="P261" s="36"/>
      <c r="Q261" s="22"/>
      <c r="R261" s="36"/>
      <c r="S261" s="36"/>
      <c r="T261" s="36"/>
      <c r="U261" s="36"/>
    </row>
    <row r="262" spans="1:29" x14ac:dyDescent="0.25">
      <c r="A262" s="144" t="s">
        <v>421</v>
      </c>
      <c r="B262" s="144"/>
      <c r="C262" s="144"/>
      <c r="D262" s="144"/>
      <c r="E262" s="144"/>
      <c r="F262" s="144"/>
      <c r="G262" s="144"/>
      <c r="H262" s="144"/>
      <c r="I262" s="144"/>
      <c r="J262" s="144"/>
      <c r="K262" s="144"/>
      <c r="L262" s="144"/>
      <c r="M262" s="144"/>
      <c r="N262" s="144"/>
      <c r="O262" s="144"/>
      <c r="P262" s="144"/>
      <c r="Q262" s="144"/>
      <c r="R262" s="144"/>
      <c r="S262" s="144"/>
      <c r="T262" s="144"/>
      <c r="U262" s="144"/>
      <c r="V262" s="144"/>
      <c r="W262" s="144"/>
      <c r="X262" s="144"/>
      <c r="Y262" s="144"/>
      <c r="Z262" s="144"/>
      <c r="AA262" s="144"/>
      <c r="AB262" s="144"/>
    </row>
    <row r="263" spans="1:29" x14ac:dyDescent="0.25">
      <c r="A263" s="10">
        <v>42872</v>
      </c>
      <c r="B263" t="s">
        <v>282</v>
      </c>
      <c r="C263">
        <v>700</v>
      </c>
      <c r="D263" s="22">
        <v>9.6</v>
      </c>
      <c r="E263" s="22">
        <f t="shared" ref="E263:E264" si="548">C263*D263</f>
        <v>6720</v>
      </c>
      <c r="F263" s="22">
        <f t="shared" ref="F263:F264" si="549">E263*0.0275%</f>
        <v>1.8480000000000001</v>
      </c>
      <c r="G263" s="22">
        <f t="shared" ref="G263:G264" si="550">E263*0.005%</f>
        <v>0.33600000000000002</v>
      </c>
      <c r="H263" s="22">
        <v>4</v>
      </c>
      <c r="I263" s="22">
        <v>0</v>
      </c>
      <c r="J263" s="22">
        <f>E263+F263+G263+H263</f>
        <v>6726.1840000000002</v>
      </c>
      <c r="K263" s="12"/>
      <c r="L263" s="10">
        <v>43290</v>
      </c>
      <c r="M263">
        <v>621778</v>
      </c>
      <c r="N263" t="s">
        <v>282</v>
      </c>
      <c r="O263">
        <v>700</v>
      </c>
      <c r="P263" s="22">
        <v>9.6999999999999993</v>
      </c>
      <c r="Q263" s="22">
        <f t="shared" ref="Q263:Q264" si="551">O263*P263</f>
        <v>6789.9999999999991</v>
      </c>
      <c r="R263" s="22">
        <f t="shared" ref="R263:R264" si="552">Q263*0.0275%</f>
        <v>1.8672499999999999</v>
      </c>
      <c r="S263" s="22">
        <v>0</v>
      </c>
      <c r="T263" s="36">
        <v>2.4900000000000002</v>
      </c>
      <c r="U263" s="36">
        <v>0</v>
      </c>
      <c r="V263" s="22">
        <f>Q263*0.005%</f>
        <v>0.33949999999999997</v>
      </c>
      <c r="W263" s="22">
        <f>Q263-R263-S263-T263-V263</f>
        <v>6785.303249999999</v>
      </c>
      <c r="X263" s="22">
        <f>0/COUNTA(W263:W264)</f>
        <v>0</v>
      </c>
      <c r="Y263" s="22">
        <f>W263-X263-J263</f>
        <v>59.119249999998829</v>
      </c>
      <c r="Z263" s="22">
        <f>IF(Q265 &gt; 20000, ((Y263+V263)*15%)-V263, 0)</f>
        <v>0</v>
      </c>
      <c r="AA263" s="22">
        <f t="shared" ref="AA263:AA264" si="553">(Y263-Z263)*10%</f>
        <v>5.9119249999998829</v>
      </c>
      <c r="AB263" s="22">
        <f>Y263-Z263-AA263</f>
        <v>53.207324999998946</v>
      </c>
    </row>
    <row r="264" spans="1:29" x14ac:dyDescent="0.25">
      <c r="A264" s="10">
        <v>42801</v>
      </c>
      <c r="B264" t="s">
        <v>306</v>
      </c>
      <c r="C264">
        <v>600</v>
      </c>
      <c r="D264" s="22">
        <v>18</v>
      </c>
      <c r="E264" s="22">
        <f t="shared" si="548"/>
        <v>10800</v>
      </c>
      <c r="F264" s="22">
        <f t="shared" si="549"/>
        <v>2.97</v>
      </c>
      <c r="G264" s="22">
        <f t="shared" si="550"/>
        <v>0.54</v>
      </c>
      <c r="H264" s="22">
        <v>4</v>
      </c>
      <c r="I264" s="22">
        <v>0</v>
      </c>
      <c r="J264" s="22">
        <f>E264+F264+G264+H264</f>
        <v>10807.51</v>
      </c>
      <c r="K264" s="12"/>
      <c r="L264" s="30">
        <v>43292</v>
      </c>
      <c r="M264" s="66">
        <v>627217</v>
      </c>
      <c r="N264" s="66" t="s">
        <v>306</v>
      </c>
      <c r="O264" s="66">
        <v>600</v>
      </c>
      <c r="P264" s="36">
        <v>18.100000000000001</v>
      </c>
      <c r="Q264" s="22">
        <f t="shared" si="551"/>
        <v>10860</v>
      </c>
      <c r="R264" s="22">
        <f t="shared" si="552"/>
        <v>2.9865000000000004</v>
      </c>
      <c r="S264" s="22">
        <v>0</v>
      </c>
      <c r="T264" s="36">
        <v>2.4900000000000002</v>
      </c>
      <c r="U264" s="36">
        <v>0</v>
      </c>
      <c r="V264" s="22">
        <f t="shared" ref="V264" si="554">Q264*0.005%</f>
        <v>0.54300000000000004</v>
      </c>
      <c r="W264" s="22">
        <f>Q264-R264-S264-T264-V264</f>
        <v>10853.9805</v>
      </c>
      <c r="X264" s="22">
        <f>0/COUNTA(W263:W264)</f>
        <v>0</v>
      </c>
      <c r="Y264" s="22">
        <f>W264-X264-J264</f>
        <v>46.470499999999447</v>
      </c>
      <c r="Z264" s="22">
        <f>IF(Q265 &gt; 20000, ((Y264+V264)*15%)-V264, 0)</f>
        <v>0</v>
      </c>
      <c r="AA264" s="22">
        <f t="shared" si="553"/>
        <v>4.6470499999999451</v>
      </c>
      <c r="AB264" s="22">
        <f>Y264-Z264-AA264</f>
        <v>41.823449999999504</v>
      </c>
    </row>
    <row r="265" spans="1:29" x14ac:dyDescent="0.25">
      <c r="E265" s="22">
        <f>SUM(E263:E264)</f>
        <v>17520</v>
      </c>
      <c r="F265" s="22">
        <f>SUM(F263:F264)</f>
        <v>4.8180000000000005</v>
      </c>
      <c r="G265" s="22">
        <f>SUM(G263:G264)</f>
        <v>0.87600000000000011</v>
      </c>
      <c r="H265" s="22">
        <f>SUM(H263:H264)</f>
        <v>8</v>
      </c>
      <c r="I265" s="22">
        <v>0</v>
      </c>
      <c r="J265" s="22">
        <f>SUM(J263:J264)</f>
        <v>17533.694</v>
      </c>
      <c r="K265" s="12"/>
      <c r="Q265" s="22">
        <f t="shared" ref="Q265:AB265" si="555">SUM(Q263:Q264)</f>
        <v>17650</v>
      </c>
      <c r="R265" s="22">
        <f t="shared" si="555"/>
        <v>4.8537499999999998</v>
      </c>
      <c r="S265" s="22">
        <f t="shared" si="555"/>
        <v>0</v>
      </c>
      <c r="T265" s="22">
        <f t="shared" si="555"/>
        <v>4.9800000000000004</v>
      </c>
      <c r="U265" s="22">
        <v>0</v>
      </c>
      <c r="V265" s="22">
        <f t="shared" si="555"/>
        <v>0.88250000000000006</v>
      </c>
      <c r="W265" s="22">
        <f t="shared" si="555"/>
        <v>17639.283749999999</v>
      </c>
      <c r="X265" s="22">
        <f t="shared" si="555"/>
        <v>0</v>
      </c>
      <c r="Y265" s="22">
        <f t="shared" si="555"/>
        <v>105.58974999999828</v>
      </c>
      <c r="Z265" s="38">
        <f t="shared" si="555"/>
        <v>0</v>
      </c>
      <c r="AA265" s="38">
        <f t="shared" si="555"/>
        <v>10.558974999999828</v>
      </c>
      <c r="AB265" s="52">
        <f t="shared" si="555"/>
        <v>95.030774999998442</v>
      </c>
    </row>
    <row r="266" spans="1:29" x14ac:dyDescent="0.25">
      <c r="L266" s="30"/>
      <c r="M266" s="66"/>
      <c r="N266" s="47"/>
      <c r="O266" s="66"/>
      <c r="P266" s="36"/>
      <c r="Q266" s="22"/>
      <c r="R266" s="36"/>
      <c r="S266" s="36"/>
      <c r="T266" s="36"/>
      <c r="U266" s="36"/>
    </row>
    <row r="267" spans="1:29" x14ac:dyDescent="0.25">
      <c r="A267" s="144" t="s">
        <v>422</v>
      </c>
      <c r="B267" s="144"/>
      <c r="C267" s="144"/>
      <c r="D267" s="144"/>
      <c r="E267" s="144"/>
      <c r="F267" s="144"/>
      <c r="G267" s="144"/>
      <c r="H267" s="144"/>
      <c r="I267" s="144"/>
      <c r="J267" s="144"/>
      <c r="K267" s="144"/>
      <c r="L267" s="144"/>
      <c r="M267" s="144"/>
      <c r="N267" s="144"/>
      <c r="O267" s="144"/>
      <c r="P267" s="144"/>
      <c r="Q267" s="144"/>
      <c r="R267" s="144"/>
      <c r="S267" s="144"/>
      <c r="T267" s="144"/>
      <c r="U267" s="144"/>
      <c r="V267" s="144"/>
      <c r="W267" s="144"/>
      <c r="X267" s="144"/>
      <c r="Y267" s="144"/>
      <c r="Z267" s="144"/>
      <c r="AA267" s="144"/>
      <c r="AB267" s="144"/>
    </row>
    <row r="268" spans="1:29" x14ac:dyDescent="0.25">
      <c r="A268" s="10">
        <v>43695</v>
      </c>
      <c r="B268" t="s">
        <v>348</v>
      </c>
      <c r="C268">
        <v>54</v>
      </c>
      <c r="D268" s="22">
        <v>0</v>
      </c>
      <c r="E268" s="22">
        <f>C268*D268</f>
        <v>0</v>
      </c>
      <c r="F268" s="22">
        <f t="shared" ref="F268:F269" si="556">E268*0.0275%</f>
        <v>0</v>
      </c>
      <c r="G268" s="22">
        <f>E268*0.005%</f>
        <v>0</v>
      </c>
      <c r="H268" s="36">
        <v>0</v>
      </c>
      <c r="I268" s="36">
        <v>0</v>
      </c>
      <c r="J268" s="22">
        <f>E268+F268+G268+H268</f>
        <v>0</v>
      </c>
      <c r="K268" s="12"/>
      <c r="L268" s="10">
        <v>43695</v>
      </c>
      <c r="M268">
        <v>787025</v>
      </c>
      <c r="N268" t="s">
        <v>348</v>
      </c>
      <c r="O268">
        <v>54</v>
      </c>
      <c r="P268" s="22">
        <v>1.86</v>
      </c>
      <c r="Q268" s="22">
        <f>O268*P268</f>
        <v>100.44000000000001</v>
      </c>
      <c r="R268" s="22">
        <f>Q268*0.02%</f>
        <v>2.0088000000000002E-2</v>
      </c>
      <c r="S268" s="22">
        <v>0</v>
      </c>
      <c r="T268" s="36">
        <v>2.4900000000000002</v>
      </c>
      <c r="U268" s="36">
        <v>0</v>
      </c>
      <c r="V268" s="22">
        <f t="shared" ref="V268:V269" si="557">Q268*0.005%</f>
        <v>5.0220000000000004E-3</v>
      </c>
      <c r="W268" s="22">
        <f t="shared" ref="W268:W269" si="558">Q268-R268-S268-T268-V268</f>
        <v>97.924890000000019</v>
      </c>
      <c r="X268" s="22">
        <f>0/COUNTA(W268:W268)</f>
        <v>0</v>
      </c>
      <c r="Y268" s="22">
        <f t="shared" ref="Y268:Y269" si="559">W268-X268-J268</f>
        <v>97.924890000000019</v>
      </c>
      <c r="Z268" s="22">
        <f>IF(Q316 &gt; 20000, ((Y268+V268)*15%)-V268, 0)</f>
        <v>0</v>
      </c>
      <c r="AA268" s="22">
        <f t="shared" ref="AA268:AA269" si="560">(Y268-Z268)*10%</f>
        <v>9.7924890000000033</v>
      </c>
      <c r="AB268" s="22">
        <f t="shared" ref="AB268:AB269" si="561">Y268-Z268-AA268</f>
        <v>88.132401000000016</v>
      </c>
      <c r="AC268" s="22"/>
    </row>
    <row r="269" spans="1:29" x14ac:dyDescent="0.25">
      <c r="A269" s="10">
        <v>43698</v>
      </c>
      <c r="B269" t="s">
        <v>349</v>
      </c>
      <c r="C269">
        <v>100</v>
      </c>
      <c r="D269" s="22">
        <v>0</v>
      </c>
      <c r="E269" s="22">
        <f>C269*D269</f>
        <v>0</v>
      </c>
      <c r="F269" s="22">
        <f t="shared" si="556"/>
        <v>0</v>
      </c>
      <c r="G269" s="22">
        <f>E269*0.005%</f>
        <v>0</v>
      </c>
      <c r="H269" s="36">
        <v>0</v>
      </c>
      <c r="I269" s="36">
        <v>0</v>
      </c>
      <c r="J269" s="22">
        <f>E269+F269+G269+H269</f>
        <v>0</v>
      </c>
      <c r="K269" s="12"/>
      <c r="L269" s="10">
        <v>43698</v>
      </c>
      <c r="M269">
        <v>804019</v>
      </c>
      <c r="N269" t="s">
        <v>349</v>
      </c>
      <c r="O269">
        <v>100</v>
      </c>
      <c r="P269" s="22">
        <v>0.2</v>
      </c>
      <c r="Q269" s="22">
        <f>O269*P269</f>
        <v>20</v>
      </c>
      <c r="R269" s="22">
        <f>Q269*0.02%</f>
        <v>4.0000000000000001E-3</v>
      </c>
      <c r="S269" s="22">
        <v>0</v>
      </c>
      <c r="T269" s="36">
        <v>2.4900000000000002</v>
      </c>
      <c r="U269" s="36">
        <v>0</v>
      </c>
      <c r="V269" s="22">
        <f t="shared" si="557"/>
        <v>1E-3</v>
      </c>
      <c r="W269" s="22">
        <f t="shared" si="558"/>
        <v>17.504999999999999</v>
      </c>
      <c r="X269" s="22">
        <f t="shared" ref="X269" si="562">0/COUNTA(W268:W269)</f>
        <v>0</v>
      </c>
      <c r="Y269" s="22">
        <f t="shared" si="559"/>
        <v>17.504999999999999</v>
      </c>
      <c r="Z269" s="22">
        <f>IF(Q317 &gt; 20000, ((Y269+V269)*15%)-V269, 0)</f>
        <v>0</v>
      </c>
      <c r="AA269" s="22">
        <f t="shared" si="560"/>
        <v>1.7504999999999999</v>
      </c>
      <c r="AB269" s="22">
        <f t="shared" si="561"/>
        <v>15.754499999999998</v>
      </c>
      <c r="AC269" s="22"/>
    </row>
    <row r="270" spans="1:29" x14ac:dyDescent="0.25">
      <c r="E270" s="22">
        <f>SUM(E268:E269)</f>
        <v>0</v>
      </c>
      <c r="F270" s="22">
        <f t="shared" ref="F270:J270" si="563">SUM(F268:F269)</f>
        <v>0</v>
      </c>
      <c r="G270" s="22">
        <f t="shared" si="563"/>
        <v>0</v>
      </c>
      <c r="H270" s="22">
        <f t="shared" si="563"/>
        <v>0</v>
      </c>
      <c r="I270" s="22">
        <v>0</v>
      </c>
      <c r="J270" s="22">
        <f t="shared" si="563"/>
        <v>0</v>
      </c>
      <c r="K270" s="12"/>
      <c r="Q270" s="22">
        <f>SUM(Q268:Q269)</f>
        <v>120.44000000000001</v>
      </c>
      <c r="R270" s="22">
        <f t="shared" ref="R270:AB270" si="564">SUM(R268:R269)</f>
        <v>2.4088000000000002E-2</v>
      </c>
      <c r="S270" s="22">
        <f t="shared" si="564"/>
        <v>0</v>
      </c>
      <c r="T270" s="22">
        <f t="shared" si="564"/>
        <v>4.9800000000000004</v>
      </c>
      <c r="U270" s="22">
        <v>0</v>
      </c>
      <c r="V270" s="22">
        <f t="shared" si="564"/>
        <v>6.0220000000000004E-3</v>
      </c>
      <c r="W270" s="22">
        <f t="shared" si="564"/>
        <v>115.42989000000001</v>
      </c>
      <c r="X270" s="22">
        <f t="shared" si="564"/>
        <v>0</v>
      </c>
      <c r="Y270" s="22">
        <f t="shared" si="564"/>
        <v>115.42989000000001</v>
      </c>
      <c r="Z270" s="38">
        <f t="shared" si="564"/>
        <v>0</v>
      </c>
      <c r="AA270" s="38">
        <f t="shared" si="564"/>
        <v>11.542989000000004</v>
      </c>
      <c r="AB270" s="52">
        <f t="shared" si="564"/>
        <v>103.88690100000001</v>
      </c>
    </row>
    <row r="271" spans="1:29" x14ac:dyDescent="0.25">
      <c r="E271" s="22"/>
      <c r="F271" s="22"/>
      <c r="G271" s="22"/>
      <c r="H271" s="22"/>
      <c r="I271" s="22"/>
      <c r="J271" s="22"/>
      <c r="K271" s="12"/>
      <c r="Q271" s="22"/>
      <c r="R271" s="22"/>
      <c r="S271" s="22"/>
      <c r="T271" s="22"/>
      <c r="U271" s="22"/>
      <c r="V271" s="22"/>
      <c r="W271" s="22"/>
      <c r="X271" s="22"/>
      <c r="Y271" s="22"/>
      <c r="Z271" s="22"/>
      <c r="AA271" s="22"/>
      <c r="AB271" s="22"/>
    </row>
    <row r="272" spans="1:29" x14ac:dyDescent="0.25">
      <c r="A272" s="144" t="s">
        <v>423</v>
      </c>
      <c r="B272" s="144"/>
      <c r="C272" s="144"/>
      <c r="D272" s="144"/>
      <c r="E272" s="144"/>
      <c r="F272" s="144"/>
      <c r="G272" s="144"/>
      <c r="H272" s="144"/>
      <c r="I272" s="144"/>
      <c r="J272" s="144"/>
      <c r="K272" s="144"/>
      <c r="L272" s="144"/>
      <c r="M272" s="144"/>
      <c r="N272" s="144"/>
      <c r="O272" s="144"/>
      <c r="P272" s="144"/>
      <c r="Q272" s="144"/>
      <c r="R272" s="144"/>
      <c r="S272" s="144"/>
      <c r="T272" s="144"/>
      <c r="U272" s="144"/>
      <c r="V272" s="144"/>
      <c r="W272" s="144"/>
      <c r="X272" s="144"/>
      <c r="Y272" s="144"/>
      <c r="Z272" s="144"/>
      <c r="AA272" s="144"/>
      <c r="AB272" s="144"/>
    </row>
    <row r="273" spans="1:30" x14ac:dyDescent="0.25">
      <c r="A273" s="10">
        <v>42962</v>
      </c>
      <c r="B273" t="s">
        <v>328</v>
      </c>
      <c r="C273">
        <v>2000</v>
      </c>
      <c r="D273" s="22">
        <v>3.45</v>
      </c>
      <c r="E273" s="22">
        <f t="shared" ref="E273" si="565">C273*D273</f>
        <v>6900</v>
      </c>
      <c r="F273" s="22">
        <f t="shared" ref="F273" si="566">E273*0.0275%</f>
        <v>1.8975000000000002</v>
      </c>
      <c r="G273" s="22">
        <f t="shared" ref="G273" si="567">E273*0.005%</f>
        <v>0.34500000000000003</v>
      </c>
      <c r="H273" s="22">
        <v>4</v>
      </c>
      <c r="I273" s="22">
        <v>0</v>
      </c>
      <c r="J273" s="22">
        <f>E273+F273+G273+H273</f>
        <v>6906.2425000000003</v>
      </c>
      <c r="K273" s="12"/>
      <c r="L273" s="30">
        <v>43766</v>
      </c>
      <c r="M273" s="66">
        <v>1061015</v>
      </c>
      <c r="N273" s="66" t="s">
        <v>328</v>
      </c>
      <c r="O273" s="66">
        <v>2000</v>
      </c>
      <c r="P273" s="36">
        <v>4.0999999999999996</v>
      </c>
      <c r="Q273" s="36">
        <f t="shared" ref="Q273" si="568">O273*P273</f>
        <v>8200</v>
      </c>
      <c r="R273" s="36">
        <f t="shared" ref="R273" si="569">Q273*0.0275%</f>
        <v>2.2550000000000003</v>
      </c>
      <c r="S273" s="36">
        <f>Q273*0.004%</f>
        <v>0.32800000000000001</v>
      </c>
      <c r="T273" s="36">
        <v>2.4900000000000002</v>
      </c>
      <c r="U273" s="36">
        <v>0</v>
      </c>
      <c r="V273" s="36">
        <f>T273*6.5%</f>
        <v>0.16185000000000002</v>
      </c>
      <c r="W273" s="36">
        <f>Q273-R273-S273-T273-V273</f>
        <v>8194.7651500000011</v>
      </c>
      <c r="X273" s="22">
        <f>0/COUNTA(W273:W273)</f>
        <v>0</v>
      </c>
      <c r="Y273" s="22">
        <f t="shared" ref="Y273" si="570">W273-X273-J273</f>
        <v>1288.5226500000008</v>
      </c>
      <c r="Z273" s="22">
        <f>IF(Q274 &gt; 20000, ((Y273+V273)*15%)-V273, 0)</f>
        <v>0</v>
      </c>
      <c r="AA273" s="22">
        <f t="shared" ref="AA273" si="571">(Y273-Z273)*10%</f>
        <v>128.85226500000007</v>
      </c>
      <c r="AB273" s="22">
        <f t="shared" ref="AB273" si="572">Y273-Z273-AA273</f>
        <v>1159.6703850000008</v>
      </c>
      <c r="AC273" s="22"/>
    </row>
    <row r="274" spans="1:30" x14ac:dyDescent="0.25">
      <c r="E274" s="22">
        <f>SUM(E273:E273)</f>
        <v>6900</v>
      </c>
      <c r="F274" s="22">
        <f>SUM(F273:F273)</f>
        <v>1.8975000000000002</v>
      </c>
      <c r="G274" s="22">
        <f>SUM(G273:G273)</f>
        <v>0.34500000000000003</v>
      </c>
      <c r="H274" s="22">
        <f>SUM(H273:H273)</f>
        <v>4</v>
      </c>
      <c r="I274" s="22">
        <v>0</v>
      </c>
      <c r="J274" s="22">
        <f>SUM(J273:J273)</f>
        <v>6906.2425000000003</v>
      </c>
      <c r="K274" s="12"/>
      <c r="Q274" s="22">
        <f t="shared" ref="Q274:AB274" si="573">SUM(Q273:Q273)</f>
        <v>8200</v>
      </c>
      <c r="R274" s="22">
        <f t="shared" si="573"/>
        <v>2.2550000000000003</v>
      </c>
      <c r="S274" s="22">
        <f t="shared" si="573"/>
        <v>0.32800000000000001</v>
      </c>
      <c r="T274" s="22">
        <f t="shared" si="573"/>
        <v>2.4900000000000002</v>
      </c>
      <c r="U274" s="22">
        <v>0</v>
      </c>
      <c r="V274" s="22">
        <f t="shared" si="573"/>
        <v>0.16185000000000002</v>
      </c>
      <c r="W274" s="22">
        <f t="shared" si="573"/>
        <v>8194.7651500000011</v>
      </c>
      <c r="X274" s="22">
        <f t="shared" si="573"/>
        <v>0</v>
      </c>
      <c r="Y274" s="22">
        <f t="shared" si="573"/>
        <v>1288.5226500000008</v>
      </c>
      <c r="Z274" s="38">
        <f t="shared" si="573"/>
        <v>0</v>
      </c>
      <c r="AA274" s="38">
        <f t="shared" si="573"/>
        <v>128.85226500000007</v>
      </c>
      <c r="AB274" s="52">
        <f t="shared" si="573"/>
        <v>1159.6703850000008</v>
      </c>
    </row>
    <row r="275" spans="1:30" x14ac:dyDescent="0.25">
      <c r="E275" s="22"/>
      <c r="F275" s="22"/>
      <c r="G275" s="22"/>
      <c r="H275" s="22"/>
      <c r="I275" s="22"/>
      <c r="J275" s="22"/>
      <c r="K275" s="12"/>
      <c r="Q275" s="22"/>
      <c r="R275" s="22"/>
      <c r="S275" s="22"/>
      <c r="T275" s="22"/>
      <c r="U275" s="22"/>
      <c r="V275" s="22"/>
      <c r="W275" s="22"/>
      <c r="X275" s="22"/>
      <c r="Y275" s="22"/>
      <c r="Z275" s="22"/>
      <c r="AA275" s="22"/>
      <c r="AB275" s="22"/>
    </row>
    <row r="276" spans="1:30" x14ac:dyDescent="0.25">
      <c r="A276" s="144" t="s">
        <v>424</v>
      </c>
      <c r="B276" s="144"/>
      <c r="C276" s="144"/>
      <c r="D276" s="144"/>
      <c r="E276" s="144"/>
      <c r="F276" s="144"/>
      <c r="G276" s="144"/>
      <c r="H276" s="144"/>
      <c r="I276" s="144"/>
      <c r="J276" s="144"/>
      <c r="K276" s="144"/>
      <c r="L276" s="144"/>
      <c r="M276" s="144"/>
      <c r="N276" s="144"/>
      <c r="O276" s="144"/>
      <c r="P276" s="144"/>
      <c r="Q276" s="144"/>
      <c r="R276" s="144"/>
      <c r="S276" s="144"/>
      <c r="T276" s="144"/>
      <c r="U276" s="144"/>
      <c r="V276" s="144"/>
      <c r="W276" s="144"/>
      <c r="X276" s="144"/>
      <c r="Y276" s="144"/>
      <c r="Z276" s="144"/>
      <c r="AA276" s="144"/>
      <c r="AB276" s="144"/>
    </row>
    <row r="277" spans="1:30" x14ac:dyDescent="0.25">
      <c r="A277" s="10">
        <v>43959</v>
      </c>
      <c r="B277" t="s">
        <v>350</v>
      </c>
      <c r="C277">
        <v>700</v>
      </c>
      <c r="D277" s="22">
        <v>0</v>
      </c>
      <c r="E277" s="22">
        <f>C277*D277</f>
        <v>0</v>
      </c>
      <c r="F277" s="22">
        <f t="shared" ref="F277" si="574">E277*0.0275%</f>
        <v>0</v>
      </c>
      <c r="G277" s="22">
        <f>E277*0.005%</f>
        <v>0</v>
      </c>
      <c r="H277" s="36">
        <v>0</v>
      </c>
      <c r="I277" s="36">
        <v>0</v>
      </c>
      <c r="J277" s="22">
        <f>E277+F277+G277+H277</f>
        <v>0</v>
      </c>
      <c r="K277" s="12"/>
      <c r="L277" s="10">
        <v>43959</v>
      </c>
      <c r="M277">
        <v>730476</v>
      </c>
      <c r="N277" t="s">
        <v>350</v>
      </c>
      <c r="O277">
        <v>700</v>
      </c>
      <c r="P277" s="22">
        <v>0.15</v>
      </c>
      <c r="Q277" s="22">
        <v>105</v>
      </c>
      <c r="R277" s="22">
        <v>2.1000000000000001E-2</v>
      </c>
      <c r="S277" s="22">
        <v>0</v>
      </c>
      <c r="T277" s="36">
        <v>2.4900000000000002</v>
      </c>
      <c r="U277" s="36">
        <f>T277*6.5%</f>
        <v>0.16185000000000002</v>
      </c>
      <c r="V277" s="22">
        <v>0</v>
      </c>
      <c r="W277" s="22">
        <f>Q277-R277-S277-T277-U277-V277</f>
        <v>102.32715</v>
      </c>
      <c r="X277" s="22">
        <f>0/COUNTA(W277:W277)</f>
        <v>0</v>
      </c>
      <c r="Y277" s="22">
        <f t="shared" ref="Y277" si="575">W277-X277-J277</f>
        <v>102.32715</v>
      </c>
      <c r="Z277" s="22">
        <f>IF(Q279 &gt; 20000, ((Y277+V277)*15%)-V277, 0)</f>
        <v>0</v>
      </c>
      <c r="AA277" s="22">
        <f t="shared" ref="AA277" si="576">(Y277-Z277)*10%</f>
        <v>10.232715000000001</v>
      </c>
      <c r="AB277" s="22">
        <f t="shared" ref="AB277" si="577">Y277-Z277-AA277</f>
        <v>92.094435000000004</v>
      </c>
      <c r="AC277" s="22"/>
    </row>
    <row r="278" spans="1:30" x14ac:dyDescent="0.25">
      <c r="A278" s="10">
        <v>43908</v>
      </c>
      <c r="B278" t="s">
        <v>271</v>
      </c>
      <c r="C278">
        <v>100</v>
      </c>
      <c r="D278" s="22">
        <v>24.3</v>
      </c>
      <c r="E278" s="22">
        <f>C278*D278</f>
        <v>2430</v>
      </c>
      <c r="F278" s="22">
        <f t="shared" ref="F278" si="578">E278*0.0275%</f>
        <v>0.66825000000000001</v>
      </c>
      <c r="G278" s="22">
        <f>E278*0.0032%</f>
        <v>7.7759999999999996E-2</v>
      </c>
      <c r="H278" s="36">
        <v>2.4900000000000002</v>
      </c>
      <c r="I278" s="36">
        <f>H278*6.5%</f>
        <v>0.16185000000000002</v>
      </c>
      <c r="J278" s="22">
        <f>E278+F278+G278+H278+I278</f>
        <v>2433.39786</v>
      </c>
      <c r="K278" s="12"/>
      <c r="L278" s="30">
        <v>43977</v>
      </c>
      <c r="M278" s="66">
        <v>836256</v>
      </c>
      <c r="N278" s="66" t="s">
        <v>271</v>
      </c>
      <c r="O278" s="66">
        <v>100</v>
      </c>
      <c r="P278" s="36">
        <v>32.5</v>
      </c>
      <c r="Q278" s="36">
        <f t="shared" ref="Q278" si="579">O278*P278</f>
        <v>3250</v>
      </c>
      <c r="R278" s="36">
        <f t="shared" ref="R278" si="580">Q278*0.0275%</f>
        <v>0.89375000000000004</v>
      </c>
      <c r="S278" s="36">
        <f>Q278*0.00675%</f>
        <v>0.21937500000000001</v>
      </c>
      <c r="T278" s="36">
        <v>2.4900000000000002</v>
      </c>
      <c r="U278" s="36">
        <f>T278*6.5%</f>
        <v>0.16185000000000002</v>
      </c>
      <c r="V278" s="22">
        <v>0</v>
      </c>
      <c r="W278" s="22">
        <f>Q278-R278-S278-T278-U278-V278</f>
        <v>3246.235025</v>
      </c>
      <c r="X278" s="22">
        <f>0/COUNTA(W278:W278)</f>
        <v>0</v>
      </c>
      <c r="Y278" s="22">
        <f t="shared" ref="Y278" si="581">W278-X278-J278</f>
        <v>812.83716499999991</v>
      </c>
      <c r="Z278" s="22">
        <f>IF(Q279 &gt; 20000, ((Y278+V278)*15%)-V278, 0)</f>
        <v>0</v>
      </c>
      <c r="AA278" s="22">
        <f t="shared" ref="AA278" si="582">(Y278-Z278)*10%</f>
        <v>81.283716499999997</v>
      </c>
      <c r="AB278" s="22">
        <f t="shared" ref="AB278" si="583">Y278-Z278-AA278</f>
        <v>731.55344849999994</v>
      </c>
      <c r="AC278" s="22"/>
    </row>
    <row r="279" spans="1:30" x14ac:dyDescent="0.25">
      <c r="E279" s="22">
        <f>SUM(E277:E278)</f>
        <v>2430</v>
      </c>
      <c r="F279" s="22">
        <f t="shared" ref="F279:J279" si="584">SUM(F277:F278)</f>
        <v>0.66825000000000001</v>
      </c>
      <c r="G279" s="22">
        <f t="shared" si="584"/>
        <v>7.7759999999999996E-2</v>
      </c>
      <c r="H279" s="22">
        <f t="shared" si="584"/>
        <v>2.4900000000000002</v>
      </c>
      <c r="I279" s="22">
        <f t="shared" si="584"/>
        <v>0.16185000000000002</v>
      </c>
      <c r="J279" s="22">
        <f t="shared" si="584"/>
        <v>2433.39786</v>
      </c>
      <c r="K279" s="12"/>
      <c r="Q279" s="22">
        <f>SUM(Q277:Q278)</f>
        <v>3355</v>
      </c>
      <c r="R279" s="22">
        <f t="shared" ref="R279:AB279" si="585">SUM(R277:R278)</f>
        <v>0.91475000000000006</v>
      </c>
      <c r="S279" s="22">
        <f t="shared" si="585"/>
        <v>0.21937500000000001</v>
      </c>
      <c r="T279" s="22">
        <f t="shared" si="585"/>
        <v>4.9800000000000004</v>
      </c>
      <c r="U279" s="22">
        <f t="shared" si="585"/>
        <v>0.32370000000000004</v>
      </c>
      <c r="V279" s="22">
        <f t="shared" si="585"/>
        <v>0</v>
      </c>
      <c r="W279" s="22">
        <f>SUM(W277:W278)</f>
        <v>3348.562175</v>
      </c>
      <c r="X279" s="22">
        <f t="shared" si="585"/>
        <v>0</v>
      </c>
      <c r="Y279" s="22">
        <f t="shared" si="585"/>
        <v>915.16431499999987</v>
      </c>
      <c r="Z279" s="38">
        <f t="shared" si="585"/>
        <v>0</v>
      </c>
      <c r="AA279" s="38">
        <f t="shared" si="585"/>
        <v>91.516431499999996</v>
      </c>
      <c r="AB279" s="52">
        <f t="shared" si="585"/>
        <v>823.64788349999992</v>
      </c>
    </row>
    <row r="280" spans="1:30" x14ac:dyDescent="0.25">
      <c r="E280" s="22"/>
      <c r="F280" s="22"/>
      <c r="G280" s="22"/>
      <c r="H280" s="22"/>
      <c r="I280" s="22"/>
      <c r="J280" s="22"/>
      <c r="K280" s="12"/>
      <c r="Q280" s="22"/>
      <c r="R280" s="22"/>
      <c r="S280" s="22"/>
      <c r="T280" s="22"/>
      <c r="U280" s="22"/>
      <c r="V280" s="22"/>
      <c r="W280" s="22"/>
      <c r="X280" s="22"/>
      <c r="Y280" s="22"/>
      <c r="Z280" s="22"/>
      <c r="AA280" s="22"/>
      <c r="AB280" s="22"/>
    </row>
    <row r="281" spans="1:30" x14ac:dyDescent="0.25">
      <c r="A281" s="144" t="s">
        <v>425</v>
      </c>
      <c r="B281" s="144"/>
      <c r="C281" s="144"/>
      <c r="D281" s="144"/>
      <c r="E281" s="144"/>
      <c r="F281" s="144"/>
      <c r="G281" s="144"/>
      <c r="H281" s="144"/>
      <c r="I281" s="144"/>
      <c r="J281" s="144"/>
      <c r="K281" s="144"/>
      <c r="L281" s="144"/>
      <c r="M281" s="144"/>
      <c r="N281" s="144"/>
      <c r="O281" s="144"/>
      <c r="P281" s="144"/>
      <c r="Q281" s="144"/>
      <c r="R281" s="144"/>
      <c r="S281" s="144"/>
      <c r="T281" s="144"/>
      <c r="U281" s="144"/>
      <c r="V281" s="144"/>
      <c r="W281" s="144"/>
      <c r="X281" s="144"/>
      <c r="Y281" s="144"/>
      <c r="Z281" s="144"/>
      <c r="AA281" s="144"/>
      <c r="AB281" s="144"/>
    </row>
    <row r="282" spans="1:30" s="47" customFormat="1" x14ac:dyDescent="0.25">
      <c r="A282" s="30">
        <v>43973</v>
      </c>
      <c r="B282" s="66" t="s">
        <v>331</v>
      </c>
      <c r="C282" s="66">
        <v>1300</v>
      </c>
      <c r="D282" s="36">
        <v>6.5</v>
      </c>
      <c r="E282" s="36">
        <f t="shared" ref="E282:E283" si="586">C282*D282</f>
        <v>8450</v>
      </c>
      <c r="F282" s="36">
        <f t="shared" ref="F282:F283" si="587">E282*0.0275%</f>
        <v>2.32375</v>
      </c>
      <c r="G282" s="36">
        <f t="shared" ref="G282:G283" si="588">E282*0.0032%</f>
        <v>0.27039999999999997</v>
      </c>
      <c r="H282" s="36">
        <v>2.4900000000000002</v>
      </c>
      <c r="I282" s="36">
        <f>H282*6.5%</f>
        <v>0.16185000000000002</v>
      </c>
      <c r="J282" s="36">
        <f>E282+F282+G282+I282+H282</f>
        <v>8455.2459999999992</v>
      </c>
      <c r="K282" s="70"/>
      <c r="L282" s="30">
        <v>43985</v>
      </c>
      <c r="M282" s="66">
        <v>902377</v>
      </c>
      <c r="N282" s="66" t="s">
        <v>331</v>
      </c>
      <c r="O282" s="66">
        <v>1300</v>
      </c>
      <c r="P282" s="36">
        <v>8.5299999999999994</v>
      </c>
      <c r="Q282" s="36">
        <f t="shared" ref="Q282:Q283" si="589">O282*P282</f>
        <v>11089</v>
      </c>
      <c r="R282" s="36">
        <f t="shared" ref="R282:R283" si="590">Q282*0.0275%</f>
        <v>3.0494750000000002</v>
      </c>
      <c r="S282" s="36">
        <f>Q282*0.0051%</f>
        <v>0.56553900000000012</v>
      </c>
      <c r="T282" s="36">
        <v>2.4900000000000002</v>
      </c>
      <c r="U282" s="36">
        <f>T282*6.5%</f>
        <v>0.16185000000000002</v>
      </c>
      <c r="V282" s="22">
        <f>Q282*0.005%</f>
        <v>0.55445</v>
      </c>
      <c r="W282" s="22">
        <f>Q282-R282-S282-T282-U282-V282</f>
        <v>11082.178686000001</v>
      </c>
      <c r="X282" s="22">
        <f>0/COUNTA(W282:W282)</f>
        <v>0</v>
      </c>
      <c r="Y282" s="22">
        <f t="shared" ref="Y282:Y283" si="591">W282-X282-J282</f>
        <v>2626.9326860000019</v>
      </c>
      <c r="Z282" s="22">
        <f>IF(Q284 &gt; 20000, ((Y282+V282)*15%)-V282, 0)</f>
        <v>393.56862040000033</v>
      </c>
      <c r="AA282" s="22">
        <f t="shared" ref="AA282:AA283" si="592">(Y282-Z282)*10%</f>
        <v>223.33640656000017</v>
      </c>
      <c r="AB282" s="22">
        <f t="shared" ref="AB282:AB283" si="593">Y282-Z282-AA282</f>
        <v>2010.0276590400015</v>
      </c>
      <c r="AC282" s="23"/>
      <c r="AD282" s="23"/>
    </row>
    <row r="283" spans="1:30" s="47" customFormat="1" x14ac:dyDescent="0.25">
      <c r="A283" s="30">
        <v>43973</v>
      </c>
      <c r="B283" s="66" t="s">
        <v>340</v>
      </c>
      <c r="C283" s="66">
        <v>200</v>
      </c>
      <c r="D283" s="36">
        <v>50</v>
      </c>
      <c r="E283" s="36">
        <f t="shared" si="586"/>
        <v>10000</v>
      </c>
      <c r="F283" s="36">
        <f t="shared" si="587"/>
        <v>2.75</v>
      </c>
      <c r="G283" s="36">
        <f t="shared" si="588"/>
        <v>0.32</v>
      </c>
      <c r="H283" s="36">
        <v>2.4900000000000002</v>
      </c>
      <c r="I283" s="36">
        <f>H283*6.5%</f>
        <v>0.16185000000000002</v>
      </c>
      <c r="J283" s="36">
        <f>E283+F283+G283+I283+H283</f>
        <v>10005.72185</v>
      </c>
      <c r="K283" s="70"/>
      <c r="L283" s="30">
        <v>43985</v>
      </c>
      <c r="M283" s="66">
        <v>902377</v>
      </c>
      <c r="N283" s="66" t="s">
        <v>340</v>
      </c>
      <c r="O283" s="66">
        <v>200</v>
      </c>
      <c r="P283" s="36">
        <v>54</v>
      </c>
      <c r="Q283" s="36">
        <f t="shared" si="589"/>
        <v>10800</v>
      </c>
      <c r="R283" s="36">
        <f t="shared" si="590"/>
        <v>2.97</v>
      </c>
      <c r="S283" s="36">
        <f>Q283*0.0051%</f>
        <v>0.55080000000000007</v>
      </c>
      <c r="T283" s="36">
        <v>2.4900000000000002</v>
      </c>
      <c r="U283" s="36">
        <f>T283*6.5%</f>
        <v>0.16185000000000002</v>
      </c>
      <c r="V283" s="22">
        <f>Q283*0.005%</f>
        <v>0.54</v>
      </c>
      <c r="W283" s="22">
        <f>Q283-R283-S283-T283-U283-V283</f>
        <v>10793.287349999999</v>
      </c>
      <c r="X283" s="22">
        <f>0/COUNTA(W283:W283)</f>
        <v>0</v>
      </c>
      <c r="Y283" s="22">
        <f t="shared" si="591"/>
        <v>787.56549999999879</v>
      </c>
      <c r="Z283" s="22">
        <f>IF(Q284 &gt; 20000, ((Y283+V283)*15%)-V283, 0)</f>
        <v>117.6758249999998</v>
      </c>
      <c r="AA283" s="22">
        <f t="shared" si="592"/>
        <v>66.988967499999902</v>
      </c>
      <c r="AB283" s="22">
        <f t="shared" si="593"/>
        <v>602.90070749999904</v>
      </c>
      <c r="AC283" s="23"/>
      <c r="AD283" s="23"/>
    </row>
    <row r="284" spans="1:30" x14ac:dyDescent="0.25">
      <c r="E284" s="22">
        <f>SUM(E282:E283)</f>
        <v>18450</v>
      </c>
      <c r="F284" s="22">
        <f t="shared" ref="F284:J284" si="594">SUM(F282:F283)</f>
        <v>5.0737500000000004</v>
      </c>
      <c r="G284" s="22">
        <f t="shared" si="594"/>
        <v>0.59040000000000004</v>
      </c>
      <c r="H284" s="22">
        <f t="shared" si="594"/>
        <v>4.9800000000000004</v>
      </c>
      <c r="I284" s="22">
        <f t="shared" si="594"/>
        <v>0.32370000000000004</v>
      </c>
      <c r="J284" s="22">
        <f t="shared" si="594"/>
        <v>18460.967850000001</v>
      </c>
      <c r="K284" s="12"/>
      <c r="Q284" s="22">
        <f>SUM(Q282:Q283)</f>
        <v>21889</v>
      </c>
      <c r="R284" s="22">
        <f t="shared" ref="R284:AB284" si="595">SUM(R282:R283)</f>
        <v>6.0194749999999999</v>
      </c>
      <c r="S284" s="22">
        <f t="shared" si="595"/>
        <v>1.1163390000000002</v>
      </c>
      <c r="T284" s="22">
        <f t="shared" si="595"/>
        <v>4.9800000000000004</v>
      </c>
      <c r="U284" s="22">
        <f t="shared" si="595"/>
        <v>0.32370000000000004</v>
      </c>
      <c r="V284" s="22">
        <f t="shared" si="595"/>
        <v>1.0944500000000001</v>
      </c>
      <c r="W284" s="22">
        <f>SUM(W282:W283)</f>
        <v>21875.466035999998</v>
      </c>
      <c r="X284" s="22">
        <f t="shared" si="595"/>
        <v>0</v>
      </c>
      <c r="Y284" s="22">
        <f t="shared" si="595"/>
        <v>3414.4981860000007</v>
      </c>
      <c r="Z284" s="38">
        <f t="shared" si="595"/>
        <v>511.24444540000013</v>
      </c>
      <c r="AA284" s="38">
        <f t="shared" si="595"/>
        <v>290.32537406000006</v>
      </c>
      <c r="AB284" s="52">
        <f t="shared" si="595"/>
        <v>2612.9283665400008</v>
      </c>
    </row>
    <row r="285" spans="1:30" x14ac:dyDescent="0.25">
      <c r="E285" s="22"/>
      <c r="F285" s="22"/>
      <c r="G285" s="22"/>
      <c r="H285" s="22"/>
      <c r="I285" s="22"/>
      <c r="J285" s="22"/>
      <c r="K285" s="12"/>
      <c r="Q285" s="22"/>
      <c r="R285" s="22"/>
      <c r="S285" s="22"/>
      <c r="T285" s="22"/>
      <c r="U285" s="22"/>
      <c r="V285" s="22"/>
      <c r="W285" s="22"/>
      <c r="X285" s="22"/>
      <c r="Y285" s="22"/>
      <c r="Z285" s="22"/>
      <c r="AA285" s="22"/>
      <c r="AB285" s="22"/>
    </row>
    <row r="286" spans="1:30" x14ac:dyDescent="0.25">
      <c r="A286" s="144" t="s">
        <v>426</v>
      </c>
      <c r="B286" s="144"/>
      <c r="C286" s="144"/>
      <c r="D286" s="144"/>
      <c r="E286" s="144"/>
      <c r="F286" s="144"/>
      <c r="G286" s="144"/>
      <c r="H286" s="144"/>
      <c r="I286" s="144"/>
      <c r="J286" s="144"/>
      <c r="K286" s="144"/>
      <c r="L286" s="144"/>
      <c r="M286" s="144"/>
      <c r="N286" s="144"/>
      <c r="O286" s="144"/>
      <c r="P286" s="144"/>
      <c r="Q286" s="144"/>
      <c r="R286" s="144"/>
      <c r="S286" s="144"/>
      <c r="T286" s="144"/>
      <c r="U286" s="144"/>
      <c r="V286" s="144"/>
      <c r="W286" s="144"/>
      <c r="X286" s="144"/>
      <c r="Y286" s="144"/>
      <c r="Z286" s="144"/>
      <c r="AA286" s="144"/>
      <c r="AB286" s="144"/>
    </row>
    <row r="287" spans="1:30" x14ac:dyDescent="0.25">
      <c r="A287" s="10">
        <v>42977</v>
      </c>
      <c r="B287" t="s">
        <v>307</v>
      </c>
      <c r="C287">
        <v>400</v>
      </c>
      <c r="D287" s="22">
        <v>22.5</v>
      </c>
      <c r="E287" s="22">
        <f t="shared" ref="E287:E288" si="596">C287*D287</f>
        <v>9000</v>
      </c>
      <c r="F287" s="22">
        <f t="shared" ref="F287:F288" si="597">E287*0.0275%</f>
        <v>2.4750000000000001</v>
      </c>
      <c r="G287" s="22">
        <f t="shared" ref="G287" si="598">E287*0.005%</f>
        <v>0.45</v>
      </c>
      <c r="H287" s="22">
        <v>2.4900000000000002</v>
      </c>
      <c r="I287" s="22">
        <f t="shared" ref="I287" si="599">H287*5%</f>
        <v>0.12450000000000001</v>
      </c>
      <c r="J287" s="22">
        <f t="shared" ref="J287" si="600">E287+F287+G287+H287</f>
        <v>9005.4150000000009</v>
      </c>
      <c r="K287" s="12"/>
      <c r="L287" s="30">
        <v>44148</v>
      </c>
      <c r="M287" s="66">
        <v>2135645</v>
      </c>
      <c r="N287" s="66" t="s">
        <v>307</v>
      </c>
      <c r="O287" s="66">
        <v>400</v>
      </c>
      <c r="P287" s="36">
        <v>32.6</v>
      </c>
      <c r="Q287" s="36">
        <f t="shared" ref="Q287:Q288" si="601">O287*P287</f>
        <v>13040</v>
      </c>
      <c r="R287" s="36">
        <f t="shared" ref="R287:R288" si="602">Q287*0.0275%</f>
        <v>3.5860000000000003</v>
      </c>
      <c r="S287" s="36">
        <f>Q287*0.0032%</f>
        <v>0.41727999999999998</v>
      </c>
      <c r="T287" s="36">
        <v>1.25</v>
      </c>
      <c r="U287" s="36">
        <f t="shared" ref="U287:U288" si="603">T287*6.5%</f>
        <v>8.1250000000000003E-2</v>
      </c>
      <c r="V287" s="22">
        <v>0</v>
      </c>
      <c r="W287" s="22">
        <f>Q287-R287-S287-T287-U287-V287</f>
        <v>13034.665470000002</v>
      </c>
      <c r="X287" s="22">
        <f>0/COUNTA(W287:W287)</f>
        <v>0</v>
      </c>
      <c r="Y287" s="22">
        <f t="shared" ref="Y287:Y288" si="604">W287-X287-J287</f>
        <v>4029.2504700000009</v>
      </c>
      <c r="Z287" s="22">
        <f>IF(Q289 &gt; 20000, ((Y287+V287)*15%)-V287, 0)</f>
        <v>0</v>
      </c>
      <c r="AA287" s="22">
        <f t="shared" ref="AA287:AA288" si="605">(Y287-Z287)*10%</f>
        <v>402.92504700000012</v>
      </c>
      <c r="AB287" s="22">
        <f t="shared" ref="AB287:AB288" si="606">Y287-Z287-AA287</f>
        <v>3626.3254230000007</v>
      </c>
    </row>
    <row r="288" spans="1:30" s="47" customFormat="1" x14ac:dyDescent="0.25">
      <c r="A288" s="30">
        <v>43907</v>
      </c>
      <c r="B288" s="66" t="s">
        <v>307</v>
      </c>
      <c r="C288" s="66">
        <v>200</v>
      </c>
      <c r="D288" s="36">
        <v>26</v>
      </c>
      <c r="E288" s="36">
        <f t="shared" si="596"/>
        <v>5200</v>
      </c>
      <c r="F288" s="36">
        <f t="shared" si="597"/>
        <v>1.4300000000000002</v>
      </c>
      <c r="G288" s="36">
        <f t="shared" ref="G288" si="607">E288*0.0032%</f>
        <v>0.16639999999999999</v>
      </c>
      <c r="H288" s="36">
        <v>2.4900000000000002</v>
      </c>
      <c r="I288" s="36">
        <f t="shared" ref="I288" si="608">H288*6.5%</f>
        <v>0.16185000000000002</v>
      </c>
      <c r="J288" s="36">
        <f t="shared" ref="J288" si="609">E288+F288+G288+H288+I288</f>
        <v>5204.2482500000006</v>
      </c>
      <c r="K288" s="70"/>
      <c r="L288" s="30">
        <v>44148</v>
      </c>
      <c r="M288" s="66">
        <v>2135645</v>
      </c>
      <c r="N288" s="66" t="s">
        <v>307</v>
      </c>
      <c r="O288" s="66">
        <v>200</v>
      </c>
      <c r="P288" s="36">
        <v>32.6</v>
      </c>
      <c r="Q288" s="36">
        <f t="shared" si="601"/>
        <v>6520</v>
      </c>
      <c r="R288" s="36">
        <f t="shared" si="602"/>
        <v>1.7930000000000001</v>
      </c>
      <c r="S288" s="36">
        <f>Q288*0.0032%</f>
        <v>0.20863999999999999</v>
      </c>
      <c r="T288" s="36">
        <v>1.24</v>
      </c>
      <c r="U288" s="36">
        <f t="shared" si="603"/>
        <v>8.0600000000000005E-2</v>
      </c>
      <c r="V288" s="22">
        <v>0</v>
      </c>
      <c r="W288" s="22">
        <f>Q288-R288-S288-T288-U288-V288</f>
        <v>6516.6777600000005</v>
      </c>
      <c r="X288" s="22">
        <f>0/COUNTA(W288:W288)</f>
        <v>0</v>
      </c>
      <c r="Y288" s="22">
        <f t="shared" si="604"/>
        <v>1312.4295099999999</v>
      </c>
      <c r="Z288" s="22">
        <f>IF(Q289 &gt; 20000, ((Y288+V288)*15%)-V288, 0)</f>
        <v>0</v>
      </c>
      <c r="AA288" s="22">
        <f t="shared" si="605"/>
        <v>131.24295100000001</v>
      </c>
      <c r="AB288" s="22">
        <f t="shared" si="606"/>
        <v>1181.186559</v>
      </c>
    </row>
    <row r="289" spans="1:28" x14ac:dyDescent="0.25">
      <c r="E289" s="22">
        <f>SUM(E287:E288)</f>
        <v>14200</v>
      </c>
      <c r="F289" s="22">
        <f t="shared" ref="F289:J289" si="610">SUM(F287:F288)</f>
        <v>3.9050000000000002</v>
      </c>
      <c r="G289" s="22">
        <f t="shared" si="610"/>
        <v>0.61640000000000006</v>
      </c>
      <c r="H289" s="22">
        <f t="shared" si="610"/>
        <v>4.9800000000000004</v>
      </c>
      <c r="I289" s="22">
        <f t="shared" si="610"/>
        <v>0.28635000000000005</v>
      </c>
      <c r="J289" s="22">
        <f t="shared" si="610"/>
        <v>14209.663250000001</v>
      </c>
      <c r="K289" s="12"/>
      <c r="Q289" s="22">
        <f>SUM(Q287:Q288)</f>
        <v>19560</v>
      </c>
      <c r="R289" s="22">
        <f t="shared" ref="R289:AB289" si="611">SUM(R287:R288)</f>
        <v>5.3790000000000004</v>
      </c>
      <c r="S289" s="22">
        <f t="shared" si="611"/>
        <v>0.62592000000000003</v>
      </c>
      <c r="T289" s="22">
        <f t="shared" si="611"/>
        <v>2.4900000000000002</v>
      </c>
      <c r="U289" s="22">
        <f t="shared" si="611"/>
        <v>0.16184999999999999</v>
      </c>
      <c r="V289" s="22">
        <f t="shared" si="611"/>
        <v>0</v>
      </c>
      <c r="W289" s="22">
        <f t="shared" si="611"/>
        <v>19551.343230000002</v>
      </c>
      <c r="X289" s="22">
        <f t="shared" si="611"/>
        <v>0</v>
      </c>
      <c r="Y289" s="22">
        <f t="shared" si="611"/>
        <v>5341.6799800000008</v>
      </c>
      <c r="Z289" s="38">
        <f t="shared" si="611"/>
        <v>0</v>
      </c>
      <c r="AA289" s="38">
        <f t="shared" si="611"/>
        <v>534.16799800000013</v>
      </c>
      <c r="AB289" s="52">
        <f t="shared" si="611"/>
        <v>4807.5119820000009</v>
      </c>
    </row>
    <row r="290" spans="1:28" x14ac:dyDescent="0.25">
      <c r="E290" s="22"/>
      <c r="F290" s="22"/>
      <c r="G290" s="22"/>
      <c r="H290" s="22"/>
      <c r="I290" s="22"/>
      <c r="J290" s="22"/>
      <c r="K290" s="12"/>
      <c r="Q290" s="22"/>
      <c r="R290" s="22"/>
      <c r="S290" s="22"/>
      <c r="T290" s="22"/>
      <c r="U290" s="22"/>
      <c r="V290" s="22"/>
      <c r="W290" s="22"/>
      <c r="X290" s="22"/>
      <c r="Y290" s="22"/>
      <c r="Z290" s="22"/>
      <c r="AA290" s="22"/>
      <c r="AB290" s="22"/>
    </row>
    <row r="291" spans="1:28" x14ac:dyDescent="0.25">
      <c r="A291" s="144" t="s">
        <v>427</v>
      </c>
      <c r="B291" s="144"/>
      <c r="C291" s="144"/>
      <c r="D291" s="144"/>
      <c r="E291" s="144"/>
      <c r="F291" s="144"/>
      <c r="G291" s="144"/>
      <c r="H291" s="144"/>
      <c r="I291" s="144"/>
      <c r="J291" s="144"/>
      <c r="K291" s="144"/>
      <c r="L291" s="144"/>
      <c r="M291" s="144"/>
      <c r="N291" s="144"/>
      <c r="O291" s="144"/>
      <c r="P291" s="144"/>
      <c r="Q291" s="144"/>
      <c r="R291" s="144"/>
      <c r="S291" s="144"/>
      <c r="T291" s="144"/>
      <c r="U291" s="144"/>
      <c r="V291" s="144"/>
      <c r="W291" s="144"/>
      <c r="X291" s="144"/>
      <c r="Y291" s="144"/>
      <c r="Z291" s="144"/>
      <c r="AA291" s="144"/>
      <c r="AB291" s="144"/>
    </row>
    <row r="292" spans="1:28" x14ac:dyDescent="0.25">
      <c r="A292" s="10">
        <v>42783</v>
      </c>
      <c r="B292" t="s">
        <v>314</v>
      </c>
      <c r="C292">
        <v>4600</v>
      </c>
      <c r="D292" s="22">
        <v>1.46</v>
      </c>
      <c r="E292" s="22">
        <f t="shared" ref="E292:E293" si="612">C292*D292</f>
        <v>6716</v>
      </c>
      <c r="F292" s="36">
        <f t="shared" ref="F292:F293" si="613">E292*0.0275%</f>
        <v>1.8469000000000002</v>
      </c>
      <c r="G292" s="36">
        <f t="shared" ref="G292:G293" si="614">E292*0.005%</f>
        <v>0.33580000000000004</v>
      </c>
      <c r="H292" s="22">
        <v>8.99</v>
      </c>
      <c r="I292" s="36">
        <f>H292*5%</f>
        <v>0.44950000000000001</v>
      </c>
      <c r="J292" s="22">
        <f t="shared" ref="J292:J293" si="615">E292+F292+G292+H292</f>
        <v>6727.1726999999992</v>
      </c>
      <c r="K292" s="12"/>
      <c r="L292" s="30">
        <v>44167</v>
      </c>
      <c r="M292" s="66">
        <v>2259372</v>
      </c>
      <c r="N292" s="66" t="s">
        <v>314</v>
      </c>
      <c r="O292" s="66">
        <v>766</v>
      </c>
      <c r="P292" s="36">
        <v>16.8</v>
      </c>
      <c r="Q292" s="36">
        <f t="shared" ref="Q292:Q293" si="616">O292*P292</f>
        <v>12868.800000000001</v>
      </c>
      <c r="R292" s="36">
        <f t="shared" ref="R292:R293" si="617">Q292*0.0275%</f>
        <v>3.5389200000000005</v>
      </c>
      <c r="S292" s="36">
        <f>Q292*0.0032%</f>
        <v>0.41180159999999999</v>
      </c>
      <c r="T292" s="36">
        <v>2.4900000000000002</v>
      </c>
      <c r="U292" s="36">
        <f t="shared" ref="U292:U293" si="618">T292*6.5%</f>
        <v>0.16185000000000002</v>
      </c>
      <c r="V292" s="22">
        <v>0</v>
      </c>
      <c r="W292" s="22">
        <f>Q292-R292-S292-T292-U292-V292</f>
        <v>12862.197428400001</v>
      </c>
      <c r="X292" s="22">
        <f>0/COUNTA(W292:W292)</f>
        <v>0</v>
      </c>
      <c r="Y292" s="22">
        <f t="shared" ref="Y292:Y293" si="619">W292-X292-J292</f>
        <v>6135.0247284000015</v>
      </c>
      <c r="Z292" s="22">
        <f>IF(Q294 &gt; 20000, ((Y292+V292)*15%)-V292, 0)</f>
        <v>0</v>
      </c>
      <c r="AA292" s="22">
        <f t="shared" ref="AA292:AA293" si="620">(Y292-Z292)*10%</f>
        <v>613.50247284000022</v>
      </c>
      <c r="AB292" s="22">
        <f t="shared" ref="AB292:AB293" si="621">Y292-Z292-AA292</f>
        <v>5521.5222555600012</v>
      </c>
    </row>
    <row r="293" spans="1:28" x14ac:dyDescent="0.25">
      <c r="A293" s="10">
        <v>42797</v>
      </c>
      <c r="B293" t="s">
        <v>314</v>
      </c>
      <c r="C293">
        <v>2400</v>
      </c>
      <c r="D293" s="22">
        <v>1.46</v>
      </c>
      <c r="E293" s="22">
        <f t="shared" si="612"/>
        <v>3504</v>
      </c>
      <c r="F293" s="36">
        <f t="shared" si="613"/>
        <v>0.96360000000000001</v>
      </c>
      <c r="G293" s="36">
        <f t="shared" si="614"/>
        <v>0.17519999999999999</v>
      </c>
      <c r="H293" s="23">
        <v>4</v>
      </c>
      <c r="I293" s="36">
        <f>H293*5%</f>
        <v>0.2</v>
      </c>
      <c r="J293" s="22">
        <f t="shared" si="615"/>
        <v>3509.1388000000002</v>
      </c>
      <c r="K293" s="12"/>
      <c r="L293" s="30">
        <v>44167</v>
      </c>
      <c r="M293" s="66">
        <v>2259372</v>
      </c>
      <c r="N293" s="66" t="s">
        <v>314</v>
      </c>
      <c r="O293" s="66">
        <v>400</v>
      </c>
      <c r="P293" s="36">
        <v>16.8</v>
      </c>
      <c r="Q293" s="36">
        <f t="shared" si="616"/>
        <v>6720</v>
      </c>
      <c r="R293" s="36">
        <f t="shared" si="617"/>
        <v>1.8480000000000001</v>
      </c>
      <c r="S293" s="36">
        <f>Q293*0.0032%</f>
        <v>0.21503999999999998</v>
      </c>
      <c r="T293" s="36">
        <v>2.4900000000000002</v>
      </c>
      <c r="U293" s="36">
        <f t="shared" si="618"/>
        <v>0.16185000000000002</v>
      </c>
      <c r="V293" s="22">
        <v>0</v>
      </c>
      <c r="W293" s="22">
        <f>Q293-R293-S293-T293-U293-V293</f>
        <v>6715.2851099999998</v>
      </c>
      <c r="X293" s="22">
        <f>0/COUNTA(W293:W293)</f>
        <v>0</v>
      </c>
      <c r="Y293" s="22">
        <f t="shared" si="619"/>
        <v>3206.1463099999996</v>
      </c>
      <c r="Z293" s="22">
        <f>IF(Q294 &gt; 20000, ((Y293+V293)*15%)-V293, 0)</f>
        <v>0</v>
      </c>
      <c r="AA293" s="22">
        <f t="shared" si="620"/>
        <v>320.61463099999997</v>
      </c>
      <c r="AB293" s="22">
        <f t="shared" si="621"/>
        <v>2885.5316789999997</v>
      </c>
    </row>
    <row r="294" spans="1:28" x14ac:dyDescent="0.25">
      <c r="E294" s="22">
        <f>SUM(E292:E293)</f>
        <v>10220</v>
      </c>
      <c r="F294" s="22">
        <f t="shared" ref="F294:J294" si="622">SUM(F292:F293)</f>
        <v>2.8105000000000002</v>
      </c>
      <c r="G294" s="22">
        <f t="shared" si="622"/>
        <v>0.51100000000000001</v>
      </c>
      <c r="H294" s="22">
        <f t="shared" si="622"/>
        <v>12.99</v>
      </c>
      <c r="I294" s="22">
        <f t="shared" si="622"/>
        <v>0.64949999999999997</v>
      </c>
      <c r="J294" s="22">
        <f t="shared" si="622"/>
        <v>10236.3115</v>
      </c>
      <c r="K294" s="12"/>
      <c r="Q294" s="22">
        <f>SUM(Q292:Q293)</f>
        <v>19588.800000000003</v>
      </c>
      <c r="R294" s="22">
        <f t="shared" ref="R294:AB294" si="623">SUM(R292:R293)</f>
        <v>5.3869200000000008</v>
      </c>
      <c r="S294" s="22">
        <f t="shared" si="623"/>
        <v>0.6268416</v>
      </c>
      <c r="T294" s="22">
        <f t="shared" si="623"/>
        <v>4.9800000000000004</v>
      </c>
      <c r="U294" s="22">
        <f t="shared" si="623"/>
        <v>0.32370000000000004</v>
      </c>
      <c r="V294" s="22">
        <f t="shared" si="623"/>
        <v>0</v>
      </c>
      <c r="W294" s="22">
        <f t="shared" si="623"/>
        <v>19577.4825384</v>
      </c>
      <c r="X294" s="22">
        <f t="shared" si="623"/>
        <v>0</v>
      </c>
      <c r="Y294" s="22">
        <f t="shared" si="623"/>
        <v>9341.1710384000016</v>
      </c>
      <c r="Z294" s="38">
        <f t="shared" si="623"/>
        <v>0</v>
      </c>
      <c r="AA294" s="38">
        <f t="shared" si="623"/>
        <v>934.11710384000025</v>
      </c>
      <c r="AB294" s="52">
        <f t="shared" si="623"/>
        <v>8407.0539345600009</v>
      </c>
    </row>
    <row r="295" spans="1:28" x14ac:dyDescent="0.25">
      <c r="E295" s="22"/>
      <c r="F295" s="22"/>
      <c r="G295" s="22"/>
      <c r="H295" s="22"/>
      <c r="I295" s="22"/>
      <c r="J295" s="22"/>
      <c r="K295" s="12"/>
      <c r="Q295" s="22"/>
      <c r="R295" s="22"/>
      <c r="S295" s="22"/>
      <c r="T295" s="22"/>
      <c r="U295" s="22"/>
      <c r="V295" s="22"/>
      <c r="W295" s="22"/>
      <c r="X295" s="22"/>
      <c r="Y295" s="22"/>
      <c r="Z295" s="22"/>
      <c r="AA295" s="22"/>
      <c r="AB295" s="22"/>
    </row>
    <row r="296" spans="1:28" x14ac:dyDescent="0.25">
      <c r="A296" s="144" t="s">
        <v>428</v>
      </c>
      <c r="B296" s="144"/>
      <c r="C296" s="144"/>
      <c r="D296" s="144"/>
      <c r="E296" s="144"/>
      <c r="F296" s="144"/>
      <c r="G296" s="144"/>
      <c r="H296" s="144"/>
      <c r="I296" s="144"/>
      <c r="J296" s="144"/>
      <c r="K296" s="144"/>
      <c r="L296" s="144"/>
      <c r="M296" s="144"/>
      <c r="N296" s="144"/>
      <c r="O296" s="144"/>
      <c r="P296" s="144"/>
      <c r="Q296" s="144"/>
      <c r="R296" s="144"/>
      <c r="S296" s="144"/>
      <c r="T296" s="144"/>
      <c r="U296" s="144"/>
      <c r="V296" s="144"/>
      <c r="W296" s="144"/>
      <c r="X296" s="144"/>
      <c r="Y296" s="144"/>
      <c r="Z296" s="144"/>
      <c r="AA296" s="144"/>
      <c r="AB296" s="144"/>
    </row>
    <row r="297" spans="1:28" x14ac:dyDescent="0.25">
      <c r="A297" s="10">
        <v>42704</v>
      </c>
      <c r="B297" t="s">
        <v>310</v>
      </c>
      <c r="C297">
        <v>400</v>
      </c>
      <c r="D297" s="22">
        <v>7.35</v>
      </c>
      <c r="E297" s="22">
        <f t="shared" ref="E297:E299" si="624">C297*D297</f>
        <v>2940</v>
      </c>
      <c r="F297" s="36">
        <f t="shared" ref="F297:F299" si="625">E297*0.0275%</f>
        <v>0.8085</v>
      </c>
      <c r="G297" s="36">
        <f t="shared" ref="G297:G298" si="626">E297*0.005%</f>
        <v>0.14700000000000002</v>
      </c>
      <c r="H297" s="22">
        <v>8.99</v>
      </c>
      <c r="I297" s="36">
        <f>H297*5%</f>
        <v>0.44950000000000001</v>
      </c>
      <c r="J297" s="22">
        <f t="shared" ref="J297:J298" si="627">E297+F297+G297+H297</f>
        <v>2949.9454999999998</v>
      </c>
      <c r="K297" s="12"/>
      <c r="L297" s="30">
        <v>44217</v>
      </c>
      <c r="M297" s="66">
        <v>133833</v>
      </c>
      <c r="N297" s="66" t="s">
        <v>310</v>
      </c>
      <c r="O297" s="66">
        <v>400</v>
      </c>
      <c r="P297" s="36">
        <v>9.5</v>
      </c>
      <c r="Q297" s="36">
        <f t="shared" ref="Q297:Q299" si="628">O297*P297</f>
        <v>3800</v>
      </c>
      <c r="R297" s="36">
        <f t="shared" ref="R297:R299" si="629">Q297*0.0275%</f>
        <v>1.0450000000000002</v>
      </c>
      <c r="S297" s="36">
        <f>Q297*0.003%</f>
        <v>0.114</v>
      </c>
      <c r="T297" s="36">
        <f>1.99/3</f>
        <v>0.66333333333333333</v>
      </c>
      <c r="U297" s="36">
        <f t="shared" ref="U297:U299" si="630">T297*6.5%</f>
        <v>4.3116666666666671E-2</v>
      </c>
      <c r="V297" s="22">
        <v>0</v>
      </c>
      <c r="W297" s="22">
        <f t="shared" ref="W297:W299" si="631">Q297-R297-S297-T297-U297-V297</f>
        <v>3798.1345499999998</v>
      </c>
      <c r="X297" s="22">
        <f>0/COUNTA(W297:W297)</f>
        <v>0</v>
      </c>
      <c r="Y297" s="22">
        <f t="shared" ref="Y297:Y299" si="632">W297-X297-J297</f>
        <v>848.18904999999995</v>
      </c>
      <c r="Z297" s="22">
        <f>IF(Q300 &gt; 20000, ((Y297+V297)*15%)-V297, 0)</f>
        <v>0</v>
      </c>
      <c r="AA297" s="22">
        <f t="shared" ref="AA297:AA299" si="633">(Y297-Z297)*10%</f>
        <v>84.818905000000001</v>
      </c>
      <c r="AB297" s="22">
        <f t="shared" ref="AB297:AB299" si="634">Y297-Z297-AA297</f>
        <v>763.37014499999998</v>
      </c>
    </row>
    <row r="298" spans="1:28" x14ac:dyDescent="0.25">
      <c r="A298" s="10">
        <v>42705</v>
      </c>
      <c r="B298" t="s">
        <v>310</v>
      </c>
      <c r="C298">
        <v>600</v>
      </c>
      <c r="D298" s="22">
        <v>7.35</v>
      </c>
      <c r="E298" s="22">
        <f t="shared" si="624"/>
        <v>4410</v>
      </c>
      <c r="F298" s="36">
        <f t="shared" si="625"/>
        <v>1.21275</v>
      </c>
      <c r="G298" s="36">
        <f t="shared" si="626"/>
        <v>0.2205</v>
      </c>
      <c r="H298" s="22">
        <v>8.99</v>
      </c>
      <c r="I298" s="36">
        <f>H298*5%</f>
        <v>0.44950000000000001</v>
      </c>
      <c r="J298" s="22">
        <f t="shared" si="627"/>
        <v>4420.4232499999998</v>
      </c>
      <c r="K298" s="12"/>
      <c r="L298" s="30">
        <v>44217</v>
      </c>
      <c r="M298" s="66">
        <v>133833</v>
      </c>
      <c r="N298" s="66" t="s">
        <v>310</v>
      </c>
      <c r="O298" s="66">
        <v>600</v>
      </c>
      <c r="P298" s="36">
        <v>9.5</v>
      </c>
      <c r="Q298" s="36">
        <f t="shared" si="628"/>
        <v>5700</v>
      </c>
      <c r="R298" s="36">
        <f t="shared" si="629"/>
        <v>1.5675000000000001</v>
      </c>
      <c r="S298" s="36">
        <f t="shared" ref="S298:S299" si="635">Q298*0.003%</f>
        <v>0.17100000000000001</v>
      </c>
      <c r="T298" s="36">
        <f t="shared" ref="T298:T299" si="636">1.99/3</f>
        <v>0.66333333333333333</v>
      </c>
      <c r="U298" s="36">
        <f t="shared" si="630"/>
        <v>4.3116666666666671E-2</v>
      </c>
      <c r="V298" s="22">
        <v>0</v>
      </c>
      <c r="W298" s="22">
        <f t="shared" si="631"/>
        <v>5697.5550499999999</v>
      </c>
      <c r="X298" s="22">
        <f>0/COUNTA(W298:W298)</f>
        <v>0</v>
      </c>
      <c r="Y298" s="22">
        <f t="shared" si="632"/>
        <v>1277.1318000000001</v>
      </c>
      <c r="Z298" s="22">
        <f>IF(Q300 &gt; 20000, ((Y298+V298)*15%)-V298, 0)</f>
        <v>0</v>
      </c>
      <c r="AA298" s="22">
        <f t="shared" si="633"/>
        <v>127.71318000000002</v>
      </c>
      <c r="AB298" s="22">
        <f t="shared" si="634"/>
        <v>1149.4186200000001</v>
      </c>
    </row>
    <row r="299" spans="1:28" s="47" customFormat="1" x14ac:dyDescent="0.25">
      <c r="A299" s="30">
        <v>43907</v>
      </c>
      <c r="B299" s="66" t="s">
        <v>310</v>
      </c>
      <c r="C299" s="66">
        <v>1100</v>
      </c>
      <c r="D299" s="36">
        <v>2.97</v>
      </c>
      <c r="E299" s="36">
        <f t="shared" si="624"/>
        <v>3267</v>
      </c>
      <c r="F299" s="36">
        <f t="shared" si="625"/>
        <v>0.89842500000000003</v>
      </c>
      <c r="G299" s="36">
        <f t="shared" ref="G299" si="637">E299*0.0032%</f>
        <v>0.104544</v>
      </c>
      <c r="H299" s="36">
        <v>2.4900000000000002</v>
      </c>
      <c r="I299" s="36">
        <f t="shared" ref="I299" si="638">H299*6.5%</f>
        <v>0.16185000000000002</v>
      </c>
      <c r="J299" s="36">
        <f t="shared" ref="J299" si="639">E299+F299+G299+H299+I299</f>
        <v>3270.6548189999994</v>
      </c>
      <c r="K299" s="70"/>
      <c r="L299" s="30">
        <v>44217</v>
      </c>
      <c r="M299" s="66">
        <v>133833</v>
      </c>
      <c r="N299" s="66" t="s">
        <v>310</v>
      </c>
      <c r="O299" s="66">
        <v>1100</v>
      </c>
      <c r="P299" s="36">
        <v>9.5</v>
      </c>
      <c r="Q299" s="36">
        <f t="shared" si="628"/>
        <v>10450</v>
      </c>
      <c r="R299" s="36">
        <f t="shared" si="629"/>
        <v>2.8737500000000002</v>
      </c>
      <c r="S299" s="36">
        <f t="shared" si="635"/>
        <v>0.3135</v>
      </c>
      <c r="T299" s="36">
        <f t="shared" si="636"/>
        <v>0.66333333333333333</v>
      </c>
      <c r="U299" s="36">
        <f t="shared" si="630"/>
        <v>4.3116666666666671E-2</v>
      </c>
      <c r="V299" s="22">
        <v>0</v>
      </c>
      <c r="W299" s="22">
        <f t="shared" si="631"/>
        <v>10446.106299999999</v>
      </c>
      <c r="X299" s="22">
        <f>0/COUNTA(W299:W299)</f>
        <v>0</v>
      </c>
      <c r="Y299" s="22">
        <f t="shared" si="632"/>
        <v>7175.4514810000001</v>
      </c>
      <c r="Z299" s="22">
        <f>IF(Q300 &gt; 20000, ((Y299+V299)*15%)-V299, 0)</f>
        <v>0</v>
      </c>
      <c r="AA299" s="22">
        <f t="shared" si="633"/>
        <v>717.54514810000001</v>
      </c>
      <c r="AB299" s="22">
        <f t="shared" si="634"/>
        <v>6457.9063329000001</v>
      </c>
    </row>
    <row r="300" spans="1:28" x14ac:dyDescent="0.25">
      <c r="E300" s="22">
        <f>SUM(E297:E299)</f>
        <v>10617</v>
      </c>
      <c r="F300" s="22">
        <f t="shared" ref="F300:J300" si="640">SUM(F297:F299)</f>
        <v>2.9196750000000002</v>
      </c>
      <c r="G300" s="22">
        <f t="shared" si="640"/>
        <v>0.47204400000000002</v>
      </c>
      <c r="H300" s="22">
        <f t="shared" si="640"/>
        <v>20.47</v>
      </c>
      <c r="I300" s="22">
        <f t="shared" si="640"/>
        <v>1.0608500000000001</v>
      </c>
      <c r="J300" s="22">
        <f t="shared" si="640"/>
        <v>10641.023568999999</v>
      </c>
      <c r="K300" s="12"/>
      <c r="Q300" s="22">
        <f>SUM(Q297:Q299)</f>
        <v>19950</v>
      </c>
      <c r="R300" s="22">
        <f t="shared" ref="R300:AB300" si="641">SUM(R297:R299)</f>
        <v>5.4862500000000001</v>
      </c>
      <c r="S300" s="22">
        <f t="shared" si="641"/>
        <v>0.59850000000000003</v>
      </c>
      <c r="T300" s="22">
        <f t="shared" si="641"/>
        <v>1.99</v>
      </c>
      <c r="U300" s="22">
        <f t="shared" si="641"/>
        <v>0.12935000000000002</v>
      </c>
      <c r="V300" s="22">
        <f t="shared" si="641"/>
        <v>0</v>
      </c>
      <c r="W300" s="22">
        <f t="shared" si="641"/>
        <v>19941.795899999997</v>
      </c>
      <c r="X300" s="22">
        <f t="shared" si="641"/>
        <v>0</v>
      </c>
      <c r="Y300" s="22">
        <f t="shared" si="641"/>
        <v>9300.7723310000001</v>
      </c>
      <c r="Z300" s="38">
        <f t="shared" si="641"/>
        <v>0</v>
      </c>
      <c r="AA300" s="38">
        <f t="shared" si="641"/>
        <v>930.07723310000006</v>
      </c>
      <c r="AB300" s="52">
        <f t="shared" si="641"/>
        <v>8370.6950978999994</v>
      </c>
    </row>
    <row r="301" spans="1:28" x14ac:dyDescent="0.25">
      <c r="E301" s="22"/>
      <c r="F301" s="22"/>
      <c r="G301" s="22"/>
      <c r="H301" s="22"/>
      <c r="I301" s="22"/>
      <c r="J301" s="22"/>
      <c r="K301" s="12"/>
      <c r="Q301" s="22"/>
      <c r="R301" s="22"/>
      <c r="S301" s="22"/>
      <c r="T301" s="22"/>
      <c r="U301" s="22"/>
      <c r="V301" s="22"/>
      <c r="W301" s="22"/>
      <c r="X301" s="22"/>
      <c r="Y301" s="22"/>
      <c r="Z301" s="22"/>
      <c r="AA301" s="22"/>
      <c r="AB301" s="22"/>
    </row>
    <row r="302" spans="1:28" x14ac:dyDescent="0.25">
      <c r="A302" s="144" t="s">
        <v>429</v>
      </c>
      <c r="B302" s="144"/>
      <c r="C302" s="144"/>
      <c r="D302" s="144"/>
      <c r="E302" s="144"/>
      <c r="F302" s="144"/>
      <c r="G302" s="144"/>
      <c r="H302" s="144"/>
      <c r="I302" s="144"/>
      <c r="J302" s="144"/>
      <c r="K302" s="144"/>
      <c r="L302" s="144"/>
      <c r="M302" s="144"/>
      <c r="N302" s="144"/>
      <c r="O302" s="144"/>
      <c r="P302" s="144"/>
      <c r="Q302" s="144"/>
      <c r="R302" s="144"/>
      <c r="S302" s="144"/>
      <c r="T302" s="144"/>
      <c r="U302" s="144"/>
      <c r="V302" s="144"/>
      <c r="W302" s="144"/>
      <c r="X302" s="144"/>
      <c r="Y302" s="144"/>
      <c r="Z302" s="144"/>
      <c r="AA302" s="144"/>
      <c r="AB302" s="144"/>
    </row>
    <row r="303" spans="1:28" x14ac:dyDescent="0.25">
      <c r="A303" s="30">
        <v>44047</v>
      </c>
      <c r="B303" s="66" t="s">
        <v>331</v>
      </c>
      <c r="C303" s="66">
        <v>1400</v>
      </c>
      <c r="D303" s="36">
        <v>7.5</v>
      </c>
      <c r="E303" s="36">
        <f t="shared" ref="E303" si="642">C303*D303</f>
        <v>10500</v>
      </c>
      <c r="F303" s="36">
        <f t="shared" ref="F303" si="643">E303*0.0275%</f>
        <v>2.8875000000000002</v>
      </c>
      <c r="G303" s="36">
        <f t="shared" ref="G303" si="644">E303*0.0032%</f>
        <v>0.33599999999999997</v>
      </c>
      <c r="H303" s="36">
        <v>2.4900000000000002</v>
      </c>
      <c r="I303" s="36">
        <f t="shared" ref="I303" si="645">H303*6.5%</f>
        <v>0.16185000000000002</v>
      </c>
      <c r="J303" s="36">
        <f t="shared" ref="J303" si="646">E303+F303+G303+H303+I303</f>
        <v>10505.87535</v>
      </c>
      <c r="K303" s="12"/>
      <c r="L303" s="30">
        <v>44267</v>
      </c>
      <c r="M303" s="66">
        <v>448559</v>
      </c>
      <c r="N303" s="66" t="s">
        <v>331</v>
      </c>
      <c r="O303" s="66">
        <v>1400</v>
      </c>
      <c r="P303" s="36">
        <v>14.2</v>
      </c>
      <c r="Q303" s="36">
        <f t="shared" ref="Q303" si="647">O303*P303</f>
        <v>19880</v>
      </c>
      <c r="R303" s="36">
        <f>Q303*0.025%</f>
        <v>4.97</v>
      </c>
      <c r="S303" s="36">
        <f>Q303*0.005%</f>
        <v>0.99399999999999999</v>
      </c>
      <c r="T303" s="36">
        <v>1.99</v>
      </c>
      <c r="U303" s="36">
        <f t="shared" ref="U303" si="648">T303*6.5%</f>
        <v>0.12934999999999999</v>
      </c>
      <c r="V303" s="22">
        <v>0</v>
      </c>
      <c r="W303" s="22">
        <f t="shared" ref="W303" si="649">Q303-R303-S303-T303-U303-V303</f>
        <v>19871.916649999999</v>
      </c>
      <c r="X303" s="22">
        <f>0/COUNTA(W303:W303)</f>
        <v>0</v>
      </c>
      <c r="Y303" s="22">
        <f t="shared" ref="Y303" si="650">W303-X303-J303</f>
        <v>9366.041299999999</v>
      </c>
      <c r="Z303" s="22">
        <f>IF(Q305 &gt; 20000, ((Y303+V303)*15%)-V303, 0)</f>
        <v>0</v>
      </c>
      <c r="AA303" s="22">
        <f t="shared" ref="AA303" si="651">(Y303-Z303)*10%</f>
        <v>936.60412999999994</v>
      </c>
      <c r="AB303" s="22">
        <f t="shared" ref="AB303" si="652">Y303-Z303-AA303</f>
        <v>8429.4371699999992</v>
      </c>
    </row>
    <row r="304" spans="1:28" x14ac:dyDescent="0.25">
      <c r="A304" s="24"/>
      <c r="B304" s="25"/>
      <c r="C304" s="25"/>
      <c r="D304" s="25"/>
      <c r="E304" s="33"/>
      <c r="F304" s="33"/>
      <c r="G304" s="33"/>
      <c r="H304" s="33"/>
      <c r="I304" s="33"/>
      <c r="J304" s="33"/>
      <c r="K304" s="33"/>
      <c r="L304" s="10">
        <v>44281</v>
      </c>
      <c r="M304">
        <v>535121</v>
      </c>
      <c r="N304" t="s">
        <v>352</v>
      </c>
      <c r="O304">
        <v>78</v>
      </c>
      <c r="P304" s="22">
        <v>0.61</v>
      </c>
      <c r="Q304" s="22">
        <f t="shared" ref="Q304" si="653">O304*P304</f>
        <v>47.58</v>
      </c>
      <c r="R304" s="22">
        <f>Q304*0.025%</f>
        <v>1.1894999999999999E-2</v>
      </c>
      <c r="S304" s="22">
        <f>Q304*0.005%</f>
        <v>2.379E-3</v>
      </c>
      <c r="T304" s="36">
        <v>1.99</v>
      </c>
      <c r="U304" s="22">
        <f t="shared" ref="U304" si="654">T304*6.5%</f>
        <v>0.12934999999999999</v>
      </c>
      <c r="V304" s="22">
        <v>0</v>
      </c>
      <c r="W304" s="22">
        <f>Q304-R304-S304-T304-U304-V304</f>
        <v>45.446375999999994</v>
      </c>
      <c r="X304" s="22">
        <f>0/COUNTA(W304:W304)</f>
        <v>0</v>
      </c>
      <c r="Y304" s="22">
        <f t="shared" ref="Y304" si="655">W304-X304-J304</f>
        <v>45.446375999999994</v>
      </c>
      <c r="Z304" s="22">
        <f>IF(Q305 &gt; 20000, ((Y304+V304)*15%)-V304, 0)</f>
        <v>0</v>
      </c>
      <c r="AA304" s="22">
        <f t="shared" ref="AA304" si="656">(Y304-Z304)*10%</f>
        <v>4.5446375999999997</v>
      </c>
      <c r="AB304" s="22">
        <f t="shared" ref="AB304" si="657">Y304-Z304-AA304</f>
        <v>40.901738399999992</v>
      </c>
    </row>
    <row r="305" spans="1:28" x14ac:dyDescent="0.25">
      <c r="E305" s="22">
        <f t="shared" ref="E305:J305" si="658">SUM(E303:E304)</f>
        <v>10500</v>
      </c>
      <c r="F305" s="22">
        <f t="shared" si="658"/>
        <v>2.8875000000000002</v>
      </c>
      <c r="G305" s="22">
        <f t="shared" si="658"/>
        <v>0.33599999999999997</v>
      </c>
      <c r="H305" s="22">
        <f t="shared" si="658"/>
        <v>2.4900000000000002</v>
      </c>
      <c r="I305" s="22">
        <f t="shared" si="658"/>
        <v>0.16185000000000002</v>
      </c>
      <c r="J305" s="22">
        <f t="shared" si="658"/>
        <v>10505.87535</v>
      </c>
      <c r="K305" s="12"/>
      <c r="Q305" s="22">
        <f t="shared" ref="Q305:AB305" si="659">SUM(Q303:Q304)</f>
        <v>19927.580000000002</v>
      </c>
      <c r="R305" s="22">
        <f t="shared" si="659"/>
        <v>4.9818949999999997</v>
      </c>
      <c r="S305" s="22">
        <f t="shared" si="659"/>
        <v>0.99637900000000001</v>
      </c>
      <c r="T305" s="22">
        <f t="shared" si="659"/>
        <v>3.98</v>
      </c>
      <c r="U305" s="22">
        <f t="shared" si="659"/>
        <v>0.25869999999999999</v>
      </c>
      <c r="V305" s="22">
        <f t="shared" si="659"/>
        <v>0</v>
      </c>
      <c r="W305" s="22">
        <f t="shared" si="659"/>
        <v>19917.363025999999</v>
      </c>
      <c r="X305" s="22">
        <f t="shared" si="659"/>
        <v>0</v>
      </c>
      <c r="Y305" s="22">
        <f t="shared" si="659"/>
        <v>9411.4876759999988</v>
      </c>
      <c r="Z305" s="38">
        <f t="shared" si="659"/>
        <v>0</v>
      </c>
      <c r="AA305" s="38">
        <f t="shared" si="659"/>
        <v>941.14876759999993</v>
      </c>
      <c r="AB305" s="52">
        <f t="shared" si="659"/>
        <v>8470.3389083999991</v>
      </c>
    </row>
    <row r="306" spans="1:28" x14ac:dyDescent="0.25">
      <c r="E306" s="22"/>
      <c r="F306" s="22"/>
      <c r="G306" s="22"/>
      <c r="H306" s="22"/>
      <c r="I306" s="22"/>
      <c r="J306" s="22"/>
      <c r="K306" s="12"/>
      <c r="Q306" s="22"/>
      <c r="R306" s="22"/>
      <c r="S306" s="22"/>
      <c r="T306" s="22"/>
      <c r="U306" s="22"/>
      <c r="V306" s="22"/>
      <c r="W306" s="22"/>
      <c r="X306" s="22"/>
      <c r="Y306" s="22"/>
      <c r="Z306" s="22"/>
      <c r="AA306" s="22"/>
      <c r="AB306" s="22"/>
    </row>
    <row r="307" spans="1:28" x14ac:dyDescent="0.25">
      <c r="A307" s="144" t="s">
        <v>430</v>
      </c>
      <c r="B307" s="144"/>
      <c r="C307" s="144"/>
      <c r="D307" s="144"/>
      <c r="E307" s="144"/>
      <c r="F307" s="144"/>
      <c r="G307" s="144"/>
      <c r="H307" s="144"/>
      <c r="I307" s="144"/>
      <c r="J307" s="144"/>
      <c r="K307" s="144"/>
      <c r="L307" s="144"/>
      <c r="M307" s="144"/>
      <c r="N307" s="144"/>
      <c r="O307" s="144"/>
      <c r="P307" s="144"/>
      <c r="Q307" s="144"/>
      <c r="R307" s="144"/>
      <c r="S307" s="144"/>
      <c r="T307" s="144"/>
      <c r="U307" s="144"/>
      <c r="V307" s="144"/>
      <c r="W307" s="144"/>
      <c r="X307" s="144"/>
      <c r="Y307" s="144"/>
      <c r="Z307" s="144"/>
      <c r="AA307" s="144"/>
      <c r="AB307" s="144"/>
    </row>
    <row r="308" spans="1:28" x14ac:dyDescent="0.25">
      <c r="A308" s="30">
        <v>43991</v>
      </c>
      <c r="B308" s="66" t="s">
        <v>320</v>
      </c>
      <c r="C308" s="66">
        <v>400</v>
      </c>
      <c r="D308" s="36">
        <v>27</v>
      </c>
      <c r="E308" s="36">
        <f t="shared" ref="E308" si="660">C308*D308</f>
        <v>10800</v>
      </c>
      <c r="F308" s="36">
        <f t="shared" ref="F308" si="661">E308*0.0275%</f>
        <v>2.97</v>
      </c>
      <c r="G308" s="36">
        <f t="shared" ref="G308" si="662">E308*0.0032%</f>
        <v>0.34559999999999996</v>
      </c>
      <c r="H308" s="36">
        <v>2.4900000000000002</v>
      </c>
      <c r="I308" s="36">
        <f t="shared" ref="I308" si="663">H308*6.5%</f>
        <v>0.16185000000000002</v>
      </c>
      <c r="J308" s="36">
        <f t="shared" ref="J308" si="664">E308+F308+G308+H308+I308</f>
        <v>10805.96745</v>
      </c>
      <c r="K308" s="12"/>
      <c r="L308" s="30">
        <v>44302</v>
      </c>
      <c r="M308" s="66">
        <v>651898</v>
      </c>
      <c r="N308" s="66" t="s">
        <v>320</v>
      </c>
      <c r="O308" s="66">
        <v>400</v>
      </c>
      <c r="P308" s="36">
        <v>49.9</v>
      </c>
      <c r="Q308" s="36">
        <f t="shared" ref="Q308" si="665">O308*P308</f>
        <v>19960</v>
      </c>
      <c r="R308" s="36">
        <f>Q308*0.025%</f>
        <v>4.99</v>
      </c>
      <c r="S308" s="36">
        <f>Q308*0.005%</f>
        <v>0.998</v>
      </c>
      <c r="T308" s="36">
        <v>1.99</v>
      </c>
      <c r="U308" s="36">
        <f t="shared" ref="U308" si="666">T308*6.5%</f>
        <v>0.12934999999999999</v>
      </c>
      <c r="V308" s="22">
        <v>0</v>
      </c>
      <c r="W308" s="22">
        <f>Q308-R308-S308-T308-U308-V308</f>
        <v>19951.892649999998</v>
      </c>
      <c r="X308" s="22">
        <f>0/COUNTA(W308:W308)</f>
        <v>0</v>
      </c>
      <c r="Y308" s="22">
        <f>W308-X308-J308</f>
        <v>9145.9251999999979</v>
      </c>
      <c r="Z308" s="22">
        <f>IF(Q309 &gt; 20000, ((Y308+V308)*15%)-V308, 0)</f>
        <v>0</v>
      </c>
      <c r="AA308" s="22">
        <f t="shared" ref="AA308" si="667">(Y308-Z308)*10%</f>
        <v>914.59251999999981</v>
      </c>
      <c r="AB308" s="22">
        <f t="shared" ref="AB308" si="668">Y308-Z308-AA308</f>
        <v>8231.3326799999977</v>
      </c>
    </row>
    <row r="309" spans="1:28" x14ac:dyDescent="0.25">
      <c r="E309" s="22">
        <f>SUM(E308:E308)</f>
        <v>10800</v>
      </c>
      <c r="F309" s="22">
        <f t="shared" ref="F309:J309" si="669">SUM(F308:F308)</f>
        <v>2.97</v>
      </c>
      <c r="G309" s="22">
        <f t="shared" si="669"/>
        <v>0.34559999999999996</v>
      </c>
      <c r="H309" s="22">
        <f t="shared" si="669"/>
        <v>2.4900000000000002</v>
      </c>
      <c r="I309" s="22">
        <f t="shared" si="669"/>
        <v>0.16185000000000002</v>
      </c>
      <c r="J309" s="22">
        <f t="shared" si="669"/>
        <v>10805.96745</v>
      </c>
      <c r="K309" s="12"/>
      <c r="Q309" s="22">
        <f>SUM(Q308:Q308)</f>
        <v>19960</v>
      </c>
      <c r="R309" s="22">
        <f t="shared" ref="R309" si="670">SUM(R308:R308)</f>
        <v>4.99</v>
      </c>
      <c r="S309" s="22">
        <f t="shared" ref="S309" si="671">SUM(S308:S308)</f>
        <v>0.998</v>
      </c>
      <c r="T309" s="22">
        <f t="shared" ref="T309" si="672">SUM(T308:T308)</f>
        <v>1.99</v>
      </c>
      <c r="U309" s="22">
        <f t="shared" ref="U309" si="673">SUM(U308:U308)</f>
        <v>0.12934999999999999</v>
      </c>
      <c r="V309" s="22">
        <f t="shared" ref="V309" si="674">SUM(V308:V308)</f>
        <v>0</v>
      </c>
      <c r="W309" s="22">
        <f t="shared" ref="W309" si="675">SUM(W308:W308)</f>
        <v>19951.892649999998</v>
      </c>
      <c r="X309" s="22">
        <f t="shared" ref="X309" si="676">SUM(X308:X308)</f>
        <v>0</v>
      </c>
      <c r="Y309" s="22">
        <f t="shared" ref="Y309" si="677">SUM(Y308:Y308)</f>
        <v>9145.9251999999979</v>
      </c>
      <c r="Z309" s="38">
        <f t="shared" ref="Z309" si="678">SUM(Z308:Z308)</f>
        <v>0</v>
      </c>
      <c r="AA309" s="38">
        <f t="shared" ref="AA309" si="679">SUM(AA308:AA308)</f>
        <v>914.59251999999981</v>
      </c>
      <c r="AB309" s="52">
        <f t="shared" ref="AB309" si="680">SUM(AB308:AB308)</f>
        <v>8231.3326799999977</v>
      </c>
    </row>
    <row r="310" spans="1:28" x14ac:dyDescent="0.25">
      <c r="E310" s="22"/>
      <c r="F310" s="22"/>
      <c r="G310" s="22"/>
      <c r="H310" s="22"/>
      <c r="I310" s="22"/>
      <c r="J310" s="22"/>
      <c r="K310" s="12"/>
      <c r="Q310" s="22"/>
      <c r="R310" s="22"/>
      <c r="S310" s="22"/>
      <c r="T310" s="22"/>
      <c r="U310" s="22"/>
      <c r="V310" s="22"/>
      <c r="W310" s="22"/>
      <c r="X310" s="22"/>
      <c r="Y310" s="22"/>
      <c r="Z310" s="22"/>
      <c r="AA310" s="22"/>
      <c r="AB310" s="22"/>
    </row>
    <row r="311" spans="1:28" x14ac:dyDescent="0.25">
      <c r="A311" s="144" t="s">
        <v>431</v>
      </c>
      <c r="B311" s="144"/>
      <c r="C311" s="144"/>
      <c r="D311" s="144"/>
      <c r="E311" s="144"/>
      <c r="F311" s="144"/>
      <c r="G311" s="144"/>
      <c r="H311" s="144"/>
      <c r="I311" s="144"/>
      <c r="J311" s="144"/>
      <c r="K311" s="144"/>
      <c r="L311" s="144"/>
      <c r="M311" s="144"/>
      <c r="N311" s="144"/>
      <c r="O311" s="144"/>
      <c r="P311" s="144"/>
      <c r="Q311" s="144"/>
      <c r="R311" s="144"/>
      <c r="S311" s="144"/>
      <c r="T311" s="144"/>
      <c r="U311" s="144"/>
      <c r="V311" s="144"/>
      <c r="W311" s="144"/>
      <c r="X311" s="144"/>
      <c r="Y311" s="144"/>
      <c r="Z311" s="144"/>
      <c r="AA311" s="144"/>
      <c r="AB311" s="144"/>
    </row>
    <row r="312" spans="1:28" x14ac:dyDescent="0.25">
      <c r="A312" s="10">
        <v>42983</v>
      </c>
      <c r="B312" t="s">
        <v>338</v>
      </c>
      <c r="C312">
        <v>2200</v>
      </c>
      <c r="D312" s="22">
        <v>3.4</v>
      </c>
      <c r="E312" s="22">
        <f t="shared" ref="E312" si="681">C312*D312</f>
        <v>7480</v>
      </c>
      <c r="F312" s="22">
        <f t="shared" ref="F312" si="682">E312*0.0275%</f>
        <v>2.0569999999999999</v>
      </c>
      <c r="G312" s="22">
        <f t="shared" ref="G312" si="683">E312*0.005%</f>
        <v>0.374</v>
      </c>
      <c r="H312" s="22">
        <v>2.4900000000000002</v>
      </c>
      <c r="I312" s="22">
        <f t="shared" ref="I312" si="684">H312*5%</f>
        <v>0.12450000000000001</v>
      </c>
      <c r="J312" s="22">
        <f t="shared" ref="J312" si="685">E312+F312+G312+H312</f>
        <v>7484.9209999999994</v>
      </c>
      <c r="K312" s="12"/>
      <c r="L312" s="10">
        <v>44326</v>
      </c>
      <c r="M312">
        <v>777510</v>
      </c>
      <c r="N312" t="s">
        <v>338</v>
      </c>
      <c r="O312">
        <v>1800</v>
      </c>
      <c r="P312" s="22">
        <v>10.8</v>
      </c>
      <c r="Q312" s="22">
        <f t="shared" ref="Q312" si="686">O312*P312</f>
        <v>19440</v>
      </c>
      <c r="R312" s="22">
        <f>Q312*0.025%</f>
        <v>4.8600000000000003</v>
      </c>
      <c r="S312" s="22">
        <f>Q312*0.005%</f>
        <v>0.97200000000000009</v>
      </c>
      <c r="T312" s="36">
        <v>1.99</v>
      </c>
      <c r="U312" s="22">
        <f t="shared" ref="U312" si="687">T312*6.5%</f>
        <v>0.12934999999999999</v>
      </c>
      <c r="V312" s="22">
        <v>0</v>
      </c>
      <c r="W312" s="22">
        <f>Q312-R312-S312-T312-U312-V312</f>
        <v>19432.048649999997</v>
      </c>
      <c r="X312" s="22">
        <f>0/COUNTA(W312:W312)</f>
        <v>0</v>
      </c>
      <c r="Y312" s="22">
        <f>W312-(J312/C312)*O312+V312</f>
        <v>13308.022377272724</v>
      </c>
      <c r="Z312" s="22">
        <f>IF(Q313 &gt; 20000, ((Y312+V312)*15%)-V312, 0)</f>
        <v>0</v>
      </c>
      <c r="AA312" s="22">
        <f t="shared" ref="AA312" si="688">(Y312-Z312)*10%</f>
        <v>1330.8022377272725</v>
      </c>
      <c r="AB312" s="22">
        <f t="shared" ref="AB312" si="689">Y312-Z312-AA312</f>
        <v>11977.220139545452</v>
      </c>
    </row>
    <row r="313" spans="1:28" x14ac:dyDescent="0.25">
      <c r="E313" s="22">
        <f>SUM(E312:E312)</f>
        <v>7480</v>
      </c>
      <c r="F313" s="22">
        <f t="shared" ref="F313" si="690">SUM(F312:F312)</f>
        <v>2.0569999999999999</v>
      </c>
      <c r="G313" s="22">
        <f t="shared" ref="G313" si="691">SUM(G312:G312)</f>
        <v>0.374</v>
      </c>
      <c r="H313" s="22">
        <f t="shared" ref="H313" si="692">SUM(H312:H312)</f>
        <v>2.4900000000000002</v>
      </c>
      <c r="I313" s="22">
        <f t="shared" ref="I313" si="693">SUM(I312:I312)</f>
        <v>0.12450000000000001</v>
      </c>
      <c r="J313" s="22">
        <f t="shared" ref="J313" si="694">SUM(J312:J312)</f>
        <v>7484.9209999999994</v>
      </c>
      <c r="K313" s="12"/>
      <c r="Q313" s="22">
        <f>SUM(Q312:Q312)</f>
        <v>19440</v>
      </c>
      <c r="R313" s="22">
        <f t="shared" ref="R313" si="695">SUM(R312:R312)</f>
        <v>4.8600000000000003</v>
      </c>
      <c r="S313" s="22">
        <f t="shared" ref="S313" si="696">SUM(S312:S312)</f>
        <v>0.97200000000000009</v>
      </c>
      <c r="T313" s="22">
        <f t="shared" ref="T313" si="697">SUM(T312:T312)</f>
        <v>1.99</v>
      </c>
      <c r="U313" s="22">
        <f t="shared" ref="U313" si="698">SUM(U312:U312)</f>
        <v>0.12934999999999999</v>
      </c>
      <c r="V313" s="22">
        <f t="shared" ref="V313" si="699">SUM(V312:V312)</f>
        <v>0</v>
      </c>
      <c r="W313" s="22">
        <f t="shared" ref="W313" si="700">SUM(W312:W312)</f>
        <v>19432.048649999997</v>
      </c>
      <c r="X313" s="22">
        <f t="shared" ref="X313" si="701">SUM(X312:X312)</f>
        <v>0</v>
      </c>
      <c r="Y313" s="22">
        <f t="shared" ref="Y313" si="702">SUM(Y312:Y312)</f>
        <v>13308.022377272724</v>
      </c>
      <c r="Z313" s="38">
        <f t="shared" ref="Z313" si="703">SUM(Z312:Z312)</f>
        <v>0</v>
      </c>
      <c r="AA313" s="38">
        <f t="shared" ref="AA313" si="704">SUM(AA312:AA312)</f>
        <v>1330.8022377272725</v>
      </c>
      <c r="AB313" s="52">
        <f t="shared" ref="AB313" si="705">SUM(AB312:AB312)</f>
        <v>11977.220139545452</v>
      </c>
    </row>
    <row r="314" spans="1:28" x14ac:dyDescent="0.25">
      <c r="E314" s="22"/>
      <c r="F314" s="22"/>
      <c r="G314" s="22"/>
      <c r="H314" s="22"/>
      <c r="I314" s="22"/>
      <c r="J314" s="22"/>
      <c r="K314" s="12"/>
      <c r="Q314" s="22"/>
      <c r="R314" s="22"/>
      <c r="S314" s="22"/>
      <c r="T314" s="22"/>
      <c r="U314" s="22"/>
      <c r="V314" s="22"/>
      <c r="W314" s="22"/>
      <c r="X314" s="22"/>
      <c r="Y314" s="22"/>
      <c r="Z314" s="22"/>
      <c r="AA314" s="22"/>
      <c r="AB314" s="22"/>
    </row>
    <row r="315" spans="1:28" x14ac:dyDescent="0.25">
      <c r="E315" s="22"/>
      <c r="F315" s="22"/>
      <c r="G315" s="22"/>
      <c r="H315" s="22"/>
      <c r="I315" s="22"/>
      <c r="J315" s="22"/>
      <c r="K315" s="12"/>
      <c r="Q315" s="22"/>
      <c r="R315" s="22"/>
      <c r="S315" s="22"/>
      <c r="T315" s="22"/>
      <c r="U315" s="22"/>
      <c r="V315" s="22"/>
      <c r="W315" s="22"/>
      <c r="X315" s="22"/>
      <c r="Y315" s="22"/>
      <c r="Z315" s="22"/>
      <c r="AA315" s="22"/>
      <c r="AB315" s="22"/>
    </row>
    <row r="316" spans="1:28" x14ac:dyDescent="0.25">
      <c r="E316" s="87"/>
      <c r="W316" s="22">
        <f>W7+W12+W20+W28+W33+W38+W42+W48+W56+W62+W66+W70+W74+W78+W83+W92+W98+W102+W106+W112+W116+W120+W124+W129+W133+W137+W148+W163+W174+W187+W193+W200+W219+W227+W233+W238+W245+W251+W256+W260+W265+W270+W274+W279+W284+W289+W294+W300+W305+W309+W313</f>
        <v>1029503.3550729003</v>
      </c>
      <c r="Y316" s="22">
        <f>Y7+Y12+Y20+Y28+Y33+Y38+Y42+Y48+Y56+Y62+Y66+Y70+Y74+Y78+Y83+Y92+Y98+Y102+Y106+Y112+Y116+Y120+Y124+Y129+Y133+Y137+Y148+Y163+Y169+Y174+Y187+Y193+Y200+Y219+Y227+Y233+Y238+Y245+Y251+Y256+Y260+Y265+Y270+Y274+Y279+Y284+Y289+Y294+Y300+Y305+Y309+Y313</f>
        <v>140833.54981042276</v>
      </c>
      <c r="Z316" s="38">
        <f>Z7+Z12+Z20+Z28+Z33+Z38+Z42+Z48+Z56+Z62+Z66+Z70+Z74+Z78+Z83+Z92+Z98+Z102+Z106+Z112+Z116+Z120+Z124+Z129+Z133+Z137+Z148+Z163+Z169+Z174+Z187+Z193+Z200+Z219+Z227+Z233+Z238+Z245+Z251+Z256+Z260+Z265+Z270+Z274+Z279+Z284+Z289+Z294+Z300+Z305+Z309+Z313</f>
        <v>9299.0063575500026</v>
      </c>
      <c r="AA316" s="38">
        <f>AA7+AA12+AA20+AA28+AA33+AA38+AA42+AA48+AA56+AA62+AA66+AA70+AA74+AA78+AA83+AA92+AA98+AA102+AA106+AA112+AA116+AA120+AA124+AA129+AA133+AA137+AA148+AA163+AA169+AA174+AA187+AA193+AA200+AA219+AA227+AA233+AA238+AA245+AA251+AA256+AA260+AA265+AA270+AA274+AA279+AA284+AA289+AA294+AA300+AA305+AA309+AA313</f>
        <v>13153.454345287277</v>
      </c>
      <c r="AB316" s="52">
        <f>AB7+AB12+AB20+AB28+AB33+AB38+AB42+AB48+AB56+AB62+AB66+AB70+AB74+AB78+AB83+AB92+AB98+AB102+AB106+AB112+AB116+AB120+AB124+AB129+AB133+AB137+AB148+AB163+AB169+AB174+AB187+AB193+AB200+AB219+AB227+AB233+AB238+AB245+AB251+AB256+AB260+AB265+AB270+AB274+AB279+AB284+AB289+AB294+AB300+AB305+AB309+AB313</f>
        <v>118381.08910758546</v>
      </c>
    </row>
    <row r="319" spans="1:28" x14ac:dyDescent="0.25">
      <c r="A319" s="30"/>
      <c r="B319" s="66"/>
      <c r="C319" s="66"/>
      <c r="D319" s="36"/>
      <c r="E319" s="36"/>
      <c r="F319" s="36"/>
      <c r="G319" s="36"/>
      <c r="H319" s="36"/>
      <c r="I319" s="36"/>
      <c r="J319" s="36"/>
      <c r="R319" s="67"/>
    </row>
    <row r="320" spans="1:28" x14ac:dyDescent="0.25">
      <c r="A320" s="30"/>
      <c r="B320" s="66"/>
      <c r="C320" s="66"/>
      <c r="D320" s="36"/>
      <c r="E320" s="36"/>
      <c r="F320" s="36"/>
      <c r="G320" s="36"/>
      <c r="H320" s="36"/>
      <c r="I320" s="36"/>
      <c r="J320" s="36"/>
      <c r="R320" s="145" t="s">
        <v>432</v>
      </c>
      <c r="S320" s="145"/>
    </row>
    <row r="321" spans="1:10" x14ac:dyDescent="0.25">
      <c r="A321" s="30"/>
      <c r="B321" s="66"/>
      <c r="C321" s="66"/>
      <c r="D321" s="36"/>
      <c r="E321" s="36"/>
      <c r="F321" s="36"/>
      <c r="G321" s="36"/>
      <c r="H321" s="36"/>
      <c r="I321" s="36"/>
      <c r="J321" s="36"/>
    </row>
    <row r="322" spans="1:10" x14ac:dyDescent="0.25">
      <c r="A322" s="30"/>
      <c r="B322" s="66"/>
      <c r="C322" s="66"/>
      <c r="D322" s="36"/>
      <c r="E322" s="36"/>
      <c r="F322" s="36"/>
      <c r="G322" s="36"/>
      <c r="H322" s="36"/>
      <c r="I322" s="36"/>
      <c r="J322" s="36"/>
    </row>
    <row r="323" spans="1:10" x14ac:dyDescent="0.25">
      <c r="A323" s="30"/>
      <c r="B323" s="66"/>
      <c r="C323" s="66"/>
      <c r="D323" s="36"/>
      <c r="E323" s="36"/>
      <c r="F323" s="36"/>
      <c r="G323" s="36"/>
      <c r="H323" s="36"/>
      <c r="I323" s="36"/>
      <c r="J323" s="36"/>
    </row>
    <row r="324" spans="1:10" x14ac:dyDescent="0.25">
      <c r="A324" s="30"/>
      <c r="B324" s="66"/>
      <c r="C324" s="66"/>
      <c r="D324" s="36"/>
      <c r="E324" s="36"/>
      <c r="F324" s="36"/>
      <c r="G324" s="36"/>
      <c r="H324" s="36"/>
      <c r="I324" s="36"/>
      <c r="J324" s="36"/>
    </row>
    <row r="325" spans="1:10" x14ac:dyDescent="0.25">
      <c r="A325" s="30"/>
      <c r="B325" s="66"/>
      <c r="C325" s="66"/>
      <c r="D325" s="36"/>
      <c r="E325" s="36"/>
      <c r="F325" s="36"/>
      <c r="G325" s="36"/>
      <c r="H325" s="36"/>
      <c r="I325" s="36"/>
      <c r="J325" s="36"/>
    </row>
    <row r="326" spans="1:10" x14ac:dyDescent="0.25">
      <c r="A326" s="30"/>
      <c r="B326" s="66"/>
      <c r="C326" s="66"/>
      <c r="D326" s="69"/>
      <c r="E326" s="36"/>
      <c r="F326" s="36"/>
      <c r="G326" s="36"/>
      <c r="H326" s="36"/>
      <c r="I326" s="36"/>
      <c r="J326" s="36"/>
    </row>
    <row r="327" spans="1:10" x14ac:dyDescent="0.25">
      <c r="A327" s="30"/>
      <c r="B327" s="66"/>
      <c r="C327" s="66"/>
      <c r="D327" s="36"/>
      <c r="E327" s="36"/>
      <c r="F327" s="36"/>
      <c r="G327" s="36"/>
      <c r="H327" s="36"/>
      <c r="I327" s="36"/>
      <c r="J327" s="36"/>
    </row>
    <row r="328" spans="1:10" x14ac:dyDescent="0.25">
      <c r="A328" s="30"/>
      <c r="B328" s="66"/>
      <c r="C328" s="66"/>
      <c r="D328" s="36"/>
      <c r="E328" s="36"/>
      <c r="F328" s="36"/>
      <c r="G328" s="36"/>
      <c r="H328" s="36"/>
      <c r="I328" s="36"/>
      <c r="J328" s="36"/>
    </row>
    <row r="329" spans="1:10" x14ac:dyDescent="0.25">
      <c r="A329" s="30"/>
      <c r="B329" s="66"/>
      <c r="C329" s="66"/>
      <c r="D329" s="36"/>
      <c r="E329" s="36"/>
      <c r="F329" s="36"/>
      <c r="G329" s="36"/>
      <c r="H329" s="36"/>
      <c r="I329" s="36"/>
      <c r="J329" s="36"/>
    </row>
    <row r="330" spans="1:10" x14ac:dyDescent="0.25">
      <c r="A330" s="30"/>
      <c r="B330" s="66"/>
      <c r="C330" s="66"/>
      <c r="D330" s="36"/>
      <c r="E330" s="36"/>
      <c r="F330" s="36"/>
      <c r="G330" s="36"/>
      <c r="H330" s="36"/>
      <c r="I330" s="36"/>
      <c r="J330" s="36"/>
    </row>
    <row r="331" spans="1:10" x14ac:dyDescent="0.25">
      <c r="A331" s="30"/>
      <c r="B331" s="66"/>
      <c r="C331" s="66"/>
      <c r="D331" s="36"/>
      <c r="E331" s="36"/>
      <c r="F331" s="36"/>
      <c r="G331" s="36"/>
      <c r="H331" s="36"/>
      <c r="I331" s="36"/>
      <c r="J331" s="36"/>
    </row>
    <row r="332" spans="1:10" x14ac:dyDescent="0.25">
      <c r="A332" s="30"/>
      <c r="B332" s="66"/>
      <c r="C332" s="66"/>
      <c r="D332" s="36"/>
      <c r="E332" s="36"/>
      <c r="F332" s="36"/>
      <c r="G332" s="36"/>
      <c r="H332" s="36"/>
      <c r="I332" s="36"/>
      <c r="J332" s="36"/>
    </row>
    <row r="333" spans="1:10" x14ac:dyDescent="0.25">
      <c r="A333" s="30"/>
      <c r="B333" s="66"/>
      <c r="C333" s="66"/>
      <c r="D333" s="36"/>
      <c r="E333" s="36"/>
      <c r="F333" s="36"/>
      <c r="G333" s="36"/>
      <c r="H333" s="36"/>
      <c r="I333" s="36"/>
      <c r="J333" s="36"/>
    </row>
    <row r="334" spans="1:10" x14ac:dyDescent="0.25">
      <c r="A334" s="66"/>
      <c r="B334" s="66"/>
      <c r="C334" s="66"/>
      <c r="D334" s="36"/>
      <c r="E334" s="36"/>
      <c r="F334" s="36"/>
      <c r="G334" s="36"/>
      <c r="H334" s="36"/>
      <c r="I334" s="36"/>
      <c r="J334" s="36"/>
    </row>
    <row r="335" spans="1:10" x14ac:dyDescent="0.25">
      <c r="A335" s="66"/>
      <c r="B335" s="66"/>
      <c r="C335" s="78"/>
      <c r="D335" s="36"/>
      <c r="E335" s="36"/>
      <c r="F335" s="36"/>
      <c r="G335" s="36"/>
      <c r="H335" s="36"/>
      <c r="I335" s="36"/>
      <c r="J335" s="36"/>
    </row>
    <row r="336" spans="1:10" x14ac:dyDescent="0.25">
      <c r="A336" s="66"/>
      <c r="B336" s="66"/>
      <c r="C336" s="66"/>
      <c r="D336" s="36"/>
      <c r="E336" s="36"/>
      <c r="F336" s="36"/>
      <c r="G336" s="36"/>
      <c r="H336" s="36"/>
      <c r="I336" s="36"/>
      <c r="J336" s="36"/>
    </row>
    <row r="337" spans="1:10" x14ac:dyDescent="0.25">
      <c r="A337" s="66"/>
      <c r="B337" s="66"/>
      <c r="C337" s="78"/>
      <c r="D337" s="36"/>
      <c r="E337" s="36"/>
      <c r="F337" s="36"/>
      <c r="G337" s="36"/>
      <c r="H337" s="36"/>
      <c r="I337" s="36"/>
      <c r="J337" s="36"/>
    </row>
    <row r="338" spans="1:10" x14ac:dyDescent="0.25">
      <c r="A338" s="66"/>
      <c r="B338" s="66"/>
      <c r="C338" s="78"/>
      <c r="D338" s="36"/>
      <c r="E338" s="36"/>
      <c r="F338" s="36"/>
      <c r="G338" s="36"/>
      <c r="H338" s="36"/>
      <c r="I338" s="36"/>
      <c r="J338" s="36"/>
    </row>
    <row r="339" spans="1:10" x14ac:dyDescent="0.25">
      <c r="A339" s="66"/>
      <c r="B339" s="66"/>
      <c r="C339" s="66"/>
      <c r="D339" s="36"/>
      <c r="E339" s="36"/>
      <c r="F339" s="36"/>
      <c r="G339" s="36"/>
      <c r="H339" s="36"/>
      <c r="I339" s="36"/>
      <c r="J339" s="36"/>
    </row>
    <row r="340" spans="1:10" x14ac:dyDescent="0.25">
      <c r="A340" s="66"/>
      <c r="B340" s="66"/>
      <c r="C340" s="66"/>
      <c r="D340" s="36"/>
      <c r="E340" s="36"/>
      <c r="F340" s="36"/>
      <c r="G340" s="36"/>
      <c r="H340" s="36"/>
      <c r="I340" s="36"/>
      <c r="J340" s="36"/>
    </row>
    <row r="341" spans="1:10" x14ac:dyDescent="0.25">
      <c r="A341" s="66"/>
      <c r="B341" s="66"/>
      <c r="C341" s="78"/>
      <c r="D341" s="36"/>
      <c r="E341" s="36"/>
      <c r="F341" s="36"/>
      <c r="G341" s="36"/>
      <c r="H341" s="36"/>
      <c r="I341" s="36"/>
      <c r="J341" s="36"/>
    </row>
    <row r="342" spans="1:10" x14ac:dyDescent="0.25">
      <c r="A342" s="66"/>
      <c r="B342" s="66"/>
      <c r="C342" s="78"/>
      <c r="D342" s="36"/>
      <c r="E342" s="36"/>
      <c r="F342" s="36"/>
      <c r="G342" s="36"/>
      <c r="H342" s="36"/>
      <c r="I342" s="36"/>
      <c r="J342" s="36"/>
    </row>
    <row r="343" spans="1:10" x14ac:dyDescent="0.25">
      <c r="A343" s="66"/>
      <c r="B343" s="66"/>
      <c r="C343" s="66"/>
      <c r="D343" s="36"/>
      <c r="E343" s="36"/>
      <c r="F343" s="36"/>
      <c r="G343" s="36"/>
      <c r="H343" s="36"/>
      <c r="I343" s="36"/>
      <c r="J343" s="36"/>
    </row>
    <row r="344" spans="1:10" x14ac:dyDescent="0.25">
      <c r="A344" s="66"/>
      <c r="B344" s="66"/>
      <c r="C344" s="66"/>
      <c r="D344" s="36"/>
      <c r="E344" s="36"/>
      <c r="F344" s="36"/>
      <c r="G344" s="36"/>
      <c r="H344" s="36"/>
      <c r="I344" s="36"/>
      <c r="J344" s="36"/>
    </row>
    <row r="345" spans="1:10" x14ac:dyDescent="0.25">
      <c r="A345" s="66"/>
      <c r="B345" s="66"/>
      <c r="C345" s="78"/>
      <c r="D345" s="36"/>
      <c r="E345" s="36"/>
      <c r="F345" s="36"/>
      <c r="G345" s="36"/>
      <c r="H345" s="36"/>
      <c r="I345" s="36"/>
      <c r="J345" s="36"/>
    </row>
    <row r="346" spans="1:10" x14ac:dyDescent="0.25">
      <c r="A346" s="66"/>
      <c r="B346" s="66"/>
      <c r="C346" s="66"/>
      <c r="D346" s="36"/>
      <c r="E346" s="36"/>
      <c r="F346" s="36"/>
      <c r="G346" s="36"/>
      <c r="H346" s="36"/>
      <c r="I346" s="36"/>
      <c r="J346" s="36"/>
    </row>
  </sheetData>
  <mergeCells count="53">
    <mergeCell ref="A276:AB276"/>
    <mergeCell ref="R320:S320"/>
    <mergeCell ref="A281:AB281"/>
    <mergeCell ref="A267:AB267"/>
    <mergeCell ref="A262:AB262"/>
    <mergeCell ref="A272:AB272"/>
    <mergeCell ref="A286:AB286"/>
    <mergeCell ref="A291:AB291"/>
    <mergeCell ref="A296:AB296"/>
    <mergeCell ref="A302:AB302"/>
    <mergeCell ref="A307:AB307"/>
    <mergeCell ref="A311:AB311"/>
    <mergeCell ref="A94:AB94"/>
    <mergeCell ref="A108:AB108"/>
    <mergeCell ref="A114:AB114"/>
    <mergeCell ref="A100:AB100"/>
    <mergeCell ref="A104:AB104"/>
    <mergeCell ref="A3:AB3"/>
    <mergeCell ref="A9:AB9"/>
    <mergeCell ref="A14:AB14"/>
    <mergeCell ref="A22:AB22"/>
    <mergeCell ref="A30:AB30"/>
    <mergeCell ref="A35:AB35"/>
    <mergeCell ref="A76:AB76"/>
    <mergeCell ref="A80:AB80"/>
    <mergeCell ref="A85:AB85"/>
    <mergeCell ref="A40:AB40"/>
    <mergeCell ref="A44:AB44"/>
    <mergeCell ref="A50:AB50"/>
    <mergeCell ref="A58:AB58"/>
    <mergeCell ref="A64:AB64"/>
    <mergeCell ref="A68:AB68"/>
    <mergeCell ref="A72:AB72"/>
    <mergeCell ref="A258:AB258"/>
    <mergeCell ref="A131:AB131"/>
    <mergeCell ref="A247:AB247"/>
    <mergeCell ref="A126:AB126"/>
    <mergeCell ref="A229:AB229"/>
    <mergeCell ref="A221:AB221"/>
    <mergeCell ref="A240:AB240"/>
    <mergeCell ref="A135:AB135"/>
    <mergeCell ref="A140:AB140"/>
    <mergeCell ref="A235:AB235"/>
    <mergeCell ref="A165:AB165"/>
    <mergeCell ref="A189:AB189"/>
    <mergeCell ref="A195:AB195"/>
    <mergeCell ref="A171:AB171"/>
    <mergeCell ref="A150:AB150"/>
    <mergeCell ref="A118:AB118"/>
    <mergeCell ref="A122:AB122"/>
    <mergeCell ref="A202:AB202"/>
    <mergeCell ref="A176:AB176"/>
    <mergeCell ref="A253:AB253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300"/>
  <sheetViews>
    <sheetView workbookViewId="0">
      <pane ySplit="1" topLeftCell="A246" activePane="bottomLeft" state="frozen"/>
      <selection pane="bottomLeft" activeCell="C261" sqref="C261"/>
    </sheetView>
  </sheetViews>
  <sheetFormatPr defaultRowHeight="15" x14ac:dyDescent="0.25"/>
  <cols>
    <col min="1" max="1" width="10.7109375" bestFit="1" customWidth="1"/>
    <col min="2" max="2" width="46" bestFit="1" customWidth="1"/>
    <col min="3" max="3" width="11.7109375" bestFit="1" customWidth="1"/>
    <col min="4" max="4" width="11.85546875" bestFit="1" customWidth="1"/>
    <col min="5" max="5" width="72" bestFit="1" customWidth="1"/>
    <col min="6" max="6" width="10.28515625" customWidth="1"/>
    <col min="7" max="7" width="10.5703125" customWidth="1"/>
    <col min="8" max="8" width="10.7109375" bestFit="1" customWidth="1"/>
  </cols>
  <sheetData>
    <row r="1" spans="1:4" x14ac:dyDescent="0.25">
      <c r="A1" s="14" t="s">
        <v>92</v>
      </c>
      <c r="B1" s="14" t="s">
        <v>94</v>
      </c>
      <c r="C1" s="14" t="s">
        <v>96</v>
      </c>
      <c r="D1" s="14" t="s">
        <v>433</v>
      </c>
    </row>
    <row r="2" spans="1:4" x14ac:dyDescent="0.25">
      <c r="A2" s="10">
        <v>39777</v>
      </c>
      <c r="B2" t="s">
        <v>101</v>
      </c>
      <c r="C2" s="22">
        <v>13.4</v>
      </c>
    </row>
    <row r="3" spans="1:4" x14ac:dyDescent="0.25">
      <c r="A3" s="10">
        <v>39778</v>
      </c>
      <c r="B3" t="s">
        <v>102</v>
      </c>
      <c r="C3" s="22">
        <v>18</v>
      </c>
      <c r="D3" s="22">
        <f>SUM(C2:C3)</f>
        <v>31.4</v>
      </c>
    </row>
    <row r="4" spans="1:4" x14ac:dyDescent="0.25">
      <c r="A4" s="10"/>
      <c r="C4" s="22"/>
      <c r="D4" s="22"/>
    </row>
    <row r="5" spans="1:4" x14ac:dyDescent="0.25">
      <c r="A5" s="10">
        <v>39815</v>
      </c>
      <c r="B5" t="s">
        <v>104</v>
      </c>
      <c r="C5" s="22">
        <v>1.4</v>
      </c>
      <c r="D5" s="22">
        <f>SUM(C5)</f>
        <v>1.4</v>
      </c>
    </row>
    <row r="6" spans="1:4" x14ac:dyDescent="0.25">
      <c r="A6" s="10"/>
      <c r="C6" s="22"/>
    </row>
    <row r="7" spans="1:4" x14ac:dyDescent="0.25">
      <c r="A7" s="10">
        <v>39875</v>
      </c>
      <c r="B7" t="s">
        <v>109</v>
      </c>
      <c r="C7" s="22">
        <v>0.25</v>
      </c>
    </row>
    <row r="8" spans="1:4" x14ac:dyDescent="0.25">
      <c r="A8" s="10">
        <v>39875</v>
      </c>
      <c r="B8" t="s">
        <v>110</v>
      </c>
      <c r="C8" s="22">
        <v>0.47</v>
      </c>
    </row>
    <row r="9" spans="1:4" x14ac:dyDescent="0.25">
      <c r="A9" s="10">
        <v>39875</v>
      </c>
      <c r="B9" t="s">
        <v>101</v>
      </c>
      <c r="C9" s="22">
        <v>29.91</v>
      </c>
    </row>
    <row r="10" spans="1:4" x14ac:dyDescent="0.25">
      <c r="A10" s="10">
        <v>39875</v>
      </c>
      <c r="B10" t="s">
        <v>111</v>
      </c>
      <c r="C10" s="22">
        <v>13.6</v>
      </c>
    </row>
    <row r="11" spans="1:4" x14ac:dyDescent="0.25">
      <c r="A11" s="10">
        <v>39884</v>
      </c>
      <c r="B11" t="s">
        <v>112</v>
      </c>
      <c r="C11" s="22">
        <v>8</v>
      </c>
    </row>
    <row r="12" spans="1:4" x14ac:dyDescent="0.25">
      <c r="A12" s="10">
        <v>39889</v>
      </c>
      <c r="B12" t="s">
        <v>114</v>
      </c>
      <c r="C12" s="22">
        <v>3.63</v>
      </c>
    </row>
    <row r="13" spans="1:4" x14ac:dyDescent="0.25">
      <c r="A13" s="10">
        <v>39889</v>
      </c>
      <c r="B13" t="s">
        <v>115</v>
      </c>
      <c r="C13" s="22">
        <v>11.16</v>
      </c>
      <c r="D13" s="22">
        <f>SUM(C7:C13)</f>
        <v>67.02</v>
      </c>
    </row>
    <row r="14" spans="1:4" x14ac:dyDescent="0.25">
      <c r="A14" s="10"/>
      <c r="C14" s="22"/>
      <c r="D14" s="22"/>
    </row>
    <row r="15" spans="1:4" x14ac:dyDescent="0.25">
      <c r="A15" s="10">
        <v>39904</v>
      </c>
      <c r="B15" t="s">
        <v>104</v>
      </c>
      <c r="C15" s="22">
        <v>1.4</v>
      </c>
    </row>
    <row r="16" spans="1:4" x14ac:dyDescent="0.25">
      <c r="A16" s="10">
        <v>39932</v>
      </c>
      <c r="B16" t="s">
        <v>125</v>
      </c>
      <c r="C16" s="22">
        <v>64.599999999999994</v>
      </c>
    </row>
    <row r="17" spans="1:4" x14ac:dyDescent="0.25">
      <c r="A17" s="10">
        <v>39932</v>
      </c>
      <c r="B17" t="s">
        <v>126</v>
      </c>
      <c r="C17" s="22">
        <v>2.21</v>
      </c>
      <c r="D17" s="22">
        <f>SUM(C15:C17)</f>
        <v>68.209999999999994</v>
      </c>
    </row>
    <row r="18" spans="1:4" x14ac:dyDescent="0.25">
      <c r="A18" s="10"/>
      <c r="C18" s="22"/>
    </row>
    <row r="19" spans="1:4" x14ac:dyDescent="0.25">
      <c r="A19" s="10">
        <v>39960</v>
      </c>
      <c r="B19" t="s">
        <v>133</v>
      </c>
      <c r="C19" s="22">
        <v>14.83</v>
      </c>
      <c r="D19" s="22">
        <f>SUM(C19)</f>
        <v>14.83</v>
      </c>
    </row>
    <row r="20" spans="1:4" x14ac:dyDescent="0.25">
      <c r="A20" s="10"/>
      <c r="C20" s="22"/>
    </row>
    <row r="21" spans="1:4" x14ac:dyDescent="0.25">
      <c r="A21" s="10">
        <v>39974</v>
      </c>
      <c r="B21" t="s">
        <v>141</v>
      </c>
      <c r="C21" s="22">
        <v>11.73</v>
      </c>
    </row>
    <row r="22" spans="1:4" x14ac:dyDescent="0.25">
      <c r="A22" s="10">
        <v>39988</v>
      </c>
      <c r="B22" t="s">
        <v>145</v>
      </c>
      <c r="C22" s="22">
        <v>3.07</v>
      </c>
    </row>
    <row r="23" spans="1:4" x14ac:dyDescent="0.25">
      <c r="A23" s="10">
        <v>39988</v>
      </c>
      <c r="B23" t="s">
        <v>125</v>
      </c>
      <c r="C23" s="22">
        <v>64.599999999999994</v>
      </c>
      <c r="D23" s="22">
        <f>SUM(C21:C23)</f>
        <v>79.399999999999991</v>
      </c>
    </row>
    <row r="24" spans="1:4" x14ac:dyDescent="0.25">
      <c r="A24" s="10"/>
      <c r="C24" s="22"/>
    </row>
    <row r="25" spans="1:4" x14ac:dyDescent="0.25">
      <c r="A25" s="10">
        <v>40039</v>
      </c>
      <c r="B25" t="s">
        <v>150</v>
      </c>
      <c r="C25" s="22">
        <v>0.42</v>
      </c>
    </row>
    <row r="26" spans="1:4" x14ac:dyDescent="0.25">
      <c r="A26" s="10">
        <v>40039</v>
      </c>
      <c r="B26" t="s">
        <v>151</v>
      </c>
      <c r="C26" s="22">
        <v>6.8</v>
      </c>
      <c r="D26" s="22">
        <f>SUM(C25:C26)</f>
        <v>7.22</v>
      </c>
    </row>
    <row r="27" spans="1:4" x14ac:dyDescent="0.25">
      <c r="A27" s="10"/>
      <c r="C27" s="22"/>
    </row>
    <row r="28" spans="1:4" x14ac:dyDescent="0.25">
      <c r="A28" s="10">
        <v>40147</v>
      </c>
      <c r="B28" t="s">
        <v>154</v>
      </c>
      <c r="C28" s="22">
        <v>51</v>
      </c>
      <c r="D28" s="22">
        <f>SUM(C28)</f>
        <v>51</v>
      </c>
    </row>
    <row r="29" spans="1:4" x14ac:dyDescent="0.25">
      <c r="A29" s="10"/>
      <c r="C29" s="22"/>
    </row>
    <row r="30" spans="1:4" x14ac:dyDescent="0.25">
      <c r="A30" s="10">
        <v>40298</v>
      </c>
      <c r="B30" t="s">
        <v>178</v>
      </c>
      <c r="C30" s="22">
        <v>49.81</v>
      </c>
    </row>
    <row r="31" spans="1:4" x14ac:dyDescent="0.25">
      <c r="A31" s="10">
        <v>40298</v>
      </c>
      <c r="B31" t="s">
        <v>179</v>
      </c>
      <c r="C31" s="22">
        <v>65</v>
      </c>
    </row>
    <row r="32" spans="1:4" x14ac:dyDescent="0.25">
      <c r="A32" s="10">
        <v>40298</v>
      </c>
      <c r="B32" t="s">
        <v>180</v>
      </c>
      <c r="C32" s="22">
        <v>1.21</v>
      </c>
    </row>
    <row r="33" spans="1:4" x14ac:dyDescent="0.25">
      <c r="A33" s="10">
        <v>40298</v>
      </c>
      <c r="B33" t="s">
        <v>181</v>
      </c>
      <c r="C33" s="22">
        <v>1.32</v>
      </c>
      <c r="D33" s="22">
        <f>SUM(C30:C33)</f>
        <v>117.33999999999999</v>
      </c>
    </row>
    <row r="34" spans="1:4" x14ac:dyDescent="0.25">
      <c r="A34" s="10"/>
      <c r="C34" s="22"/>
    </row>
    <row r="35" spans="1:4" x14ac:dyDescent="0.25">
      <c r="A35" s="10">
        <v>40309</v>
      </c>
      <c r="B35" t="s">
        <v>182</v>
      </c>
      <c r="C35" s="22">
        <v>84.46</v>
      </c>
    </row>
    <row r="36" spans="1:4" x14ac:dyDescent="0.25">
      <c r="A36" s="10">
        <v>40329</v>
      </c>
      <c r="B36" t="s">
        <v>183</v>
      </c>
      <c r="C36" s="22">
        <v>85</v>
      </c>
      <c r="D36" s="22">
        <f>SUM(C35:C36)</f>
        <v>169.45999999999998</v>
      </c>
    </row>
    <row r="37" spans="1:4" x14ac:dyDescent="0.25">
      <c r="A37" s="10"/>
      <c r="C37" s="22"/>
    </row>
    <row r="38" spans="1:4" x14ac:dyDescent="0.25">
      <c r="A38" s="10">
        <v>40357</v>
      </c>
      <c r="B38" t="s">
        <v>184</v>
      </c>
      <c r="C38" s="22">
        <v>12.18</v>
      </c>
      <c r="D38" s="22">
        <f>SUM(C38)</f>
        <v>12.18</v>
      </c>
    </row>
    <row r="39" spans="1:4" x14ac:dyDescent="0.25">
      <c r="A39" s="10"/>
      <c r="C39" s="22"/>
    </row>
    <row r="40" spans="1:4" x14ac:dyDescent="0.25">
      <c r="A40" s="10">
        <v>40421</v>
      </c>
      <c r="B40" t="s">
        <v>183</v>
      </c>
      <c r="C40" s="22">
        <v>85</v>
      </c>
      <c r="D40" s="22">
        <f>SUM(C40)</f>
        <v>85</v>
      </c>
    </row>
    <row r="41" spans="1:4" x14ac:dyDescent="0.25">
      <c r="A41" s="10"/>
      <c r="C41" s="22"/>
    </row>
    <row r="42" spans="1:4" x14ac:dyDescent="0.25">
      <c r="A42" s="10">
        <v>40491</v>
      </c>
      <c r="B42" t="s">
        <v>187</v>
      </c>
      <c r="C42" s="22">
        <v>114.87</v>
      </c>
    </row>
    <row r="43" spans="1:4" x14ac:dyDescent="0.25">
      <c r="A43" s="10">
        <v>40512</v>
      </c>
      <c r="B43" t="s">
        <v>188</v>
      </c>
      <c r="C43" s="22">
        <v>59.5</v>
      </c>
      <c r="D43" s="22">
        <f>SUM(C42:C43)</f>
        <v>174.37</v>
      </c>
    </row>
    <row r="44" spans="1:4" x14ac:dyDescent="0.25">
      <c r="A44" s="10"/>
      <c r="C44" s="22"/>
    </row>
    <row r="45" spans="1:4" x14ac:dyDescent="0.25">
      <c r="A45" s="10">
        <v>40542</v>
      </c>
      <c r="B45" t="s">
        <v>183</v>
      </c>
      <c r="C45" s="22">
        <v>85</v>
      </c>
      <c r="D45" s="22">
        <f>SUM(C45)</f>
        <v>85</v>
      </c>
    </row>
    <row r="46" spans="1:4" x14ac:dyDescent="0.25">
      <c r="A46" s="10"/>
      <c r="C46" s="22"/>
    </row>
    <row r="47" spans="1:4" x14ac:dyDescent="0.25">
      <c r="A47" s="10">
        <v>40633</v>
      </c>
      <c r="B47" t="s">
        <v>190</v>
      </c>
      <c r="C47" s="22">
        <v>63.46</v>
      </c>
    </row>
    <row r="48" spans="1:4" x14ac:dyDescent="0.25">
      <c r="A48" s="10">
        <v>40633</v>
      </c>
      <c r="B48" t="s">
        <v>191</v>
      </c>
      <c r="C48" s="22">
        <v>1.55</v>
      </c>
      <c r="D48" s="22">
        <f>SUM(C47:C48)</f>
        <v>65.010000000000005</v>
      </c>
    </row>
    <row r="49" spans="1:4" x14ac:dyDescent="0.25">
      <c r="A49" s="10"/>
      <c r="C49" s="22"/>
    </row>
    <row r="50" spans="1:4" x14ac:dyDescent="0.25">
      <c r="A50" s="10">
        <v>40694</v>
      </c>
      <c r="B50" t="s">
        <v>183</v>
      </c>
      <c r="C50" s="22">
        <v>85</v>
      </c>
      <c r="D50" s="22">
        <f>SUM(C50)</f>
        <v>85</v>
      </c>
    </row>
    <row r="51" spans="1:4" x14ac:dyDescent="0.25">
      <c r="A51" s="10"/>
      <c r="C51" s="22"/>
    </row>
    <row r="52" spans="1:4" x14ac:dyDescent="0.25">
      <c r="A52" s="10">
        <v>40721</v>
      </c>
      <c r="B52" t="s">
        <v>179</v>
      </c>
      <c r="C52" s="22">
        <v>60</v>
      </c>
    </row>
    <row r="53" spans="1:4" x14ac:dyDescent="0.25">
      <c r="A53" s="10">
        <v>40721</v>
      </c>
      <c r="B53" t="s">
        <v>192</v>
      </c>
      <c r="C53" s="22">
        <v>2.52</v>
      </c>
      <c r="D53" s="22">
        <f>SUM(C52:C53)</f>
        <v>62.52</v>
      </c>
    </row>
    <row r="54" spans="1:4" x14ac:dyDescent="0.25">
      <c r="A54" s="10"/>
      <c r="C54" s="22"/>
    </row>
    <row r="55" spans="1:4" x14ac:dyDescent="0.25">
      <c r="A55" s="10">
        <v>40786</v>
      </c>
      <c r="B55" t="s">
        <v>183</v>
      </c>
      <c r="C55" s="22">
        <v>85</v>
      </c>
      <c r="D55" s="22">
        <f>SUM(C55)</f>
        <v>85</v>
      </c>
    </row>
    <row r="56" spans="1:4" x14ac:dyDescent="0.25">
      <c r="A56" s="10"/>
      <c r="C56" s="22"/>
    </row>
    <row r="57" spans="1:4" x14ac:dyDescent="0.25">
      <c r="A57" s="10">
        <v>40877</v>
      </c>
      <c r="B57" t="s">
        <v>183</v>
      </c>
      <c r="C57" s="22">
        <v>85</v>
      </c>
      <c r="D57" s="22">
        <f>SUM(C57)</f>
        <v>85</v>
      </c>
    </row>
    <row r="58" spans="1:4" x14ac:dyDescent="0.25">
      <c r="A58" s="10"/>
      <c r="C58" s="22"/>
    </row>
    <row r="59" spans="1:4" x14ac:dyDescent="0.25">
      <c r="A59" s="10">
        <v>40968</v>
      </c>
      <c r="B59" t="s">
        <v>193</v>
      </c>
      <c r="C59" s="22">
        <v>1.1299999999999999</v>
      </c>
    </row>
    <row r="60" spans="1:4" x14ac:dyDescent="0.25">
      <c r="A60" s="10">
        <v>40968</v>
      </c>
      <c r="B60" t="s">
        <v>194</v>
      </c>
      <c r="C60" s="22">
        <v>75.36</v>
      </c>
      <c r="D60" s="22">
        <f>SUM(C59:C60)</f>
        <v>76.489999999999995</v>
      </c>
    </row>
    <row r="61" spans="1:4" x14ac:dyDescent="0.25">
      <c r="A61" s="10"/>
      <c r="C61" s="22"/>
    </row>
    <row r="62" spans="1:4" x14ac:dyDescent="0.25">
      <c r="A62" s="10">
        <v>41047</v>
      </c>
      <c r="B62" t="s">
        <v>195</v>
      </c>
      <c r="C62" s="22">
        <v>1.71</v>
      </c>
    </row>
    <row r="63" spans="1:4" x14ac:dyDescent="0.25">
      <c r="A63" s="10">
        <v>41047</v>
      </c>
      <c r="B63" t="s">
        <v>179</v>
      </c>
      <c r="C63" s="22">
        <v>60</v>
      </c>
    </row>
    <row r="64" spans="1:4" x14ac:dyDescent="0.25">
      <c r="A64" s="10">
        <v>41060</v>
      </c>
      <c r="B64" t="s">
        <v>183</v>
      </c>
      <c r="C64" s="22">
        <v>85</v>
      </c>
      <c r="D64" s="22">
        <f>SUM(C62:C64)</f>
        <v>146.71</v>
      </c>
    </row>
    <row r="65" spans="1:4" x14ac:dyDescent="0.25">
      <c r="A65" s="10"/>
      <c r="C65" s="22"/>
    </row>
    <row r="66" spans="1:4" x14ac:dyDescent="0.25">
      <c r="A66" s="10">
        <v>41408</v>
      </c>
      <c r="B66" t="s">
        <v>184</v>
      </c>
      <c r="C66" s="22">
        <v>29.75</v>
      </c>
    </row>
    <row r="67" spans="1:4" x14ac:dyDescent="0.25">
      <c r="A67" s="10">
        <v>41421</v>
      </c>
      <c r="B67" t="s">
        <v>197</v>
      </c>
      <c r="C67" s="22">
        <v>159.66</v>
      </c>
    </row>
    <row r="68" spans="1:4" x14ac:dyDescent="0.25">
      <c r="A68" s="10">
        <v>41421</v>
      </c>
      <c r="B68" t="s">
        <v>198</v>
      </c>
      <c r="C68" s="22">
        <v>4.07</v>
      </c>
      <c r="D68" s="22">
        <f>SUM(C66:C68)</f>
        <v>193.48</v>
      </c>
    </row>
    <row r="69" spans="1:4" x14ac:dyDescent="0.25">
      <c r="A69" s="10"/>
      <c r="C69" s="22"/>
    </row>
    <row r="70" spans="1:4" x14ac:dyDescent="0.25">
      <c r="A70" s="10">
        <v>41516</v>
      </c>
      <c r="B70" t="s">
        <v>199</v>
      </c>
      <c r="C70" s="22">
        <v>7.51</v>
      </c>
    </row>
    <row r="71" spans="1:4" x14ac:dyDescent="0.25">
      <c r="A71" s="10">
        <v>41516</v>
      </c>
      <c r="B71" t="s">
        <v>197</v>
      </c>
      <c r="C71" s="22">
        <v>159.66</v>
      </c>
      <c r="D71" s="22">
        <f>SUM(C70:C71)</f>
        <v>167.17</v>
      </c>
    </row>
    <row r="72" spans="1:4" x14ac:dyDescent="0.25">
      <c r="A72" s="10"/>
      <c r="C72" s="22"/>
    </row>
    <row r="73" spans="1:4" x14ac:dyDescent="0.25">
      <c r="A73" s="10">
        <v>41941</v>
      </c>
      <c r="B73" t="s">
        <v>217</v>
      </c>
      <c r="C73" s="22">
        <v>30.37</v>
      </c>
    </row>
    <row r="74" spans="1:4" x14ac:dyDescent="0.25">
      <c r="A74" s="10">
        <v>41943</v>
      </c>
      <c r="B74" t="s">
        <v>219</v>
      </c>
      <c r="C74" s="22">
        <v>110.64</v>
      </c>
    </row>
    <row r="75" spans="1:4" x14ac:dyDescent="0.25">
      <c r="A75" s="10">
        <v>41943</v>
      </c>
      <c r="B75" t="s">
        <v>220</v>
      </c>
      <c r="C75" s="22">
        <v>68</v>
      </c>
      <c r="D75" s="22">
        <f>SUM(C73:C75)</f>
        <v>209.01</v>
      </c>
    </row>
    <row r="76" spans="1:4" x14ac:dyDescent="0.25">
      <c r="A76" s="10"/>
      <c r="C76" s="22"/>
    </row>
    <row r="77" spans="1:4" x14ac:dyDescent="0.25">
      <c r="A77" s="10">
        <v>41995</v>
      </c>
      <c r="B77" t="s">
        <v>225</v>
      </c>
      <c r="C77" s="22">
        <v>11.86</v>
      </c>
      <c r="D77" s="22">
        <f>SUM(C77)</f>
        <v>11.86</v>
      </c>
    </row>
    <row r="78" spans="1:4" x14ac:dyDescent="0.25">
      <c r="A78" s="10"/>
      <c r="C78" s="22"/>
    </row>
    <row r="79" spans="1:4" x14ac:dyDescent="0.25">
      <c r="A79" s="10">
        <v>42124</v>
      </c>
      <c r="B79" t="s">
        <v>219</v>
      </c>
      <c r="C79" s="22">
        <v>102.3</v>
      </c>
      <c r="D79" s="22">
        <f>SUM(C79)</f>
        <v>102.3</v>
      </c>
    </row>
    <row r="80" spans="1:4" x14ac:dyDescent="0.25">
      <c r="A80" s="10"/>
      <c r="C80" s="22"/>
    </row>
    <row r="81" spans="1:4" x14ac:dyDescent="0.25">
      <c r="A81" s="10">
        <v>42151</v>
      </c>
      <c r="B81" t="s">
        <v>217</v>
      </c>
      <c r="C81" s="22">
        <v>30.59</v>
      </c>
      <c r="D81" s="22">
        <f>SUM(C81)</f>
        <v>30.59</v>
      </c>
    </row>
    <row r="82" spans="1:4" x14ac:dyDescent="0.25">
      <c r="A82" s="10"/>
      <c r="C82" s="22"/>
    </row>
    <row r="83" spans="1:4" x14ac:dyDescent="0.25">
      <c r="A83" s="10">
        <v>42180</v>
      </c>
      <c r="B83" t="s">
        <v>225</v>
      </c>
      <c r="C83" s="22">
        <v>14.67</v>
      </c>
      <c r="D83" s="22">
        <f>SUM(C83)</f>
        <v>14.67</v>
      </c>
    </row>
    <row r="84" spans="1:4" x14ac:dyDescent="0.25">
      <c r="A84" s="10"/>
      <c r="C84" s="22"/>
    </row>
    <row r="85" spans="1:4" x14ac:dyDescent="0.25">
      <c r="A85" s="10">
        <v>42307</v>
      </c>
      <c r="B85" t="s">
        <v>220</v>
      </c>
      <c r="C85" s="22">
        <v>74.72</v>
      </c>
      <c r="D85" s="22">
        <f>SUM(C85)</f>
        <v>74.72</v>
      </c>
    </row>
    <row r="86" spans="1:4" x14ac:dyDescent="0.25">
      <c r="A86" s="10"/>
      <c r="C86" s="22"/>
    </row>
    <row r="87" spans="1:4" x14ac:dyDescent="0.25">
      <c r="A87" s="10">
        <v>42319</v>
      </c>
      <c r="B87" t="s">
        <v>217</v>
      </c>
      <c r="C87" s="22">
        <v>18.64</v>
      </c>
      <c r="D87" s="22">
        <f>SUM(C87)</f>
        <v>18.64</v>
      </c>
    </row>
    <row r="88" spans="1:4" x14ac:dyDescent="0.25">
      <c r="A88" s="10"/>
      <c r="C88" s="22"/>
    </row>
    <row r="89" spans="1:4" x14ac:dyDescent="0.25">
      <c r="A89" s="10">
        <v>42367</v>
      </c>
      <c r="B89" t="s">
        <v>225</v>
      </c>
      <c r="C89" s="22">
        <v>18.07</v>
      </c>
      <c r="D89" s="22">
        <f>SUM(C89)</f>
        <v>18.07</v>
      </c>
    </row>
    <row r="90" spans="1:4" x14ac:dyDescent="0.25">
      <c r="A90" s="10"/>
      <c r="C90" s="22"/>
    </row>
    <row r="91" spans="1:4" x14ac:dyDescent="0.25">
      <c r="A91" s="10">
        <v>42507</v>
      </c>
      <c r="B91" t="s">
        <v>217</v>
      </c>
      <c r="C91" s="22">
        <v>24.86</v>
      </c>
      <c r="D91" s="22">
        <f>SUM(C91)</f>
        <v>24.86</v>
      </c>
    </row>
    <row r="92" spans="1:4" x14ac:dyDescent="0.25">
      <c r="A92" s="10"/>
      <c r="C92" s="22"/>
    </row>
    <row r="93" spans="1:4" x14ac:dyDescent="0.25">
      <c r="A93" s="10">
        <v>42549</v>
      </c>
      <c r="B93" t="s">
        <v>225</v>
      </c>
      <c r="C93" s="22">
        <v>22.24</v>
      </c>
      <c r="D93" s="22">
        <f>SUM(C93)</f>
        <v>22.24</v>
      </c>
    </row>
    <row r="94" spans="1:4" x14ac:dyDescent="0.25">
      <c r="A94" s="10"/>
      <c r="C94" s="22"/>
      <c r="D94" s="22"/>
    </row>
    <row r="95" spans="1:4" x14ac:dyDescent="0.25">
      <c r="A95" s="10">
        <v>42703</v>
      </c>
      <c r="B95" t="s">
        <v>217</v>
      </c>
      <c r="C95" s="22">
        <v>24.85</v>
      </c>
      <c r="D95" s="22">
        <f>SUM(C95)</f>
        <v>24.85</v>
      </c>
    </row>
    <row r="96" spans="1:4" x14ac:dyDescent="0.25">
      <c r="A96" s="10"/>
      <c r="C96" s="22"/>
      <c r="D96" s="22"/>
    </row>
    <row r="97" spans="1:4" x14ac:dyDescent="0.25">
      <c r="A97" s="10">
        <v>42706</v>
      </c>
      <c r="B97" t="s">
        <v>434</v>
      </c>
      <c r="C97" s="22">
        <v>335.91</v>
      </c>
      <c r="D97" s="22"/>
    </row>
    <row r="98" spans="1:4" x14ac:dyDescent="0.25">
      <c r="A98" s="10">
        <v>42709</v>
      </c>
      <c r="B98" t="s">
        <v>435</v>
      </c>
      <c r="C98" s="22">
        <v>48.46</v>
      </c>
      <c r="D98" s="22"/>
    </row>
    <row r="99" spans="1:4" x14ac:dyDescent="0.25">
      <c r="A99" s="10">
        <v>42709</v>
      </c>
      <c r="B99" t="s">
        <v>436</v>
      </c>
      <c r="C99" s="22">
        <v>145.13</v>
      </c>
      <c r="D99" s="22"/>
    </row>
    <row r="100" spans="1:4" x14ac:dyDescent="0.25">
      <c r="A100" s="10">
        <v>42720</v>
      </c>
      <c r="B100" t="s">
        <v>225</v>
      </c>
      <c r="C100" s="22">
        <v>22.19</v>
      </c>
      <c r="D100" s="22"/>
    </row>
    <row r="101" spans="1:4" x14ac:dyDescent="0.25">
      <c r="A101" s="10">
        <v>42720</v>
      </c>
      <c r="B101" t="s">
        <v>219</v>
      </c>
      <c r="C101" s="22">
        <v>28.27</v>
      </c>
      <c r="D101" s="22">
        <f>SUM(C97:C101)</f>
        <v>579.96</v>
      </c>
    </row>
    <row r="102" spans="1:4" x14ac:dyDescent="0.25">
      <c r="A102" s="10"/>
      <c r="C102" s="22"/>
      <c r="D102" s="22"/>
    </row>
    <row r="103" spans="1:4" x14ac:dyDescent="0.25">
      <c r="A103" s="10">
        <v>42737</v>
      </c>
      <c r="B103" t="s">
        <v>437</v>
      </c>
      <c r="C103" s="22">
        <v>13.5</v>
      </c>
      <c r="D103" s="22">
        <f>SUM(C103)</f>
        <v>13.5</v>
      </c>
    </row>
    <row r="104" spans="1:4" x14ac:dyDescent="0.25">
      <c r="A104" s="10"/>
      <c r="C104" s="22"/>
      <c r="D104" s="22"/>
    </row>
    <row r="105" spans="1:4" x14ac:dyDescent="0.25">
      <c r="A105" s="10">
        <v>42782</v>
      </c>
      <c r="B105" t="s">
        <v>438</v>
      </c>
      <c r="C105" s="22">
        <v>113.69</v>
      </c>
      <c r="D105" s="22">
        <f>SUM(C105)</f>
        <v>113.69</v>
      </c>
    </row>
    <row r="106" spans="1:4" x14ac:dyDescent="0.25">
      <c r="A106" s="10"/>
      <c r="C106" s="22"/>
      <c r="D106" s="22"/>
    </row>
    <row r="107" spans="1:4" x14ac:dyDescent="0.25">
      <c r="A107" s="10">
        <v>42797</v>
      </c>
      <c r="B107" t="s">
        <v>439</v>
      </c>
      <c r="C107" s="22">
        <v>36.72</v>
      </c>
    </row>
    <row r="108" spans="1:4" x14ac:dyDescent="0.25">
      <c r="A108" s="10">
        <v>42797</v>
      </c>
      <c r="B108" t="s">
        <v>439</v>
      </c>
      <c r="C108" s="22">
        <v>174.42</v>
      </c>
      <c r="D108" s="22">
        <f>SUM(C107:C108)</f>
        <v>211.14</v>
      </c>
    </row>
    <row r="109" spans="1:4" x14ac:dyDescent="0.25">
      <c r="A109" s="10"/>
    </row>
    <row r="110" spans="1:4" x14ac:dyDescent="0.25">
      <c r="A110" s="10">
        <v>42842</v>
      </c>
      <c r="B110" t="s">
        <v>440</v>
      </c>
      <c r="C110" s="22">
        <v>237.87</v>
      </c>
    </row>
    <row r="111" spans="1:4" x14ac:dyDescent="0.25">
      <c r="A111" s="10">
        <v>42853</v>
      </c>
      <c r="B111" t="s">
        <v>441</v>
      </c>
      <c r="C111" s="22">
        <v>84.93</v>
      </c>
      <c r="D111" s="22">
        <f>SUM(C110:C111)</f>
        <v>322.8</v>
      </c>
    </row>
    <row r="112" spans="1:4" x14ac:dyDescent="0.25">
      <c r="A112" s="10"/>
      <c r="C112" s="22"/>
    </row>
    <row r="113" spans="1:4" x14ac:dyDescent="0.25">
      <c r="A113" s="10">
        <v>42873</v>
      </c>
      <c r="B113" t="s">
        <v>442</v>
      </c>
      <c r="C113" s="22">
        <v>213.09</v>
      </c>
    </row>
    <row r="114" spans="1:4" x14ac:dyDescent="0.25">
      <c r="A114" s="10">
        <v>42880</v>
      </c>
      <c r="B114" t="s">
        <v>443</v>
      </c>
      <c r="C114" s="22">
        <v>66.680000000000007</v>
      </c>
    </row>
    <row r="115" spans="1:4" x14ac:dyDescent="0.25">
      <c r="A115" s="10">
        <v>42880</v>
      </c>
      <c r="B115" t="s">
        <v>443</v>
      </c>
      <c r="C115" s="22">
        <v>257.5</v>
      </c>
    </row>
    <row r="116" spans="1:4" x14ac:dyDescent="0.25">
      <c r="A116" s="10">
        <v>42886</v>
      </c>
      <c r="B116" t="s">
        <v>444</v>
      </c>
      <c r="C116" s="22">
        <v>46.61</v>
      </c>
      <c r="D116" s="22">
        <f>SUM(C113:C116)</f>
        <v>583.88</v>
      </c>
    </row>
    <row r="117" spans="1:4" x14ac:dyDescent="0.25">
      <c r="A117" s="10"/>
      <c r="C117" s="22"/>
    </row>
    <row r="118" spans="1:4" x14ac:dyDescent="0.25">
      <c r="A118" s="10">
        <v>42912</v>
      </c>
      <c r="B118" t="s">
        <v>445</v>
      </c>
      <c r="C118" s="22">
        <v>5.99</v>
      </c>
    </row>
    <row r="119" spans="1:4" x14ac:dyDescent="0.25">
      <c r="A119" s="10">
        <v>42914</v>
      </c>
      <c r="B119" t="s">
        <v>446</v>
      </c>
      <c r="C119" s="22">
        <v>22.67</v>
      </c>
    </row>
    <row r="120" spans="1:4" x14ac:dyDescent="0.25">
      <c r="A120" s="10">
        <v>42916</v>
      </c>
      <c r="B120" t="s">
        <v>447</v>
      </c>
      <c r="C120" s="22">
        <v>128.35</v>
      </c>
    </row>
    <row r="121" spans="1:4" x14ac:dyDescent="0.25">
      <c r="A121" s="10">
        <v>42916</v>
      </c>
      <c r="B121" t="s">
        <v>448</v>
      </c>
      <c r="C121" s="22">
        <v>290.22000000000003</v>
      </c>
    </row>
    <row r="122" spans="1:4" x14ac:dyDescent="0.25">
      <c r="A122" s="10">
        <v>42916</v>
      </c>
      <c r="B122" t="s">
        <v>449</v>
      </c>
      <c r="C122" s="22">
        <v>125.16</v>
      </c>
      <c r="D122" s="22">
        <f>SUM(C118:C122)</f>
        <v>572.39</v>
      </c>
    </row>
    <row r="123" spans="1:4" x14ac:dyDescent="0.25">
      <c r="A123" s="10"/>
      <c r="C123" s="22"/>
      <c r="D123" s="22"/>
    </row>
    <row r="124" spans="1:4" x14ac:dyDescent="0.25">
      <c r="A124" s="10">
        <v>42964</v>
      </c>
      <c r="B124" t="s">
        <v>444</v>
      </c>
      <c r="C124" s="22">
        <v>31</v>
      </c>
    </row>
    <row r="125" spans="1:4" x14ac:dyDescent="0.25">
      <c r="A125" s="10">
        <v>42972</v>
      </c>
      <c r="B125" t="s">
        <v>450</v>
      </c>
      <c r="C125" s="22">
        <v>40.29</v>
      </c>
      <c r="D125" s="22">
        <f>SUM(C124:C125)</f>
        <v>71.289999999999992</v>
      </c>
    </row>
    <row r="126" spans="1:4" x14ac:dyDescent="0.25">
      <c r="A126" s="10"/>
      <c r="C126" s="22"/>
      <c r="D126" s="22"/>
    </row>
    <row r="127" spans="1:4" x14ac:dyDescent="0.25">
      <c r="A127" s="10">
        <v>43003</v>
      </c>
      <c r="B127" t="s">
        <v>443</v>
      </c>
      <c r="C127" s="22">
        <v>197.8</v>
      </c>
      <c r="D127" s="22">
        <f>C127</f>
        <v>197.8</v>
      </c>
    </row>
    <row r="128" spans="1:4" x14ac:dyDescent="0.25">
      <c r="A128" s="10"/>
      <c r="C128" s="22"/>
    </row>
    <row r="129" spans="1:4" x14ac:dyDescent="0.25">
      <c r="A129" s="10">
        <v>43018</v>
      </c>
      <c r="B129" t="s">
        <v>451</v>
      </c>
      <c r="C129" s="22">
        <v>827.93</v>
      </c>
      <c r="D129" s="22"/>
    </row>
    <row r="130" spans="1:4" x14ac:dyDescent="0.25">
      <c r="A130" s="10">
        <v>43033</v>
      </c>
      <c r="B130" t="s">
        <v>444</v>
      </c>
      <c r="C130" s="22">
        <v>30.89</v>
      </c>
      <c r="D130" s="22">
        <f>SUM(C129:C130)</f>
        <v>858.81999999999994</v>
      </c>
    </row>
    <row r="131" spans="1:4" x14ac:dyDescent="0.25">
      <c r="A131" s="10"/>
      <c r="C131" s="22"/>
      <c r="D131" s="22"/>
    </row>
    <row r="132" spans="1:4" x14ac:dyDescent="0.25">
      <c r="A132" s="10">
        <v>43068</v>
      </c>
      <c r="B132" t="s">
        <v>452</v>
      </c>
      <c r="C132" s="22">
        <v>51.62</v>
      </c>
      <c r="D132" s="22"/>
    </row>
    <row r="133" spans="1:4" x14ac:dyDescent="0.25">
      <c r="A133" s="10">
        <v>43068</v>
      </c>
      <c r="B133" t="s">
        <v>453</v>
      </c>
      <c r="C133" s="22">
        <v>47.36</v>
      </c>
      <c r="D133" s="22"/>
    </row>
    <row r="134" spans="1:4" x14ac:dyDescent="0.25">
      <c r="A134" s="10">
        <v>43069</v>
      </c>
      <c r="B134" t="s">
        <v>443</v>
      </c>
      <c r="C134" s="22">
        <v>8.5299999999999994</v>
      </c>
      <c r="D134" s="22"/>
    </row>
    <row r="135" spans="1:4" x14ac:dyDescent="0.25">
      <c r="A135" s="10">
        <v>43069</v>
      </c>
      <c r="B135" t="s">
        <v>454</v>
      </c>
      <c r="C135" s="22">
        <v>61.15</v>
      </c>
      <c r="D135" s="22">
        <f>SUM(C132:C135)</f>
        <v>168.66</v>
      </c>
    </row>
    <row r="136" spans="1:4" x14ac:dyDescent="0.25">
      <c r="A136" s="10"/>
      <c r="C136" s="22"/>
      <c r="D136" s="22"/>
    </row>
    <row r="137" spans="1:4" x14ac:dyDescent="0.25">
      <c r="A137" s="10">
        <v>43070</v>
      </c>
      <c r="B137" t="s">
        <v>455</v>
      </c>
      <c r="C137" s="22">
        <v>27</v>
      </c>
      <c r="D137" s="22"/>
    </row>
    <row r="138" spans="1:4" x14ac:dyDescent="0.25">
      <c r="A138" s="10">
        <v>43070</v>
      </c>
      <c r="B138" t="s">
        <v>456</v>
      </c>
      <c r="C138" s="22">
        <v>12</v>
      </c>
      <c r="D138" s="22"/>
    </row>
    <row r="139" spans="1:4" x14ac:dyDescent="0.25">
      <c r="A139" s="10">
        <v>43097</v>
      </c>
      <c r="B139" t="s">
        <v>453</v>
      </c>
      <c r="C139" s="22">
        <v>91.9</v>
      </c>
    </row>
    <row r="140" spans="1:4" x14ac:dyDescent="0.25">
      <c r="A140" s="10">
        <v>43097</v>
      </c>
      <c r="B140" t="s">
        <v>447</v>
      </c>
      <c r="C140" s="22">
        <v>128.35</v>
      </c>
      <c r="D140" s="22">
        <f>SUM(C137:C140)</f>
        <v>259.25</v>
      </c>
    </row>
    <row r="141" spans="1:4" x14ac:dyDescent="0.25">
      <c r="A141" s="10"/>
      <c r="C141" s="22"/>
      <c r="D141" s="22"/>
    </row>
    <row r="142" spans="1:4" x14ac:dyDescent="0.25">
      <c r="A142" s="10">
        <v>43110</v>
      </c>
      <c r="B142" t="s">
        <v>454</v>
      </c>
      <c r="C142" s="22">
        <v>20.399999999999999</v>
      </c>
      <c r="D142" s="22">
        <f>SUM(C142:C142)</f>
        <v>20.399999999999999</v>
      </c>
    </row>
    <row r="143" spans="1:4" x14ac:dyDescent="0.25">
      <c r="A143" s="10"/>
      <c r="C143" s="22"/>
      <c r="D143" s="22"/>
    </row>
    <row r="144" spans="1:4" x14ac:dyDescent="0.25">
      <c r="A144" s="10">
        <v>43215</v>
      </c>
      <c r="B144" t="s">
        <v>457</v>
      </c>
      <c r="C144" s="22">
        <v>60.6</v>
      </c>
      <c r="D144" s="22">
        <f>C144</f>
        <v>60.6</v>
      </c>
    </row>
    <row r="145" spans="1:4" x14ac:dyDescent="0.25">
      <c r="A145" s="10"/>
      <c r="C145" s="22"/>
      <c r="D145" s="22"/>
    </row>
    <row r="146" spans="1:4" x14ac:dyDescent="0.25">
      <c r="A146" s="10">
        <v>43231</v>
      </c>
      <c r="B146" t="s">
        <v>452</v>
      </c>
      <c r="C146" s="22">
        <v>184.99</v>
      </c>
      <c r="D146" s="22"/>
    </row>
    <row r="147" spans="1:4" x14ac:dyDescent="0.25">
      <c r="A147" s="10">
        <v>43243</v>
      </c>
      <c r="B147" t="s">
        <v>452</v>
      </c>
      <c r="C147" s="22">
        <v>218.38</v>
      </c>
    </row>
    <row r="148" spans="1:4" x14ac:dyDescent="0.25">
      <c r="A148" s="10">
        <v>43243</v>
      </c>
      <c r="B148" t="s">
        <v>453</v>
      </c>
      <c r="C148" s="22">
        <v>64.900000000000006</v>
      </c>
      <c r="D148" s="22"/>
    </row>
    <row r="149" spans="1:4" x14ac:dyDescent="0.25">
      <c r="A149" s="10">
        <v>43249</v>
      </c>
      <c r="B149" t="s">
        <v>458</v>
      </c>
      <c r="C149" s="22">
        <v>21.25</v>
      </c>
      <c r="D149" s="22">
        <f>SUM(C146:C149)</f>
        <v>489.52</v>
      </c>
    </row>
    <row r="150" spans="1:4" x14ac:dyDescent="0.25">
      <c r="A150" s="10"/>
      <c r="C150" s="22"/>
      <c r="D150" s="22"/>
    </row>
    <row r="151" spans="1:4" x14ac:dyDescent="0.25">
      <c r="A151" s="10">
        <v>43276</v>
      </c>
      <c r="B151" t="s">
        <v>459</v>
      </c>
      <c r="C151" s="22">
        <v>194.3</v>
      </c>
      <c r="D151" s="22"/>
    </row>
    <row r="152" spans="1:4" x14ac:dyDescent="0.25">
      <c r="A152" s="10">
        <v>43276</v>
      </c>
      <c r="B152" t="s">
        <v>459</v>
      </c>
      <c r="C152" s="22">
        <v>194.4</v>
      </c>
      <c r="D152" s="22"/>
    </row>
    <row r="153" spans="1:4" x14ac:dyDescent="0.25">
      <c r="A153" s="10">
        <v>43276</v>
      </c>
      <c r="B153" t="s">
        <v>445</v>
      </c>
      <c r="C153" s="22">
        <v>9.35</v>
      </c>
      <c r="D153" s="22"/>
    </row>
    <row r="154" spans="1:4" x14ac:dyDescent="0.25">
      <c r="A154" s="10">
        <v>43276</v>
      </c>
      <c r="B154" t="s">
        <v>460</v>
      </c>
      <c r="C154" s="22">
        <v>32.74</v>
      </c>
      <c r="D154" s="22"/>
    </row>
    <row r="155" spans="1:4" x14ac:dyDescent="0.25">
      <c r="A155" s="10">
        <v>43279</v>
      </c>
      <c r="B155" t="s">
        <v>448</v>
      </c>
      <c r="C155" s="22">
        <v>22.83</v>
      </c>
      <c r="D155" s="22">
        <f>SUM(C151:C155)</f>
        <v>453.62000000000006</v>
      </c>
    </row>
    <row r="156" spans="1:4" x14ac:dyDescent="0.25">
      <c r="A156" s="10"/>
      <c r="C156" s="22"/>
      <c r="D156" s="22"/>
    </row>
    <row r="157" spans="1:4" x14ac:dyDescent="0.25">
      <c r="A157" s="10">
        <v>43306</v>
      </c>
      <c r="B157" t="s">
        <v>443</v>
      </c>
      <c r="C157" s="22">
        <v>92.08</v>
      </c>
      <c r="D157" s="22"/>
    </row>
    <row r="158" spans="1:4" x14ac:dyDescent="0.25">
      <c r="A158" s="10">
        <v>43306</v>
      </c>
      <c r="B158" t="s">
        <v>443</v>
      </c>
      <c r="C158" s="22">
        <v>132.88</v>
      </c>
      <c r="D158" s="22">
        <f>SUM(C157:C158)</f>
        <v>224.95999999999998</v>
      </c>
    </row>
    <row r="159" spans="1:4" x14ac:dyDescent="0.25">
      <c r="A159" s="10"/>
      <c r="C159" s="22"/>
      <c r="D159" s="22"/>
    </row>
    <row r="160" spans="1:4" x14ac:dyDescent="0.25">
      <c r="A160" s="10">
        <v>43332</v>
      </c>
      <c r="B160" t="s">
        <v>453</v>
      </c>
      <c r="C160" s="22">
        <v>71.569999999999993</v>
      </c>
      <c r="D160" s="22"/>
    </row>
    <row r="161" spans="1:4" x14ac:dyDescent="0.25">
      <c r="A161" s="10">
        <v>43332</v>
      </c>
      <c r="B161" t="s">
        <v>452</v>
      </c>
      <c r="C161" s="22">
        <v>106.61</v>
      </c>
    </row>
    <row r="162" spans="1:4" x14ac:dyDescent="0.25">
      <c r="A162" s="10">
        <v>43335</v>
      </c>
      <c r="B162" t="s">
        <v>458</v>
      </c>
      <c r="C162" s="22">
        <v>21.25</v>
      </c>
      <c r="D162" s="22">
        <f>SUM(C160:C162)</f>
        <v>199.43</v>
      </c>
    </row>
    <row r="163" spans="1:4" x14ac:dyDescent="0.25">
      <c r="A163" s="10"/>
      <c r="C163" s="22"/>
      <c r="D163" s="22"/>
    </row>
    <row r="164" spans="1:4" x14ac:dyDescent="0.25">
      <c r="A164" s="10">
        <v>43383</v>
      </c>
      <c r="B164" t="s">
        <v>443</v>
      </c>
      <c r="C164" s="22">
        <v>200.29</v>
      </c>
      <c r="D164" s="22">
        <f>SUM(C164:C164)</f>
        <v>200.29</v>
      </c>
    </row>
    <row r="165" spans="1:4" x14ac:dyDescent="0.25">
      <c r="A165" s="10"/>
      <c r="C165" s="22"/>
      <c r="D165" s="22"/>
    </row>
    <row r="166" spans="1:4" x14ac:dyDescent="0.25">
      <c r="A166" s="10">
        <v>43426</v>
      </c>
      <c r="B166" t="s">
        <v>452</v>
      </c>
      <c r="C166" s="22">
        <v>284.62</v>
      </c>
    </row>
    <row r="167" spans="1:4" x14ac:dyDescent="0.25">
      <c r="A167" s="10">
        <v>43426</v>
      </c>
      <c r="B167" t="s">
        <v>443</v>
      </c>
      <c r="C167" s="22">
        <v>76.069999999999993</v>
      </c>
      <c r="D167" s="22">
        <f>SUM(C166:C167)</f>
        <v>360.69</v>
      </c>
    </row>
    <row r="168" spans="1:4" x14ac:dyDescent="0.25">
      <c r="A168" s="10"/>
      <c r="C168" s="22"/>
      <c r="D168" s="22"/>
    </row>
    <row r="169" spans="1:4" x14ac:dyDescent="0.25">
      <c r="A169" s="10">
        <v>43437</v>
      </c>
      <c r="B169" t="s">
        <v>458</v>
      </c>
      <c r="C169" s="22">
        <v>42.5</v>
      </c>
      <c r="D169" s="22"/>
    </row>
    <row r="170" spans="1:4" x14ac:dyDescent="0.25">
      <c r="A170" s="10">
        <v>43453</v>
      </c>
      <c r="B170" t="s">
        <v>461</v>
      </c>
      <c r="C170" s="22">
        <v>1.72</v>
      </c>
      <c r="D170" s="22"/>
    </row>
    <row r="171" spans="1:4" x14ac:dyDescent="0.25">
      <c r="A171" s="10">
        <v>43462</v>
      </c>
      <c r="B171" t="s">
        <v>462</v>
      </c>
      <c r="C171" s="22">
        <v>450.25</v>
      </c>
    </row>
    <row r="172" spans="1:4" x14ac:dyDescent="0.25">
      <c r="A172" s="10">
        <v>43462</v>
      </c>
      <c r="B172" t="s">
        <v>453</v>
      </c>
      <c r="C172" s="22">
        <v>135.76</v>
      </c>
      <c r="D172" s="22">
        <f>SUM(C169:C172)</f>
        <v>630.23</v>
      </c>
    </row>
    <row r="174" spans="1:4" x14ac:dyDescent="0.25">
      <c r="A174" s="10">
        <v>43503</v>
      </c>
      <c r="B174" t="s">
        <v>463</v>
      </c>
      <c r="C174" s="22">
        <v>6.68</v>
      </c>
      <c r="D174" s="22">
        <f>SUM(C174:C174)</f>
        <v>6.68</v>
      </c>
    </row>
    <row r="176" spans="1:4" x14ac:dyDescent="0.25">
      <c r="A176" s="10">
        <v>43599</v>
      </c>
      <c r="B176" t="s">
        <v>452</v>
      </c>
      <c r="C176" s="22">
        <v>66.38</v>
      </c>
    </row>
    <row r="177" spans="1:8" x14ac:dyDescent="0.25">
      <c r="A177" s="10">
        <v>43605</v>
      </c>
      <c r="B177" t="s">
        <v>464</v>
      </c>
      <c r="C177" s="22">
        <v>6.42</v>
      </c>
    </row>
    <row r="178" spans="1:8" x14ac:dyDescent="0.25">
      <c r="A178" s="10">
        <v>43605</v>
      </c>
      <c r="B178" t="s">
        <v>464</v>
      </c>
      <c r="C178" s="22">
        <v>0.18</v>
      </c>
    </row>
    <row r="179" spans="1:8" x14ac:dyDescent="0.25">
      <c r="A179" s="10">
        <v>43605</v>
      </c>
      <c r="B179" t="s">
        <v>458</v>
      </c>
      <c r="C179" s="22">
        <v>297.5</v>
      </c>
      <c r="H179" s="22"/>
    </row>
    <row r="180" spans="1:8" x14ac:dyDescent="0.25">
      <c r="A180" s="10">
        <v>43605</v>
      </c>
      <c r="B180" t="s">
        <v>465</v>
      </c>
      <c r="C180" s="22">
        <v>9.52</v>
      </c>
      <c r="H180" s="22"/>
    </row>
    <row r="181" spans="1:8" x14ac:dyDescent="0.25">
      <c r="A181" s="10">
        <v>43613</v>
      </c>
      <c r="B181" t="s">
        <v>452</v>
      </c>
      <c r="C181" s="22">
        <v>21.91</v>
      </c>
      <c r="H181" s="22"/>
    </row>
    <row r="182" spans="1:8" x14ac:dyDescent="0.25">
      <c r="A182" s="10">
        <v>43613</v>
      </c>
      <c r="B182" t="s">
        <v>453</v>
      </c>
      <c r="C182" s="22">
        <v>76.86</v>
      </c>
      <c r="D182" s="22">
        <f>SUM(C176:C182)</f>
        <v>478.77000000000004</v>
      </c>
      <c r="H182" s="22"/>
    </row>
    <row r="183" spans="1:8" x14ac:dyDescent="0.25">
      <c r="H183" s="22"/>
    </row>
    <row r="184" spans="1:8" x14ac:dyDescent="0.25">
      <c r="A184" s="10">
        <v>43637</v>
      </c>
      <c r="B184" t="s">
        <v>466</v>
      </c>
      <c r="C184" s="22">
        <v>140</v>
      </c>
      <c r="H184" s="38"/>
    </row>
    <row r="185" spans="1:8" x14ac:dyDescent="0.25">
      <c r="A185" s="10">
        <v>43637</v>
      </c>
      <c r="B185" t="s">
        <v>459</v>
      </c>
      <c r="C185" s="22">
        <v>194.03</v>
      </c>
    </row>
    <row r="186" spans="1:8" x14ac:dyDescent="0.25">
      <c r="A186" s="10">
        <v>43637</v>
      </c>
      <c r="B186" t="s">
        <v>459</v>
      </c>
      <c r="C186" s="22">
        <v>203.21</v>
      </c>
    </row>
    <row r="187" spans="1:8" x14ac:dyDescent="0.25">
      <c r="A187" s="10">
        <v>43644</v>
      </c>
      <c r="B187" t="s">
        <v>467</v>
      </c>
      <c r="C187" s="22">
        <v>55.08</v>
      </c>
      <c r="D187" s="22">
        <f>SUM(C184:C187)</f>
        <v>592.32000000000005</v>
      </c>
    </row>
    <row r="189" spans="1:8" x14ac:dyDescent="0.25">
      <c r="A189" s="10">
        <v>43651</v>
      </c>
      <c r="B189" t="s">
        <v>458</v>
      </c>
      <c r="C189" s="22">
        <v>42.5</v>
      </c>
    </row>
    <row r="190" spans="1:8" x14ac:dyDescent="0.25">
      <c r="A190" s="10">
        <v>43670</v>
      </c>
      <c r="B190" t="s">
        <v>454</v>
      </c>
      <c r="C190" s="22">
        <v>77.760000000000005</v>
      </c>
    </row>
    <row r="191" spans="1:8" x14ac:dyDescent="0.25">
      <c r="A191" s="10">
        <v>43670</v>
      </c>
      <c r="B191" t="s">
        <v>468</v>
      </c>
      <c r="C191" s="22">
        <v>122.64</v>
      </c>
    </row>
    <row r="192" spans="1:8" x14ac:dyDescent="0.25">
      <c r="A192" s="10">
        <v>43670</v>
      </c>
      <c r="B192" t="s">
        <v>468</v>
      </c>
      <c r="C192" s="22">
        <v>151.84</v>
      </c>
      <c r="D192" s="22">
        <f>SUM(C189:C192)</f>
        <v>394.74</v>
      </c>
    </row>
    <row r="194" spans="1:5" x14ac:dyDescent="0.25">
      <c r="A194" s="10">
        <v>43696</v>
      </c>
      <c r="B194" t="s">
        <v>453</v>
      </c>
      <c r="C194" s="22">
        <v>67.81</v>
      </c>
    </row>
    <row r="195" spans="1:5" x14ac:dyDescent="0.25">
      <c r="A195" s="10">
        <v>43696</v>
      </c>
      <c r="B195" t="s">
        <v>452</v>
      </c>
      <c r="C195" s="22">
        <v>209.02</v>
      </c>
      <c r="D195" s="22">
        <f>SUM(C194:C195)</f>
        <v>276.83000000000004</v>
      </c>
    </row>
    <row r="197" spans="1:5" x14ac:dyDescent="0.25">
      <c r="A197" s="10">
        <v>43742</v>
      </c>
      <c r="B197" t="s">
        <v>458</v>
      </c>
      <c r="C197" s="22">
        <v>85</v>
      </c>
    </row>
    <row r="198" spans="1:5" x14ac:dyDescent="0.25">
      <c r="A198" s="10">
        <v>43761</v>
      </c>
      <c r="B198" t="s">
        <v>468</v>
      </c>
      <c r="C198" s="22">
        <v>68</v>
      </c>
      <c r="D198" s="22">
        <f>SUM(C197:C198)</f>
        <v>153</v>
      </c>
    </row>
    <row r="199" spans="1:5" x14ac:dyDescent="0.25">
      <c r="A199" s="10"/>
      <c r="C199" s="22"/>
      <c r="D199" s="22"/>
    </row>
    <row r="200" spans="1:5" x14ac:dyDescent="0.25">
      <c r="A200" s="10">
        <v>43783</v>
      </c>
      <c r="B200" t="s">
        <v>469</v>
      </c>
      <c r="C200" s="22">
        <v>0.13</v>
      </c>
      <c r="E200" s="22"/>
    </row>
    <row r="201" spans="1:5" x14ac:dyDescent="0.25">
      <c r="A201" s="10">
        <v>43783</v>
      </c>
      <c r="B201" t="s">
        <v>470</v>
      </c>
      <c r="C201" s="22">
        <v>0.55000000000000004</v>
      </c>
      <c r="E201" s="22"/>
    </row>
    <row r="202" spans="1:5" x14ac:dyDescent="0.25">
      <c r="A202" s="10">
        <v>43783</v>
      </c>
      <c r="B202" t="s">
        <v>470</v>
      </c>
      <c r="C202" s="22">
        <v>5.59</v>
      </c>
      <c r="E202" s="22"/>
    </row>
    <row r="203" spans="1:5" x14ac:dyDescent="0.25">
      <c r="A203" s="10">
        <v>43791</v>
      </c>
      <c r="B203" t="s">
        <v>468</v>
      </c>
      <c r="C203" s="22">
        <v>202.67</v>
      </c>
      <c r="E203" s="22"/>
    </row>
    <row r="204" spans="1:5" x14ac:dyDescent="0.25">
      <c r="A204" s="10">
        <v>43798</v>
      </c>
      <c r="B204" t="s">
        <v>453</v>
      </c>
      <c r="C204" s="22">
        <v>64.540000000000006</v>
      </c>
      <c r="E204" s="22"/>
    </row>
    <row r="205" spans="1:5" x14ac:dyDescent="0.25">
      <c r="A205" s="10">
        <v>43798</v>
      </c>
      <c r="B205" t="s">
        <v>452</v>
      </c>
      <c r="C205" s="22">
        <v>140.66999999999999</v>
      </c>
      <c r="D205" s="22">
        <f>SUM(C200:C205)</f>
        <v>414.15</v>
      </c>
      <c r="E205" s="22"/>
    </row>
    <row r="206" spans="1:5" x14ac:dyDescent="0.25">
      <c r="A206" s="10"/>
      <c r="C206" s="22"/>
      <c r="D206" s="22"/>
      <c r="E206" s="22"/>
    </row>
    <row r="207" spans="1:5" x14ac:dyDescent="0.25">
      <c r="A207" s="10">
        <v>43826</v>
      </c>
      <c r="B207" t="s">
        <v>462</v>
      </c>
      <c r="C207" s="22">
        <v>405.71</v>
      </c>
      <c r="E207" s="22"/>
    </row>
    <row r="208" spans="1:5" x14ac:dyDescent="0.25">
      <c r="A208" s="10">
        <v>43826</v>
      </c>
      <c r="B208" t="s">
        <v>467</v>
      </c>
      <c r="C208" s="22">
        <v>55.08</v>
      </c>
      <c r="E208" s="22"/>
    </row>
    <row r="209" spans="1:5" x14ac:dyDescent="0.25">
      <c r="A209" s="10">
        <v>43826</v>
      </c>
      <c r="B209" t="s">
        <v>453</v>
      </c>
      <c r="C209" s="22">
        <v>61.34</v>
      </c>
      <c r="D209" s="22">
        <f>SUM(C207:C209)</f>
        <v>522.13</v>
      </c>
      <c r="E209" s="22"/>
    </row>
    <row r="210" spans="1:5" x14ac:dyDescent="0.25">
      <c r="A210" s="10"/>
      <c r="C210" s="22"/>
      <c r="E210" s="22"/>
    </row>
    <row r="211" spans="1:5" x14ac:dyDescent="0.25">
      <c r="A211" s="10">
        <v>43868</v>
      </c>
      <c r="B211" t="s">
        <v>458</v>
      </c>
      <c r="C211" s="22">
        <v>85</v>
      </c>
      <c r="E211" s="22"/>
    </row>
    <row r="212" spans="1:5" x14ac:dyDescent="0.25">
      <c r="A212" s="10">
        <v>43868</v>
      </c>
      <c r="B212" t="s">
        <v>458</v>
      </c>
      <c r="C212" s="22">
        <v>178.5</v>
      </c>
      <c r="E212" s="22"/>
    </row>
    <row r="213" spans="1:5" x14ac:dyDescent="0.25">
      <c r="A213" s="10">
        <v>43868</v>
      </c>
      <c r="B213" t="s">
        <v>471</v>
      </c>
      <c r="C213" s="22">
        <v>0.36</v>
      </c>
      <c r="E213" s="22"/>
    </row>
    <row r="214" spans="1:5" x14ac:dyDescent="0.25">
      <c r="A214" s="10">
        <v>43868</v>
      </c>
      <c r="B214" t="s">
        <v>471</v>
      </c>
      <c r="C214" s="22">
        <v>0.76</v>
      </c>
      <c r="D214" s="22">
        <f>SUM(C211:C214)</f>
        <v>264.62</v>
      </c>
    </row>
    <row r="215" spans="1:5" x14ac:dyDescent="0.25">
      <c r="A215" s="10"/>
      <c r="C215" s="22"/>
      <c r="E215" s="22"/>
    </row>
    <row r="216" spans="1:5" x14ac:dyDescent="0.25">
      <c r="A216" s="10">
        <v>43966</v>
      </c>
      <c r="B216" t="s">
        <v>472</v>
      </c>
      <c r="C216" s="22">
        <v>107.56</v>
      </c>
      <c r="E216" s="22"/>
    </row>
    <row r="217" spans="1:5" x14ac:dyDescent="0.25">
      <c r="A217" s="10">
        <v>43971</v>
      </c>
      <c r="B217" t="s">
        <v>473</v>
      </c>
      <c r="C217" s="22">
        <v>223.52</v>
      </c>
      <c r="E217" s="22"/>
    </row>
    <row r="218" spans="1:5" x14ac:dyDescent="0.25">
      <c r="A218" s="10">
        <v>43979</v>
      </c>
      <c r="B218" t="s">
        <v>472</v>
      </c>
      <c r="C218" s="22">
        <v>314.26</v>
      </c>
      <c r="E218" s="22"/>
    </row>
    <row r="219" spans="1:5" x14ac:dyDescent="0.25">
      <c r="A219" s="10">
        <v>43979</v>
      </c>
      <c r="B219" t="s">
        <v>474</v>
      </c>
      <c r="C219" s="22">
        <v>90.72</v>
      </c>
      <c r="D219" s="22">
        <f>SUM(C216:C219)</f>
        <v>736.06000000000006</v>
      </c>
    </row>
    <row r="220" spans="1:5" x14ac:dyDescent="0.25">
      <c r="A220" s="10"/>
      <c r="C220" s="22"/>
      <c r="E220" s="22"/>
    </row>
    <row r="221" spans="1:5" x14ac:dyDescent="0.25">
      <c r="A221" s="10">
        <v>44004</v>
      </c>
      <c r="B221" t="s">
        <v>459</v>
      </c>
      <c r="C221" s="22">
        <v>190.32</v>
      </c>
      <c r="E221" s="22"/>
    </row>
    <row r="222" spans="1:5" x14ac:dyDescent="0.25">
      <c r="A222" s="10">
        <v>44004</v>
      </c>
      <c r="B222" t="s">
        <v>459</v>
      </c>
      <c r="C222" s="22">
        <v>212.15</v>
      </c>
      <c r="D222" s="22">
        <f>SUM(C221:C222)</f>
        <v>402.47</v>
      </c>
      <c r="E222" s="22"/>
    </row>
    <row r="223" spans="1:5" x14ac:dyDescent="0.25">
      <c r="A223" s="10"/>
      <c r="C223" s="22"/>
      <c r="D223" s="22"/>
      <c r="E223" s="22"/>
    </row>
    <row r="224" spans="1:5" x14ac:dyDescent="0.25">
      <c r="A224" s="10">
        <v>44069</v>
      </c>
      <c r="B224" t="s">
        <v>475</v>
      </c>
      <c r="C224" s="22">
        <v>384.1</v>
      </c>
    </row>
    <row r="225" spans="1:4" x14ac:dyDescent="0.25">
      <c r="A225" s="10">
        <v>44069</v>
      </c>
      <c r="B225" t="s">
        <v>476</v>
      </c>
      <c r="C225" s="22">
        <v>346.82</v>
      </c>
    </row>
    <row r="226" spans="1:4" x14ac:dyDescent="0.25">
      <c r="A226" s="10">
        <v>44069</v>
      </c>
      <c r="B226" t="s">
        <v>477</v>
      </c>
      <c r="C226" s="22">
        <v>86.99</v>
      </c>
    </row>
    <row r="227" spans="1:4" x14ac:dyDescent="0.25">
      <c r="A227" s="10">
        <v>44069</v>
      </c>
      <c r="B227" t="s">
        <v>478</v>
      </c>
      <c r="C227" s="22">
        <v>71.89</v>
      </c>
    </row>
    <row r="228" spans="1:4" x14ac:dyDescent="0.25">
      <c r="A228" s="10">
        <v>44074</v>
      </c>
      <c r="B228" t="s">
        <v>479</v>
      </c>
      <c r="C228" s="22">
        <v>0.49</v>
      </c>
    </row>
    <row r="229" spans="1:4" x14ac:dyDescent="0.25">
      <c r="A229" s="10">
        <v>44074</v>
      </c>
      <c r="B229" t="s">
        <v>480</v>
      </c>
      <c r="C229" s="22">
        <v>149.81</v>
      </c>
      <c r="D229" s="22">
        <f>SUM(C224:C229)</f>
        <v>1040.1000000000001</v>
      </c>
    </row>
    <row r="230" spans="1:4" x14ac:dyDescent="0.25">
      <c r="A230" s="10"/>
      <c r="C230" s="22"/>
    </row>
    <row r="231" spans="1:4" x14ac:dyDescent="0.25">
      <c r="A231" s="10">
        <v>44097</v>
      </c>
      <c r="B231" t="s">
        <v>476</v>
      </c>
      <c r="C231" s="22">
        <v>472.84</v>
      </c>
    </row>
    <row r="232" spans="1:4" x14ac:dyDescent="0.25">
      <c r="A232" s="10">
        <v>44104</v>
      </c>
      <c r="B232" t="s">
        <v>480</v>
      </c>
      <c r="C232" s="22">
        <v>34.97</v>
      </c>
      <c r="D232" s="22">
        <f>SUM(C231:C232)</f>
        <v>507.80999999999995</v>
      </c>
    </row>
    <row r="233" spans="1:4" x14ac:dyDescent="0.25">
      <c r="A233" s="10"/>
      <c r="C233" s="22"/>
    </row>
    <row r="234" spans="1:4" x14ac:dyDescent="0.25">
      <c r="A234" s="10">
        <v>44160</v>
      </c>
      <c r="B234" t="s">
        <v>476</v>
      </c>
      <c r="C234" s="22">
        <v>231.75</v>
      </c>
    </row>
    <row r="235" spans="1:4" x14ac:dyDescent="0.25">
      <c r="A235" s="10">
        <v>44162</v>
      </c>
      <c r="B235" t="s">
        <v>480</v>
      </c>
      <c r="C235" s="22">
        <v>66.22</v>
      </c>
      <c r="D235" s="22">
        <f>SUM(C234:C235)</f>
        <v>297.97000000000003</v>
      </c>
    </row>
    <row r="236" spans="1:4" x14ac:dyDescent="0.25">
      <c r="A236" s="10"/>
      <c r="C236" s="22"/>
    </row>
    <row r="237" spans="1:4" x14ac:dyDescent="0.25">
      <c r="A237" s="10">
        <v>44180</v>
      </c>
      <c r="B237" t="s">
        <v>481</v>
      </c>
      <c r="C237" s="22">
        <v>0.44</v>
      </c>
    </row>
    <row r="238" spans="1:4" x14ac:dyDescent="0.25">
      <c r="A238" s="10">
        <v>44180</v>
      </c>
      <c r="B238" t="s">
        <v>482</v>
      </c>
      <c r="C238" s="22">
        <v>0.01</v>
      </c>
    </row>
    <row r="239" spans="1:4" x14ac:dyDescent="0.25">
      <c r="A239" s="10">
        <v>44195</v>
      </c>
      <c r="B239" t="s">
        <v>483</v>
      </c>
      <c r="C239" s="22">
        <v>224.77</v>
      </c>
    </row>
    <row r="240" spans="1:4" x14ac:dyDescent="0.25">
      <c r="A240" s="10">
        <v>44195</v>
      </c>
      <c r="B240" t="s">
        <v>484</v>
      </c>
      <c r="C240" s="22">
        <v>0.22</v>
      </c>
    </row>
    <row r="241" spans="1:6" x14ac:dyDescent="0.25">
      <c r="A241" s="10">
        <v>44195</v>
      </c>
      <c r="B241" t="s">
        <v>480</v>
      </c>
      <c r="C241" s="22">
        <v>39.78</v>
      </c>
    </row>
    <row r="242" spans="1:6" x14ac:dyDescent="0.25">
      <c r="A242" s="10">
        <v>44195</v>
      </c>
      <c r="B242" t="s">
        <v>485</v>
      </c>
      <c r="C242" s="22">
        <v>104.93</v>
      </c>
    </row>
    <row r="243" spans="1:6" x14ac:dyDescent="0.25">
      <c r="A243" s="10">
        <v>44195</v>
      </c>
      <c r="B243" t="s">
        <v>485</v>
      </c>
      <c r="C243" s="22">
        <v>104.93</v>
      </c>
      <c r="D243" s="22">
        <f>SUM(C237:C243)</f>
        <v>475.08000000000004</v>
      </c>
    </row>
    <row r="244" spans="1:6" x14ac:dyDescent="0.25">
      <c r="C244" s="38"/>
    </row>
    <row r="245" spans="1:6" x14ac:dyDescent="0.25">
      <c r="A245" s="10">
        <v>44258</v>
      </c>
      <c r="B245" t="s">
        <v>480</v>
      </c>
      <c r="C245" s="22">
        <v>147.74</v>
      </c>
      <c r="D245" s="22"/>
      <c r="E245" s="22"/>
      <c r="F245" s="22"/>
    </row>
    <row r="246" spans="1:6" x14ac:dyDescent="0.25">
      <c r="A246" s="10">
        <v>44258</v>
      </c>
      <c r="B246" t="s">
        <v>479</v>
      </c>
      <c r="C246" s="22">
        <v>0.42</v>
      </c>
      <c r="D246" s="22"/>
    </row>
    <row r="247" spans="1:6" x14ac:dyDescent="0.25">
      <c r="A247" s="10">
        <v>44286</v>
      </c>
      <c r="B247" t="s">
        <v>480</v>
      </c>
      <c r="C247" s="22">
        <v>49.54</v>
      </c>
      <c r="D247" s="22">
        <f>SUM(C245:C247)</f>
        <v>197.7</v>
      </c>
    </row>
    <row r="249" spans="1:6" x14ac:dyDescent="0.25">
      <c r="A249" s="10">
        <v>44315</v>
      </c>
      <c r="B249" t="s">
        <v>481</v>
      </c>
      <c r="C249" s="22">
        <v>787.44</v>
      </c>
      <c r="D249" s="22"/>
      <c r="E249" s="22"/>
      <c r="F249" s="22"/>
    </row>
    <row r="250" spans="1:6" x14ac:dyDescent="0.25">
      <c r="A250" s="10">
        <v>44315</v>
      </c>
      <c r="B250" t="s">
        <v>482</v>
      </c>
      <c r="C250" s="22">
        <v>4.17</v>
      </c>
      <c r="D250" s="22">
        <f>SUM(C249:C250)</f>
        <v>791.61</v>
      </c>
    </row>
    <row r="251" spans="1:6" x14ac:dyDescent="0.25">
      <c r="C251" s="22"/>
    </row>
    <row r="252" spans="1:6" x14ac:dyDescent="0.25">
      <c r="A252" s="10">
        <v>44321</v>
      </c>
      <c r="B252" t="s">
        <v>486</v>
      </c>
      <c r="C252" s="22">
        <v>508.33</v>
      </c>
      <c r="D252" s="22"/>
    </row>
    <row r="253" spans="1:6" x14ac:dyDescent="0.25">
      <c r="A253" s="10">
        <v>44342</v>
      </c>
      <c r="B253" t="s">
        <v>487</v>
      </c>
      <c r="C253" s="22">
        <v>107.73</v>
      </c>
      <c r="D253" s="22"/>
    </row>
    <row r="254" spans="1:6" x14ac:dyDescent="0.25">
      <c r="A254" s="10">
        <v>44342</v>
      </c>
      <c r="B254" t="s">
        <v>476</v>
      </c>
      <c r="C254" s="22">
        <v>28.25</v>
      </c>
      <c r="D254" s="22"/>
    </row>
    <row r="255" spans="1:6" x14ac:dyDescent="0.25">
      <c r="A255" s="10">
        <v>44344</v>
      </c>
      <c r="B255" t="s">
        <v>488</v>
      </c>
      <c r="C255" s="22">
        <v>29.73</v>
      </c>
      <c r="D255" s="22"/>
    </row>
    <row r="256" spans="1:6" x14ac:dyDescent="0.25">
      <c r="A256" s="10">
        <v>44344</v>
      </c>
      <c r="B256" t="s">
        <v>489</v>
      </c>
      <c r="C256" s="22">
        <v>241.91</v>
      </c>
      <c r="D256" s="22"/>
    </row>
    <row r="257" spans="1:4" x14ac:dyDescent="0.25">
      <c r="A257" s="10">
        <v>44344</v>
      </c>
      <c r="B257" t="s">
        <v>480</v>
      </c>
      <c r="C257" s="22">
        <v>115.64</v>
      </c>
      <c r="D257" s="22">
        <f>SUM(C252:C257)</f>
        <v>1031.5899999999999</v>
      </c>
    </row>
    <row r="258" spans="1:4" x14ac:dyDescent="0.25">
      <c r="C258" s="22"/>
    </row>
    <row r="259" spans="1:4" x14ac:dyDescent="0.25">
      <c r="A259" s="10">
        <v>44365</v>
      </c>
      <c r="B259" t="s">
        <v>490</v>
      </c>
      <c r="C259" s="22">
        <v>253.61</v>
      </c>
    </row>
    <row r="260" spans="1:4" x14ac:dyDescent="0.25">
      <c r="A260" s="10">
        <v>44365</v>
      </c>
      <c r="B260" t="s">
        <v>490</v>
      </c>
      <c r="C260" s="22">
        <v>262.20999999999998</v>
      </c>
      <c r="D260" s="22"/>
    </row>
    <row r="261" spans="1:4" x14ac:dyDescent="0.25">
      <c r="A261" s="10">
        <v>44377</v>
      </c>
      <c r="B261" t="s">
        <v>491</v>
      </c>
      <c r="C261" s="22">
        <v>286.57</v>
      </c>
      <c r="D261" s="22"/>
    </row>
    <row r="262" spans="1:4" x14ac:dyDescent="0.25">
      <c r="A262" s="10">
        <v>44377</v>
      </c>
      <c r="B262" t="s">
        <v>480</v>
      </c>
      <c r="C262" s="22">
        <v>57.29</v>
      </c>
      <c r="D262" s="22"/>
    </row>
    <row r="263" spans="1:4" x14ac:dyDescent="0.25">
      <c r="A263" s="10">
        <v>44377</v>
      </c>
      <c r="B263" t="s">
        <v>492</v>
      </c>
      <c r="C263" s="22">
        <v>31.48</v>
      </c>
      <c r="D263" s="22"/>
    </row>
    <row r="264" spans="1:4" x14ac:dyDescent="0.25">
      <c r="A264" s="10">
        <v>44377</v>
      </c>
      <c r="B264" t="s">
        <v>492</v>
      </c>
      <c r="C264" s="22">
        <v>113.71</v>
      </c>
      <c r="D264" s="22">
        <f>SUM(C259:C264)</f>
        <v>1004.8699999999999</v>
      </c>
    </row>
    <row r="265" spans="1:4" x14ac:dyDescent="0.25">
      <c r="C265" s="22"/>
    </row>
    <row r="266" spans="1:4" x14ac:dyDescent="0.25">
      <c r="A266" s="10">
        <v>44432</v>
      </c>
      <c r="B266" t="s">
        <v>486</v>
      </c>
      <c r="C266" s="22">
        <v>500.67</v>
      </c>
      <c r="D266" s="22"/>
    </row>
    <row r="267" spans="1:4" x14ac:dyDescent="0.25">
      <c r="A267" s="10">
        <v>44433</v>
      </c>
      <c r="B267" t="s">
        <v>481</v>
      </c>
      <c r="C267" s="22">
        <v>1609.91</v>
      </c>
      <c r="D267" s="22"/>
    </row>
    <row r="268" spans="1:4" x14ac:dyDescent="0.25">
      <c r="A268" s="10">
        <v>44439</v>
      </c>
      <c r="B268" t="s">
        <v>480</v>
      </c>
      <c r="C268" s="22">
        <v>117.5</v>
      </c>
      <c r="D268" s="22"/>
    </row>
    <row r="269" spans="1:4" x14ac:dyDescent="0.25">
      <c r="A269" s="10">
        <v>44439</v>
      </c>
      <c r="B269" t="s">
        <v>479</v>
      </c>
      <c r="C269" s="22">
        <v>0.83</v>
      </c>
      <c r="D269" s="22">
        <f>SUM(C266:C269)</f>
        <v>2228.91</v>
      </c>
    </row>
    <row r="270" spans="1:4" x14ac:dyDescent="0.25">
      <c r="C270" s="22"/>
    </row>
    <row r="271" spans="1:4" x14ac:dyDescent="0.25">
      <c r="A271" s="10">
        <v>44452</v>
      </c>
      <c r="B271" t="s">
        <v>493</v>
      </c>
      <c r="C271" s="22">
        <v>20.100000000000001</v>
      </c>
      <c r="D271" s="22"/>
    </row>
    <row r="272" spans="1:4" x14ac:dyDescent="0.25">
      <c r="A272" s="10">
        <v>44461</v>
      </c>
      <c r="B272" t="s">
        <v>489</v>
      </c>
      <c r="C272" s="22">
        <v>85.93</v>
      </c>
      <c r="D272" s="22"/>
    </row>
    <row r="273" spans="1:4" x14ac:dyDescent="0.25">
      <c r="A273" s="10">
        <v>44469</v>
      </c>
      <c r="B273" t="s">
        <v>480</v>
      </c>
      <c r="C273" s="22">
        <v>62.81</v>
      </c>
      <c r="D273" s="22">
        <f>SUM(C271:C273)</f>
        <v>168.84</v>
      </c>
    </row>
    <row r="274" spans="1:4" x14ac:dyDescent="0.25">
      <c r="C274" s="38">
        <f>SUM(C2:C273)</f>
        <v>21061.189999999991</v>
      </c>
    </row>
    <row r="275" spans="1:4" x14ac:dyDescent="0.25">
      <c r="C275" s="38"/>
    </row>
    <row r="276" spans="1:4" x14ac:dyDescent="0.25">
      <c r="C276" s="38"/>
    </row>
    <row r="277" spans="1:4" x14ac:dyDescent="0.25">
      <c r="C277" s="38"/>
    </row>
    <row r="278" spans="1:4" x14ac:dyDescent="0.25">
      <c r="C278" s="38"/>
    </row>
    <row r="279" spans="1:4" x14ac:dyDescent="0.25">
      <c r="C279" s="38"/>
    </row>
    <row r="280" spans="1:4" x14ac:dyDescent="0.25">
      <c r="C280" s="38"/>
    </row>
    <row r="281" spans="1:4" x14ac:dyDescent="0.25">
      <c r="C281" s="38"/>
    </row>
    <row r="282" spans="1:4" x14ac:dyDescent="0.25">
      <c r="C282" s="38"/>
    </row>
    <row r="283" spans="1:4" x14ac:dyDescent="0.25">
      <c r="C283" s="38"/>
    </row>
    <row r="284" spans="1:4" x14ac:dyDescent="0.25">
      <c r="C284" s="38"/>
    </row>
    <row r="285" spans="1:4" x14ac:dyDescent="0.25">
      <c r="C285" s="38"/>
    </row>
    <row r="286" spans="1:4" x14ac:dyDescent="0.25">
      <c r="C286" s="38"/>
    </row>
    <row r="287" spans="1:4" x14ac:dyDescent="0.25">
      <c r="C287" s="38"/>
    </row>
    <row r="288" spans="1:4" x14ac:dyDescent="0.25">
      <c r="C288" s="38"/>
    </row>
    <row r="289" spans="3:3" x14ac:dyDescent="0.25">
      <c r="C289" s="38"/>
    </row>
    <row r="290" spans="3:3" x14ac:dyDescent="0.25">
      <c r="C290" s="38"/>
    </row>
    <row r="291" spans="3:3" x14ac:dyDescent="0.25">
      <c r="C291" s="38"/>
    </row>
    <row r="292" spans="3:3" x14ac:dyDescent="0.25">
      <c r="C292" s="38"/>
    </row>
    <row r="293" spans="3:3" x14ac:dyDescent="0.25">
      <c r="C293" s="38"/>
    </row>
    <row r="294" spans="3:3" x14ac:dyDescent="0.25">
      <c r="C294" s="38"/>
    </row>
    <row r="295" spans="3:3" x14ac:dyDescent="0.25">
      <c r="C295" s="38"/>
    </row>
    <row r="296" spans="3:3" x14ac:dyDescent="0.25">
      <c r="C296" s="38"/>
    </row>
    <row r="297" spans="3:3" x14ac:dyDescent="0.25">
      <c r="C297" s="38"/>
    </row>
    <row r="298" spans="3:3" x14ac:dyDescent="0.25">
      <c r="C298" s="38"/>
    </row>
    <row r="299" spans="3:3" x14ac:dyDescent="0.25">
      <c r="C299" s="38"/>
    </row>
    <row r="300" spans="3:3" x14ac:dyDescent="0.25">
      <c r="C300" s="38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Estudo</vt:lpstr>
      <vt:lpstr>Extrato de Bolsa</vt:lpstr>
      <vt:lpstr>(-) Investimento - (+) Retirada</vt:lpstr>
      <vt:lpstr>Horarios Bovespa</vt:lpstr>
      <vt:lpstr>Taxas Bovespa</vt:lpstr>
      <vt:lpstr>Notas de Corretagem</vt:lpstr>
      <vt:lpstr>Negociações</vt:lpstr>
      <vt:lpstr>Apuração de Resultado</vt:lpstr>
      <vt:lpstr>(+) Dividendos</vt:lpstr>
      <vt:lpstr>(+) Receitas Extras</vt:lpstr>
      <vt:lpstr>(-) Taxa de Custódia</vt:lpstr>
      <vt:lpstr>Dízimo-IR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Avell</dc:creator>
  <cp:keywords/>
  <dc:description/>
  <cp:lastModifiedBy>Andrei Diego Cardoso</cp:lastModifiedBy>
  <cp:revision/>
  <dcterms:created xsi:type="dcterms:W3CDTF">2016-11-13T16:17:44Z</dcterms:created>
  <dcterms:modified xsi:type="dcterms:W3CDTF">2022-06-14T00:33:08Z</dcterms:modified>
  <cp:category/>
  <cp:contentStatus/>
</cp:coreProperties>
</file>