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B0A45FA-6C23-4D89-8CC5-418F8FEABB57}" xr6:coauthVersionLast="47" xr6:coauthVersionMax="47" xr10:uidLastSave="{00000000-0000-0000-0000-000000000000}"/>
  <bookViews>
    <workbookView xWindow="-38400" yWindow="0" windowWidth="19200" windowHeight="16200" tabRatio="851" firstSheet="108" activeTab="111" xr2:uid="{51326E95-EE54-495F-AB8A-B57AD14A8498}"/>
  </bookViews>
  <sheets>
    <sheet name="NotUsed" sheetId="2" r:id="rId1"/>
    <sheet name="TradingDateMissing" sheetId="35" r:id="rId2"/>
    <sheet name="TradingDateNegative" sheetId="73" r:id="rId3"/>
    <sheet name="TradingDateExtraneousCharacters" sheetId="74" r:id="rId4"/>
    <sheet name="TradingDateInvalidDate" sheetId="75" r:id="rId5"/>
    <sheet name="TradingDateBlack" sheetId="36" r:id="rId6"/>
    <sheet name="TradingDateRedForSelling" sheetId="78" r:id="rId7"/>
    <sheet name="TradingDateBlueForBuying" sheetId="79" r:id="rId8"/>
    <sheet name="NoteNumberMissing" sheetId="37" r:id="rId9"/>
    <sheet name="NoteNumberNegative" sheetId="38" r:id="rId10"/>
    <sheet name="NoteNumberExtraneousCharacters" sheetId="39" r:id="rId11"/>
    <sheet name="NoteNumberBlack" sheetId="40" r:id="rId12"/>
    <sheet name="NoteNumberRedForSelling" sheetId="80" r:id="rId13"/>
    <sheet name="NoteNumberBlueForBuying" sheetId="81" r:id="rId14"/>
    <sheet name="TickerMissing" sheetId="41" r:id="rId15"/>
    <sheet name="TickerBlack" sheetId="42" r:id="rId16"/>
    <sheet name="TickerRedForSelling" sheetId="82" r:id="rId17"/>
    <sheet name="TickerBlueForBuying" sheetId="83" r:id="rId18"/>
    <sheet name="QtyMissing" sheetId="43" r:id="rId19"/>
    <sheet name="QtyNegative" sheetId="44" r:id="rId20"/>
    <sheet name="QtyExtraneousCharacters" sheetId="45" r:id="rId21"/>
    <sheet name="QtyBlack" sheetId="46" r:id="rId22"/>
    <sheet name="QtyRedForSelling" sheetId="84" r:id="rId23"/>
    <sheet name="QtyBlueForBuying" sheetId="85" r:id="rId24"/>
    <sheet name="PriceMissing" sheetId="47" r:id="rId25"/>
    <sheet name="PriceNegative" sheetId="48" r:id="rId26"/>
    <sheet name="PriceExtraneousCharacters" sheetId="49" r:id="rId27"/>
    <sheet name="PriceBlack" sheetId="50" r:id="rId28"/>
    <sheet name="PriceRedForSelling" sheetId="86" r:id="rId29"/>
    <sheet name="PriceBlueForBuying" sheetId="87" r:id="rId30"/>
    <sheet name="VolumeMissing" sheetId="51" r:id="rId31"/>
    <sheet name="VolumeExtraneousCharacters" sheetId="52" r:id="rId32"/>
    <sheet name="VolumeBlack" sheetId="53" r:id="rId33"/>
    <sheet name="VolumeRedForSelling" sheetId="88" r:id="rId34"/>
    <sheet name="VolumeBlueForBuying" sheetId="89" r:id="rId35"/>
    <sheet name="SettlementFeeMissing" sheetId="54" r:id="rId36"/>
    <sheet name="SettlementFeeExtraneousChars" sheetId="55" r:id="rId37"/>
    <sheet name="SettlementFeeBlack" sheetId="56" r:id="rId38"/>
    <sheet name="SettlementFeeRedForSelling" sheetId="90" r:id="rId39"/>
    <sheet name="SettlementFeeBlueForBuying" sheetId="91" r:id="rId40"/>
    <sheet name="TradingFeesMissing" sheetId="57" r:id="rId41"/>
    <sheet name="TradingFeesExtraneousCharacters" sheetId="58" r:id="rId42"/>
    <sheet name="TradingFeesBlack" sheetId="59" r:id="rId43"/>
    <sheet name="TradingFeesRedForSelling" sheetId="92" r:id="rId44"/>
    <sheet name="TradingFeesBlueForBuying" sheetId="93" r:id="rId45"/>
    <sheet name="BrokerageMissing" sheetId="60" r:id="rId46"/>
    <sheet name="BrokerageNegative" sheetId="63" r:id="rId47"/>
    <sheet name="BrokerageExtraneousCharacters" sheetId="61" r:id="rId48"/>
    <sheet name="BrokerageBlack" sheetId="62" r:id="rId49"/>
    <sheet name="BrokerageRedForSelling" sheetId="94" r:id="rId50"/>
    <sheet name="BrokerageBlueForBuying" sheetId="95" r:id="rId51"/>
    <sheet name="ServiceTaxMissing" sheetId="64" r:id="rId52"/>
    <sheet name="ServiceTaxNegative" sheetId="65" r:id="rId53"/>
    <sheet name="ServiceTaxExtraneousCharacters" sheetId="66" r:id="rId54"/>
    <sheet name="ServiceTaxBlack" sheetId="67" r:id="rId55"/>
    <sheet name="ServiceTaxRedForSelling" sheetId="96" r:id="rId56"/>
    <sheet name="ServiceTaxBlueForBuying" sheetId="97" r:id="rId57"/>
    <sheet name="IncomeTaxAtSourceExtraneousChar" sheetId="68" r:id="rId58"/>
    <sheet name="IncomeTaxAtSourceBlack" sheetId="69" r:id="rId59"/>
    <sheet name="IncomeTaxAtSourceRedForSelling" sheetId="98" r:id="rId60"/>
    <sheet name="IncomeTaxAtSourceBlueForBuying" sheetId="99" r:id="rId61"/>
    <sheet name="TotalMissing" sheetId="70" r:id="rId62"/>
    <sheet name="TotalExtraneousCharacters" sheetId="71" r:id="rId63"/>
    <sheet name="TotalBlack" sheetId="72" r:id="rId64"/>
    <sheet name="TotalRedForSelling" sheetId="100" r:id="rId65"/>
    <sheet name="TotalBlueForBuying" sheetId="101" r:id="rId66"/>
    <sheet name="NoEmptyAttributeHalfOfEachColor" sheetId="76" r:id="rId67"/>
    <sheet name="NonEmptyAttribsHalfOfEachColor" sheetId="118" r:id="rId68"/>
    <sheet name="ValidColoredAttribHalfEachColor" sheetId="117" r:id="rId69"/>
    <sheet name="NEValidColorAttrHalfEachColor" sheetId="119" r:id="rId70"/>
    <sheet name="VolumeSummaryMissing" sheetId="102" r:id="rId71"/>
    <sheet name="VolumeSummaryExtraneousChars" sheetId="108" r:id="rId72"/>
    <sheet name="SettlementFeeSummaryMissing" sheetId="103" r:id="rId73"/>
    <sheet name="SettlementFeeSummaryExtrChars" sheetId="109" r:id="rId74"/>
    <sheet name="TradingFeesSummaryMissing" sheetId="104" r:id="rId75"/>
    <sheet name="TradingFeesSummaryExtrChars" sheetId="110" r:id="rId76"/>
    <sheet name="BrokerageSummaryMissing" sheetId="105" r:id="rId77"/>
    <sheet name="BrokerageSummaryExtraneousChars" sheetId="111" r:id="rId78"/>
    <sheet name="ServiceTaxSummaryMissing" sheetId="106" r:id="rId79"/>
    <sheet name="ServiceTaxSummaryExtrChars" sheetId="112" r:id="rId80"/>
    <sheet name="IncomeTaxAtSourceSummExtrChars" sheetId="113" r:id="rId81"/>
    <sheet name="TotalSummaryMissing" sheetId="107" r:id="rId82"/>
    <sheet name="TotalSummaryExtraneousChars" sheetId="114" r:id="rId83"/>
    <sheet name="GroupWithDifferentTradingDates" sheetId="34" r:id="rId84"/>
    <sheet name="GroupWithDifferentNoteNumbers" sheetId="12" r:id="rId85"/>
    <sheet name="MultiLineGroupWithNoSummary" sheetId="25" r:id="rId86"/>
    <sheet name="GroupWithInvalidSummary" sheetId="26" r:id="rId87"/>
    <sheet name="LineWithDifferentFontColors" sheetId="13" r:id="rId88"/>
    <sheet name="LineWithBlackFontColor" sheetId="14" r:id="rId89"/>
    <sheet name="GroupsWithSameTradingDate&amp;Note" sheetId="7" r:id="rId90"/>
    <sheet name="GroupsWithSummary" sheetId="8" r:id="rId91"/>
    <sheet name="BuyingAndSellingOperations" sheetId="9" r:id="rId92"/>
    <sheet name="SingleLineGroups" sheetId="10" r:id="rId93"/>
    <sheet name="VolumeDoesNotMatchQtyTimesPrice" sheetId="15" r:id="rId94"/>
    <sheet name="SettlementFeeNotVolumeTimesRate" sheetId="16" r:id="rId95"/>
    <sheet name="InvalidTradingFees" sheetId="17" r:id="rId96"/>
    <sheet name="InvalidServiceTax" sheetId="18" r:id="rId97"/>
    <sheet name="InvalidIncomeTaxAtSource" sheetId="19" r:id="rId98"/>
    <sheet name="_BugInGroupFormation_" sheetId="33" r:id="rId99"/>
    <sheet name="NonZeroIncomeTaxAtSourceBuying" sheetId="21" r:id="rId100"/>
    <sheet name="InvalidTotalForSelling" sheetId="22" r:id="rId101"/>
    <sheet name="InvalidTotalForBuying" sheetId="23" r:id="rId102"/>
    <sheet name="InvalidSettlementFeeSummary" sheetId="24" r:id="rId103"/>
    <sheet name="InvalidTradingFeesSummary" sheetId="27" r:id="rId104"/>
    <sheet name="InvalidBrokerageSummary" sheetId="28" r:id="rId105"/>
    <sheet name="InvalidServiceTaxSummary" sheetId="29" r:id="rId106"/>
    <sheet name="InvalidIncomeTaxAtSourceSummary" sheetId="30" r:id="rId107"/>
    <sheet name="InvalidVolumeSummaryHomogGroups" sheetId="115" r:id="rId108"/>
    <sheet name="InvalidVolumeSummaryMixedGroups" sheetId="31" r:id="rId109"/>
    <sheet name="InvalidTotalSummaryHomogGroups" sheetId="116" r:id="rId110"/>
    <sheet name="InvalidTotalSummaryMixedGroups" sheetId="32" r:id="rId111"/>
    <sheet name="MultipleErrors" sheetId="120" r:id="rId1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120" l="1"/>
  <c r="G52" i="120"/>
  <c r="H52" i="120"/>
  <c r="I52" i="120"/>
  <c r="J52" i="120"/>
  <c r="K52" i="120"/>
  <c r="H51" i="120"/>
  <c r="F51" i="120"/>
  <c r="H50" i="120"/>
  <c r="G50" i="120"/>
  <c r="F50" i="120"/>
  <c r="L50" i="120" s="1"/>
  <c r="H47" i="120"/>
  <c r="G47" i="120"/>
  <c r="F47" i="120"/>
  <c r="L47" i="120" s="1"/>
  <c r="F46" i="120"/>
  <c r="H46" i="120" s="1"/>
  <c r="J8" i="120"/>
  <c r="F2" i="120"/>
  <c r="G2" i="120" s="1"/>
  <c r="J2" i="120"/>
  <c r="F4" i="120"/>
  <c r="J4" i="120"/>
  <c r="F6" i="120"/>
  <c r="H6" i="120" s="1"/>
  <c r="F8" i="120"/>
  <c r="G8" i="120" s="1"/>
  <c r="F10" i="120"/>
  <c r="G10" i="120" s="1"/>
  <c r="J10" i="120"/>
  <c r="G11" i="120"/>
  <c r="H11" i="120"/>
  <c r="H12" i="120" s="1"/>
  <c r="J11" i="120"/>
  <c r="I12" i="120"/>
  <c r="K12" i="120"/>
  <c r="F14" i="120"/>
  <c r="J14" i="120"/>
  <c r="F16" i="120"/>
  <c r="G16" i="120" s="1"/>
  <c r="J16" i="120"/>
  <c r="H17" i="120"/>
  <c r="J17" i="120"/>
  <c r="F18" i="120"/>
  <c r="G18" i="120" s="1"/>
  <c r="L18" i="120"/>
  <c r="F19" i="120"/>
  <c r="G19" i="120" s="1"/>
  <c r="J19" i="120"/>
  <c r="A20" i="120"/>
  <c r="B20" i="120"/>
  <c r="D20" i="120"/>
  <c r="E20" i="120"/>
  <c r="I20" i="120"/>
  <c r="K20" i="120"/>
  <c r="F22" i="120"/>
  <c r="G22" i="120" s="1"/>
  <c r="F23" i="120"/>
  <c r="G23" i="120" s="1"/>
  <c r="H23" i="120"/>
  <c r="F26" i="120"/>
  <c r="F27" i="120"/>
  <c r="H27" i="120" s="1"/>
  <c r="G27" i="120"/>
  <c r="F28" i="120"/>
  <c r="G28" i="120" s="1"/>
  <c r="I29" i="120"/>
  <c r="J29" i="120"/>
  <c r="K29" i="120"/>
  <c r="F31" i="120"/>
  <c r="G31" i="120" s="1"/>
  <c r="F32" i="120"/>
  <c r="G32" i="120" s="1"/>
  <c r="F33" i="120"/>
  <c r="G33" i="120"/>
  <c r="H33" i="120"/>
  <c r="I33" i="120"/>
  <c r="J33" i="120"/>
  <c r="K33" i="120"/>
  <c r="L33" i="120"/>
  <c r="F35" i="120"/>
  <c r="G35" i="120" s="1"/>
  <c r="F36" i="120"/>
  <c r="I37" i="120"/>
  <c r="J37" i="120"/>
  <c r="K37" i="120"/>
  <c r="F39" i="120"/>
  <c r="G39" i="120" s="1"/>
  <c r="F40" i="120"/>
  <c r="G40" i="120" s="1"/>
  <c r="I41" i="120"/>
  <c r="J41" i="120"/>
  <c r="K41" i="120"/>
  <c r="F43" i="120"/>
  <c r="H43" i="120" s="1"/>
  <c r="G43" i="120"/>
  <c r="F44" i="120"/>
  <c r="G44" i="120" s="1"/>
  <c r="L51" i="120" l="1"/>
  <c r="G51" i="120"/>
  <c r="G46" i="120"/>
  <c r="L2" i="120"/>
  <c r="F37" i="120"/>
  <c r="H35" i="120"/>
  <c r="L35" i="120" s="1"/>
  <c r="H44" i="120"/>
  <c r="L44" i="120" s="1"/>
  <c r="H32" i="120"/>
  <c r="L32" i="120" s="1"/>
  <c r="F12" i="120"/>
  <c r="L17" i="120"/>
  <c r="F29" i="120"/>
  <c r="J20" i="120"/>
  <c r="J12" i="120"/>
  <c r="L23" i="120"/>
  <c r="G12" i="120"/>
  <c r="H36" i="120"/>
  <c r="H37" i="120" s="1"/>
  <c r="G36" i="120"/>
  <c r="G37" i="120" s="1"/>
  <c r="H31" i="120"/>
  <c r="L31" i="120" s="1"/>
  <c r="L27" i="120"/>
  <c r="L16" i="120"/>
  <c r="G20" i="120"/>
  <c r="G41" i="120"/>
  <c r="H19" i="120"/>
  <c r="H14" i="120"/>
  <c r="L14" i="120" s="1"/>
  <c r="L43" i="120"/>
  <c r="H39" i="120"/>
  <c r="H28" i="120"/>
  <c r="L28" i="120" s="1"/>
  <c r="H26" i="120"/>
  <c r="H22" i="120"/>
  <c r="L22" i="120" s="1"/>
  <c r="L11" i="120"/>
  <c r="L12" i="120" s="1"/>
  <c r="H8" i="120"/>
  <c r="L8" i="120" s="1"/>
  <c r="H4" i="120"/>
  <c r="G26" i="120"/>
  <c r="G29" i="120" s="1"/>
  <c r="F20" i="120"/>
  <c r="G4" i="120"/>
  <c r="H18" i="120"/>
  <c r="H20" i="120" s="1"/>
  <c r="L6" i="120"/>
  <c r="F41" i="120"/>
  <c r="H40" i="120"/>
  <c r="L40" i="120" s="1"/>
  <c r="L46" i="120" l="1"/>
  <c r="L48" i="120" s="1"/>
  <c r="H41" i="120"/>
  <c r="L20" i="120"/>
  <c r="L26" i="120"/>
  <c r="L29" i="120" s="1"/>
  <c r="L39" i="120"/>
  <c r="L4" i="120"/>
  <c r="L36" i="120"/>
  <c r="L37" i="120" s="1"/>
  <c r="L41" i="120"/>
  <c r="H29" i="120"/>
  <c r="H2" i="119" l="1"/>
  <c r="G2" i="119"/>
  <c r="F2" i="119"/>
  <c r="L2" i="119" s="1"/>
  <c r="F2" i="118"/>
  <c r="F2" i="117"/>
  <c r="H2" i="117" s="1"/>
  <c r="F4" i="116"/>
  <c r="L4" i="116"/>
  <c r="K4" i="116"/>
  <c r="J4" i="116"/>
  <c r="I4" i="116"/>
  <c r="J3" i="116"/>
  <c r="H3" i="116"/>
  <c r="G3" i="116"/>
  <c r="L3" i="116" s="1"/>
  <c r="F3" i="116"/>
  <c r="J2" i="116"/>
  <c r="F2" i="116"/>
  <c r="G2" i="116" s="1"/>
  <c r="G4" i="116" s="1"/>
  <c r="L4" i="115"/>
  <c r="F4" i="115"/>
  <c r="K4" i="115"/>
  <c r="I4" i="115"/>
  <c r="J3" i="115"/>
  <c r="F3" i="115"/>
  <c r="H3" i="115" s="1"/>
  <c r="J2" i="115"/>
  <c r="J4" i="115" s="1"/>
  <c r="G2" i="115"/>
  <c r="F2" i="115"/>
  <c r="F5" i="114"/>
  <c r="F5" i="112"/>
  <c r="I5" i="112"/>
  <c r="F5" i="113"/>
  <c r="F5" i="111"/>
  <c r="H5" i="111"/>
  <c r="F5" i="110"/>
  <c r="F5" i="109"/>
  <c r="K5" i="114"/>
  <c r="J5" i="114"/>
  <c r="I5" i="114"/>
  <c r="H4" i="114"/>
  <c r="F4" i="114"/>
  <c r="G4" i="114" s="1"/>
  <c r="L4" i="114" s="1"/>
  <c r="F3" i="114"/>
  <c r="H2" i="114"/>
  <c r="F2" i="114"/>
  <c r="G2" i="114" s="1"/>
  <c r="J5" i="113"/>
  <c r="I5" i="113"/>
  <c r="H4" i="113"/>
  <c r="F4" i="113"/>
  <c r="G4" i="113" s="1"/>
  <c r="L4" i="113" s="1"/>
  <c r="F3" i="113"/>
  <c r="H2" i="113"/>
  <c r="F2" i="113"/>
  <c r="G2" i="113" s="1"/>
  <c r="H5" i="112"/>
  <c r="K5" i="112"/>
  <c r="H4" i="112"/>
  <c r="F4" i="112"/>
  <c r="G4" i="112" s="1"/>
  <c r="L4" i="112" s="1"/>
  <c r="F3" i="112"/>
  <c r="H2" i="112"/>
  <c r="F2" i="112"/>
  <c r="G2" i="112" s="1"/>
  <c r="K5" i="111"/>
  <c r="J5" i="111"/>
  <c r="F4" i="111"/>
  <c r="F3" i="111"/>
  <c r="F2" i="111"/>
  <c r="G5" i="110"/>
  <c r="G3" i="110"/>
  <c r="G4" i="110"/>
  <c r="K5" i="110"/>
  <c r="J5" i="110"/>
  <c r="I5" i="110"/>
  <c r="L4" i="110"/>
  <c r="H4" i="110"/>
  <c r="F4" i="110"/>
  <c r="F3" i="110"/>
  <c r="L2" i="110"/>
  <c r="H2" i="110"/>
  <c r="G2" i="110"/>
  <c r="F2" i="110"/>
  <c r="K5" i="109"/>
  <c r="J5" i="109"/>
  <c r="I5" i="109"/>
  <c r="H4" i="109"/>
  <c r="G4" i="109"/>
  <c r="L4" i="109" s="1"/>
  <c r="F4" i="109"/>
  <c r="F3" i="109"/>
  <c r="H2" i="109"/>
  <c r="G2" i="109"/>
  <c r="L2" i="109" s="1"/>
  <c r="F2" i="109"/>
  <c r="K5" i="108"/>
  <c r="J5" i="108"/>
  <c r="I5" i="108"/>
  <c r="H4" i="108"/>
  <c r="G4" i="108"/>
  <c r="F4" i="108"/>
  <c r="L4" i="108" s="1"/>
  <c r="F3" i="108"/>
  <c r="G3" i="108" s="1"/>
  <c r="H2" i="108"/>
  <c r="G2" i="108"/>
  <c r="L2" i="108" s="1"/>
  <c r="F2" i="108"/>
  <c r="G2" i="118" l="1"/>
  <c r="L2" i="118" s="1"/>
  <c r="H2" i="118"/>
  <c r="G2" i="117"/>
  <c r="L2" i="117" s="1"/>
  <c r="H2" i="116"/>
  <c r="H4" i="116" s="1"/>
  <c r="H2" i="115"/>
  <c r="H4" i="115" s="1"/>
  <c r="G3" i="115"/>
  <c r="L3" i="115" s="1"/>
  <c r="L2" i="114"/>
  <c r="H3" i="114"/>
  <c r="H5" i="114" s="1"/>
  <c r="G3" i="114"/>
  <c r="L3" i="114" s="1"/>
  <c r="L2" i="113"/>
  <c r="H3" i="113"/>
  <c r="H5" i="113" s="1"/>
  <c r="G3" i="113"/>
  <c r="G5" i="113" s="1"/>
  <c r="L2" i="112"/>
  <c r="H3" i="112"/>
  <c r="G3" i="112"/>
  <c r="L3" i="112" s="1"/>
  <c r="G4" i="111"/>
  <c r="L4" i="111" s="1"/>
  <c r="H2" i="111"/>
  <c r="G2" i="111"/>
  <c r="G5" i="111" s="1"/>
  <c r="H4" i="111"/>
  <c r="G3" i="111"/>
  <c r="L3" i="111" s="1"/>
  <c r="H3" i="111"/>
  <c r="L3" i="110"/>
  <c r="L5" i="110" s="1"/>
  <c r="H3" i="110"/>
  <c r="H3" i="109"/>
  <c r="H5" i="109" s="1"/>
  <c r="G3" i="109"/>
  <c r="L3" i="109" s="1"/>
  <c r="L5" i="109" s="1"/>
  <c r="G5" i="108"/>
  <c r="H3" i="108"/>
  <c r="H5" i="108" s="1"/>
  <c r="L3" i="108"/>
  <c r="L5" i="108" s="1"/>
  <c r="L2" i="116" l="1"/>
  <c r="L2" i="115"/>
  <c r="G4" i="115"/>
  <c r="G5" i="114"/>
  <c r="L3" i="113"/>
  <c r="L5" i="113"/>
  <c r="G5" i="112"/>
  <c r="L5" i="112"/>
  <c r="L2" i="111"/>
  <c r="L5" i="111" s="1"/>
  <c r="F5" i="103" l="1"/>
  <c r="F5" i="104"/>
  <c r="F5" i="105"/>
  <c r="F5" i="106"/>
  <c r="F5" i="107"/>
  <c r="K5" i="107"/>
  <c r="J5" i="107"/>
  <c r="I5" i="107"/>
  <c r="F4" i="107"/>
  <c r="G4" i="107" s="1"/>
  <c r="F3" i="107"/>
  <c r="F2" i="107"/>
  <c r="K5" i="106"/>
  <c r="I5" i="106"/>
  <c r="H4" i="106"/>
  <c r="F4" i="106"/>
  <c r="G4" i="106" s="1"/>
  <c r="L4" i="106" s="1"/>
  <c r="F3" i="106"/>
  <c r="H2" i="106"/>
  <c r="F2" i="106"/>
  <c r="G2" i="106" s="1"/>
  <c r="K5" i="105"/>
  <c r="J5" i="105"/>
  <c r="H4" i="105"/>
  <c r="F4" i="105"/>
  <c r="G4" i="105" s="1"/>
  <c r="L4" i="105" s="1"/>
  <c r="F3" i="105"/>
  <c r="H2" i="105"/>
  <c r="F2" i="105"/>
  <c r="G2" i="105" s="1"/>
  <c r="K5" i="104"/>
  <c r="J5" i="104"/>
  <c r="I5" i="104"/>
  <c r="H4" i="104"/>
  <c r="F4" i="104"/>
  <c r="G4" i="104" s="1"/>
  <c r="L4" i="104" s="1"/>
  <c r="F3" i="104"/>
  <c r="H3" i="104" s="1"/>
  <c r="H2" i="104"/>
  <c r="F2" i="104"/>
  <c r="G2" i="104" s="1"/>
  <c r="K5" i="103"/>
  <c r="J5" i="103"/>
  <c r="I5" i="103"/>
  <c r="F4" i="103"/>
  <c r="H3" i="103"/>
  <c r="F3" i="103"/>
  <c r="G3" i="103" s="1"/>
  <c r="L3" i="103" s="1"/>
  <c r="F2" i="103"/>
  <c r="G2" i="107" l="1"/>
  <c r="H2" i="107"/>
  <c r="H4" i="107"/>
  <c r="L4" i="107" s="1"/>
  <c r="G3" i="107"/>
  <c r="L3" i="107" s="1"/>
  <c r="H3" i="107"/>
  <c r="G5" i="106"/>
  <c r="L2" i="106"/>
  <c r="H3" i="106"/>
  <c r="H5" i="106" s="1"/>
  <c r="G3" i="106"/>
  <c r="L3" i="106" s="1"/>
  <c r="L3" i="105"/>
  <c r="G5" i="105"/>
  <c r="L2" i="105"/>
  <c r="G3" i="105"/>
  <c r="H3" i="105"/>
  <c r="H5" i="105" s="1"/>
  <c r="L2" i="104"/>
  <c r="L5" i="104" s="1"/>
  <c r="G5" i="104"/>
  <c r="G3" i="104"/>
  <c r="L3" i="104"/>
  <c r="L2" i="103"/>
  <c r="G2" i="103"/>
  <c r="G4" i="103"/>
  <c r="H2" i="103"/>
  <c r="H4" i="103"/>
  <c r="L4" i="103" s="1"/>
  <c r="K5" i="102"/>
  <c r="J5" i="102"/>
  <c r="I5" i="102"/>
  <c r="H4" i="102"/>
  <c r="L4" i="102" s="1"/>
  <c r="G4" i="102"/>
  <c r="F4" i="102"/>
  <c r="F3" i="102"/>
  <c r="G3" i="102" s="1"/>
  <c r="F2" i="102"/>
  <c r="G2" i="102" s="1"/>
  <c r="G5" i="102" s="1"/>
  <c r="F2" i="101"/>
  <c r="F2" i="100"/>
  <c r="F2" i="99"/>
  <c r="F2" i="98"/>
  <c r="F2" i="97"/>
  <c r="F2" i="96"/>
  <c r="F2" i="95"/>
  <c r="F2" i="94"/>
  <c r="F2" i="93"/>
  <c r="F2" i="92"/>
  <c r="F2" i="91"/>
  <c r="F2" i="90"/>
  <c r="F2" i="89"/>
  <c r="F2" i="88"/>
  <c r="F2" i="87"/>
  <c r="F2" i="86"/>
  <c r="H2" i="85"/>
  <c r="F2" i="85"/>
  <c r="F2" i="84"/>
  <c r="F2" i="83"/>
  <c r="L2" i="82"/>
  <c r="H2" i="82"/>
  <c r="G2" i="82"/>
  <c r="F2" i="82"/>
  <c r="L2" i="78"/>
  <c r="L2" i="80"/>
  <c r="G2" i="81"/>
  <c r="F2" i="81"/>
  <c r="F2" i="80"/>
  <c r="G2" i="80" s="1"/>
  <c r="F2" i="79"/>
  <c r="F2" i="78"/>
  <c r="H2" i="78" s="1"/>
  <c r="F2" i="76"/>
  <c r="H2" i="76" s="1"/>
  <c r="F2" i="75"/>
  <c r="G2" i="75" s="1"/>
  <c r="F2" i="74"/>
  <c r="H2" i="74" s="1"/>
  <c r="F2" i="73"/>
  <c r="H2" i="73" s="1"/>
  <c r="F2" i="72"/>
  <c r="H2" i="72" s="1"/>
  <c r="H2" i="71"/>
  <c r="F2" i="71"/>
  <c r="G2" i="71" s="1"/>
  <c r="H2" i="70"/>
  <c r="G2" i="70"/>
  <c r="F2" i="70"/>
  <c r="F2" i="69"/>
  <c r="G2" i="69" s="1"/>
  <c r="F2" i="68"/>
  <c r="F2" i="67"/>
  <c r="H2" i="67" s="1"/>
  <c r="F2" i="66"/>
  <c r="H2" i="66" s="1"/>
  <c r="H2" i="65"/>
  <c r="F2" i="65"/>
  <c r="G2" i="65" s="1"/>
  <c r="L2" i="65" s="1"/>
  <c r="H2" i="64"/>
  <c r="F2" i="64"/>
  <c r="G2" i="64" s="1"/>
  <c r="L2" i="64" s="1"/>
  <c r="F2" i="63"/>
  <c r="H2" i="63" s="1"/>
  <c r="H2" i="62"/>
  <c r="F2" i="62"/>
  <c r="G2" i="62" s="1"/>
  <c r="L2" i="62" s="1"/>
  <c r="H2" i="61"/>
  <c r="F2" i="61"/>
  <c r="G2" i="61" s="1"/>
  <c r="L2" i="61" s="1"/>
  <c r="H2" i="60"/>
  <c r="F2" i="60"/>
  <c r="G2" i="60" s="1"/>
  <c r="L2" i="60" s="1"/>
  <c r="H2" i="59"/>
  <c r="F2" i="59"/>
  <c r="F2" i="58"/>
  <c r="G2" i="58" s="1"/>
  <c r="L2" i="58" s="1"/>
  <c r="G2" i="57"/>
  <c r="F2" i="57"/>
  <c r="H5" i="107" l="1"/>
  <c r="G5" i="107"/>
  <c r="L2" i="107"/>
  <c r="L5" i="106"/>
  <c r="L5" i="105"/>
  <c r="L5" i="103"/>
  <c r="H5" i="103"/>
  <c r="H2" i="102"/>
  <c r="L2" i="102"/>
  <c r="H3" i="102"/>
  <c r="L3" i="102"/>
  <c r="G2" i="101"/>
  <c r="L2" i="101" s="1"/>
  <c r="H2" i="101"/>
  <c r="G2" i="100"/>
  <c r="L2" i="100" s="1"/>
  <c r="H2" i="100"/>
  <c r="G2" i="99"/>
  <c r="L2" i="99" s="1"/>
  <c r="H2" i="99"/>
  <c r="G2" i="98"/>
  <c r="L2" i="98" s="1"/>
  <c r="H2" i="98"/>
  <c r="L2" i="97"/>
  <c r="G2" i="97"/>
  <c r="H2" i="97"/>
  <c r="G2" i="96"/>
  <c r="L2" i="96" s="1"/>
  <c r="H2" i="96"/>
  <c r="G2" i="95"/>
  <c r="L2" i="95" s="1"/>
  <c r="H2" i="95"/>
  <c r="G2" i="94"/>
  <c r="H2" i="94"/>
  <c r="L2" i="94" s="1"/>
  <c r="G2" i="93"/>
  <c r="L2" i="93" s="1"/>
  <c r="H2" i="93"/>
  <c r="G2" i="92"/>
  <c r="L2" i="92" s="1"/>
  <c r="H2" i="92"/>
  <c r="G2" i="91"/>
  <c r="L2" i="91" s="1"/>
  <c r="H2" i="91"/>
  <c r="G2" i="90"/>
  <c r="H2" i="90"/>
  <c r="L2" i="90" s="1"/>
  <c r="L2" i="89"/>
  <c r="G2" i="89"/>
  <c r="H2" i="89"/>
  <c r="G2" i="88"/>
  <c r="L2" i="88" s="1"/>
  <c r="H2" i="88"/>
  <c r="L2" i="87"/>
  <c r="G2" i="87"/>
  <c r="H2" i="87"/>
  <c r="G2" i="86"/>
  <c r="L2" i="86" s="1"/>
  <c r="H2" i="86"/>
  <c r="G2" i="85"/>
  <c r="L2" i="85" s="1"/>
  <c r="G2" i="84"/>
  <c r="L2" i="84" s="1"/>
  <c r="H2" i="84"/>
  <c r="G2" i="83"/>
  <c r="L2" i="83" s="1"/>
  <c r="H2" i="83"/>
  <c r="H2" i="81"/>
  <c r="L2" i="81" s="1"/>
  <c r="H2" i="80"/>
  <c r="G2" i="79"/>
  <c r="L2" i="79" s="1"/>
  <c r="H2" i="79"/>
  <c r="G2" i="78"/>
  <c r="G2" i="76"/>
  <c r="L2" i="76" s="1"/>
  <c r="L2" i="75"/>
  <c r="H2" i="75"/>
  <c r="G2" i="74"/>
  <c r="L2" i="74" s="1"/>
  <c r="L2" i="73"/>
  <c r="G2" i="73"/>
  <c r="G2" i="72"/>
  <c r="L2" i="72" s="1"/>
  <c r="H2" i="69"/>
  <c r="L2" i="69"/>
  <c r="G2" i="68"/>
  <c r="L2" i="68" s="1"/>
  <c r="H2" i="68"/>
  <c r="G2" i="67"/>
  <c r="L2" i="67" s="1"/>
  <c r="G2" i="66"/>
  <c r="L2" i="66"/>
  <c r="G2" i="63"/>
  <c r="L2" i="63"/>
  <c r="G2" i="59"/>
  <c r="L2" i="59" s="1"/>
  <c r="L2" i="57"/>
  <c r="G2" i="56"/>
  <c r="F2" i="56"/>
  <c r="F2" i="55"/>
  <c r="F2" i="54"/>
  <c r="F2" i="53"/>
  <c r="H2" i="53" s="1"/>
  <c r="G2" i="53"/>
  <c r="G2" i="52"/>
  <c r="G2" i="51"/>
  <c r="F2" i="50"/>
  <c r="F2" i="49"/>
  <c r="F2" i="48"/>
  <c r="G2" i="48" s="1"/>
  <c r="F2" i="47"/>
  <c r="H2" i="47" s="1"/>
  <c r="F2" i="46"/>
  <c r="G2" i="46" s="1"/>
  <c r="F2" i="45"/>
  <c r="F2" i="44"/>
  <c r="G2" i="44" s="1"/>
  <c r="F2" i="43"/>
  <c r="H2" i="43" s="1"/>
  <c r="L2" i="42"/>
  <c r="H2" i="42"/>
  <c r="G2" i="42"/>
  <c r="F2" i="42"/>
  <c r="F2" i="41"/>
  <c r="H2" i="40"/>
  <c r="F2" i="40"/>
  <c r="G2" i="40" s="1"/>
  <c r="F2" i="39"/>
  <c r="G2" i="39" s="1"/>
  <c r="H2" i="38"/>
  <c r="F2" i="38"/>
  <c r="G2" i="38" s="1"/>
  <c r="L2" i="38" s="1"/>
  <c r="F2" i="37"/>
  <c r="G2" i="37" s="1"/>
  <c r="F2" i="36"/>
  <c r="F2" i="35"/>
  <c r="G2" i="35"/>
  <c r="H2" i="35"/>
  <c r="L2" i="35"/>
  <c r="F13" i="12"/>
  <c r="F11" i="12"/>
  <c r="K9" i="12"/>
  <c r="J9" i="12"/>
  <c r="I9" i="12"/>
  <c r="F8" i="12"/>
  <c r="H8" i="12" s="1"/>
  <c r="F7" i="12"/>
  <c r="K5" i="12"/>
  <c r="J5" i="12"/>
  <c r="I5" i="12"/>
  <c r="H4" i="12"/>
  <c r="F4" i="12"/>
  <c r="G4" i="12" s="1"/>
  <c r="L4" i="12" s="1"/>
  <c r="F3" i="12"/>
  <c r="G3" i="12" s="1"/>
  <c r="H2" i="12"/>
  <c r="F2" i="12"/>
  <c r="G2" i="12" s="1"/>
  <c r="H13" i="34"/>
  <c r="F13" i="34"/>
  <c r="F11" i="34"/>
  <c r="G11" i="34" s="1"/>
  <c r="K9" i="34"/>
  <c r="J9" i="34"/>
  <c r="I9" i="34"/>
  <c r="L8" i="34"/>
  <c r="H8" i="34"/>
  <c r="G8" i="34"/>
  <c r="F8" i="34"/>
  <c r="F7" i="34"/>
  <c r="H7" i="34" s="1"/>
  <c r="H9" i="34" s="1"/>
  <c r="K5" i="34"/>
  <c r="J5" i="34"/>
  <c r="I5" i="34"/>
  <c r="H4" i="34"/>
  <c r="F4" i="34"/>
  <c r="G4" i="34" s="1"/>
  <c r="L4" i="34" s="1"/>
  <c r="F3" i="34"/>
  <c r="H2" i="34"/>
  <c r="F2" i="34"/>
  <c r="G2" i="34" s="1"/>
  <c r="L3" i="14"/>
  <c r="L4" i="14"/>
  <c r="L2" i="14"/>
  <c r="L11" i="7"/>
  <c r="L6" i="10"/>
  <c r="L4" i="10"/>
  <c r="L2" i="10"/>
  <c r="H3" i="14"/>
  <c r="H4" i="14"/>
  <c r="H2" i="14"/>
  <c r="G3" i="14"/>
  <c r="G4" i="14"/>
  <c r="G2" i="14"/>
  <c r="H6" i="10"/>
  <c r="H4" i="10"/>
  <c r="H2" i="10"/>
  <c r="G6" i="10"/>
  <c r="G4" i="10"/>
  <c r="G2" i="10"/>
  <c r="K12" i="33"/>
  <c r="K11" i="33"/>
  <c r="N10" i="33"/>
  <c r="N11" i="33" s="1"/>
  <c r="N12" i="33" s="1"/>
  <c r="K10" i="33"/>
  <c r="N9" i="33"/>
  <c r="L9" i="33"/>
  <c r="L10" i="33" s="1"/>
  <c r="L11" i="33" s="1"/>
  <c r="L12" i="33" s="1"/>
  <c r="O12" i="33" s="1"/>
  <c r="K9" i="33"/>
  <c r="J5" i="33"/>
  <c r="I5" i="33"/>
  <c r="F5" i="33"/>
  <c r="H4" i="33"/>
  <c r="G4" i="33"/>
  <c r="F4" i="33"/>
  <c r="H3" i="33"/>
  <c r="G3" i="33"/>
  <c r="F3" i="33"/>
  <c r="H2" i="33"/>
  <c r="H5" i="33" s="1"/>
  <c r="F2" i="33"/>
  <c r="G2" i="33" s="1"/>
  <c r="F4" i="32"/>
  <c r="L4" i="31"/>
  <c r="K4" i="32"/>
  <c r="I4" i="32"/>
  <c r="J3" i="32"/>
  <c r="F3" i="32"/>
  <c r="H3" i="32" s="1"/>
  <c r="H4" i="32" s="1"/>
  <c r="J2" i="32"/>
  <c r="J4" i="32" s="1"/>
  <c r="H2" i="32"/>
  <c r="G2" i="32"/>
  <c r="L2" i="32" s="1"/>
  <c r="F2" i="32"/>
  <c r="L10" i="9"/>
  <c r="L5" i="9"/>
  <c r="F10" i="9"/>
  <c r="F5" i="9"/>
  <c r="L10" i="8"/>
  <c r="L5" i="8"/>
  <c r="F10" i="8"/>
  <c r="F5" i="8"/>
  <c r="L9" i="7"/>
  <c r="L5" i="7"/>
  <c r="F9" i="7"/>
  <c r="F5" i="7"/>
  <c r="L4" i="29"/>
  <c r="F4" i="29"/>
  <c r="L4" i="28"/>
  <c r="F4" i="28"/>
  <c r="L4" i="27"/>
  <c r="F4" i="27"/>
  <c r="L4" i="24"/>
  <c r="F4" i="24"/>
  <c r="L4" i="23"/>
  <c r="F4" i="23"/>
  <c r="L4" i="21"/>
  <c r="F4" i="21"/>
  <c r="L4" i="18"/>
  <c r="F4" i="18"/>
  <c r="L4" i="17"/>
  <c r="F4" i="17"/>
  <c r="L4" i="16"/>
  <c r="F4" i="16"/>
  <c r="L5" i="13"/>
  <c r="F5" i="13"/>
  <c r="H5" i="102" l="1"/>
  <c r="L5" i="102"/>
  <c r="H2" i="56"/>
  <c r="L2" i="56" s="1"/>
  <c r="L2" i="55"/>
  <c r="H2" i="55"/>
  <c r="H2" i="54"/>
  <c r="L2" i="53"/>
  <c r="H2" i="52"/>
  <c r="L2" i="52" s="1"/>
  <c r="H2" i="51"/>
  <c r="L2" i="51"/>
  <c r="G2" i="50"/>
  <c r="L2" i="50" s="1"/>
  <c r="H2" i="50"/>
  <c r="G2" i="49"/>
  <c r="H2" i="49"/>
  <c r="H2" i="48"/>
  <c r="L2" i="48" s="1"/>
  <c r="G2" i="47"/>
  <c r="L2" i="47" s="1"/>
  <c r="H2" i="46"/>
  <c r="L2" i="46" s="1"/>
  <c r="G2" i="45"/>
  <c r="H2" i="45"/>
  <c r="L2" i="45" s="1"/>
  <c r="H2" i="44"/>
  <c r="L2" i="44"/>
  <c r="G2" i="43"/>
  <c r="L2" i="43" s="1"/>
  <c r="G2" i="41"/>
  <c r="L2" i="41" s="1"/>
  <c r="H2" i="41"/>
  <c r="L2" i="40"/>
  <c r="H2" i="39"/>
  <c r="L2" i="39" s="1"/>
  <c r="H2" i="37"/>
  <c r="L2" i="37" s="1"/>
  <c r="H2" i="36"/>
  <c r="G2" i="36"/>
  <c r="L2" i="36" s="1"/>
  <c r="G5" i="12"/>
  <c r="L2" i="12"/>
  <c r="F9" i="12"/>
  <c r="G11" i="12"/>
  <c r="L11" i="12" s="1"/>
  <c r="F5" i="12"/>
  <c r="G7" i="12"/>
  <c r="H11" i="12"/>
  <c r="H3" i="12"/>
  <c r="H5" i="12" s="1"/>
  <c r="L3" i="12"/>
  <c r="G13" i="12"/>
  <c r="L13" i="12" s="1"/>
  <c r="H7" i="12"/>
  <c r="H9" i="12" s="1"/>
  <c r="G8" i="12"/>
  <c r="L8" i="12" s="1"/>
  <c r="H13" i="12"/>
  <c r="L2" i="34"/>
  <c r="L7" i="34"/>
  <c r="L9" i="34" s="1"/>
  <c r="F9" i="34"/>
  <c r="F5" i="34"/>
  <c r="G7" i="34"/>
  <c r="G9" i="34" s="1"/>
  <c r="H11" i="34"/>
  <c r="G3" i="34"/>
  <c r="G5" i="34" s="1"/>
  <c r="L11" i="34"/>
  <c r="H3" i="34"/>
  <c r="H5" i="34" s="1"/>
  <c r="G13" i="34"/>
  <c r="L13" i="34" s="1"/>
  <c r="L2" i="33"/>
  <c r="G5" i="33"/>
  <c r="K4" i="33"/>
  <c r="L4" i="33" s="1"/>
  <c r="K3" i="33"/>
  <c r="K5" i="33" s="1"/>
  <c r="G3" i="32"/>
  <c r="L3" i="32" s="1"/>
  <c r="L4" i="32" s="1"/>
  <c r="L2" i="54" l="1"/>
  <c r="L2" i="49"/>
  <c r="L7" i="12"/>
  <c r="L9" i="12" s="1"/>
  <c r="L5" i="12"/>
  <c r="G9" i="12"/>
  <c r="L3" i="34"/>
  <c r="L5" i="34" s="1"/>
  <c r="L3" i="33"/>
  <c r="L5" i="33" s="1"/>
  <c r="G4" i="32"/>
  <c r="F4" i="31" l="1"/>
  <c r="L3" i="31"/>
  <c r="L2" i="31"/>
  <c r="K4" i="31"/>
  <c r="I4" i="31"/>
  <c r="J3" i="31"/>
  <c r="F3" i="31"/>
  <c r="H3" i="31" s="1"/>
  <c r="J2" i="31"/>
  <c r="F2" i="31"/>
  <c r="J4" i="31" l="1"/>
  <c r="G3" i="31"/>
  <c r="G2" i="31"/>
  <c r="H2" i="31"/>
  <c r="H4" i="31" s="1"/>
  <c r="G4" i="31" l="1"/>
  <c r="K10" i="9" l="1"/>
  <c r="K5" i="9"/>
  <c r="K10" i="8"/>
  <c r="K5" i="8"/>
  <c r="K9" i="7"/>
  <c r="K5" i="7"/>
  <c r="K5" i="15"/>
  <c r="K5" i="14"/>
  <c r="K5" i="13"/>
  <c r="K5" i="30"/>
  <c r="L2" i="30"/>
  <c r="J5" i="30"/>
  <c r="I5" i="30"/>
  <c r="L4" i="30"/>
  <c r="H4" i="30"/>
  <c r="G4" i="30"/>
  <c r="K4" i="30" s="1"/>
  <c r="F4" i="30"/>
  <c r="G3" i="30"/>
  <c r="F3" i="30"/>
  <c r="H2" i="30"/>
  <c r="F2" i="30"/>
  <c r="G2" i="30" s="1"/>
  <c r="J4" i="29"/>
  <c r="I4" i="29"/>
  <c r="K4" i="29"/>
  <c r="J3" i="29"/>
  <c r="G3" i="29"/>
  <c r="F3" i="29"/>
  <c r="H3" i="29" s="1"/>
  <c r="L3" i="29" s="1"/>
  <c r="J2" i="29"/>
  <c r="F2" i="29"/>
  <c r="I4" i="28"/>
  <c r="H4" i="28"/>
  <c r="K4" i="28"/>
  <c r="L3" i="28"/>
  <c r="J3" i="28"/>
  <c r="H3" i="28"/>
  <c r="G3" i="28"/>
  <c r="F3" i="28"/>
  <c r="J2" i="28"/>
  <c r="J4" i="28" s="1"/>
  <c r="G2" i="28"/>
  <c r="G4" i="28" s="1"/>
  <c r="F2" i="28"/>
  <c r="H4" i="27"/>
  <c r="G4" i="27"/>
  <c r="K4" i="27"/>
  <c r="I4" i="27"/>
  <c r="J3" i="27"/>
  <c r="H3" i="27"/>
  <c r="G3" i="27"/>
  <c r="F3" i="27"/>
  <c r="L3" i="27" s="1"/>
  <c r="J2" i="27"/>
  <c r="J4" i="27" s="1"/>
  <c r="F2" i="27"/>
  <c r="H2" i="27" s="1"/>
  <c r="L4" i="26"/>
  <c r="J4" i="26"/>
  <c r="I4" i="26"/>
  <c r="H4" i="26"/>
  <c r="F4" i="26"/>
  <c r="J3" i="26"/>
  <c r="F3" i="26"/>
  <c r="J2" i="26"/>
  <c r="H2" i="26"/>
  <c r="G2" i="26"/>
  <c r="L2" i="26" s="1"/>
  <c r="F2" i="26"/>
  <c r="J3" i="25"/>
  <c r="F3" i="25"/>
  <c r="H3" i="25" s="1"/>
  <c r="J2" i="25"/>
  <c r="F2" i="25"/>
  <c r="G4" i="24"/>
  <c r="L2" i="24"/>
  <c r="K4" i="24"/>
  <c r="I4" i="24"/>
  <c r="J3" i="24"/>
  <c r="H3" i="24"/>
  <c r="G3" i="24"/>
  <c r="F3" i="24"/>
  <c r="L3" i="24" s="1"/>
  <c r="J2" i="24"/>
  <c r="J4" i="24" s="1"/>
  <c r="G2" i="24"/>
  <c r="F2" i="24"/>
  <c r="H2" i="24" s="1"/>
  <c r="H4" i="24" s="1"/>
  <c r="L9" i="9"/>
  <c r="L8" i="9"/>
  <c r="L7" i="9"/>
  <c r="L4" i="9"/>
  <c r="L3" i="9"/>
  <c r="L2" i="9"/>
  <c r="L9" i="8"/>
  <c r="L8" i="8"/>
  <c r="L7" i="8"/>
  <c r="L4" i="8"/>
  <c r="L3" i="8"/>
  <c r="L2" i="8"/>
  <c r="L8" i="7"/>
  <c r="L7" i="7"/>
  <c r="L3" i="7"/>
  <c r="L4" i="7"/>
  <c r="L2" i="7"/>
  <c r="L4" i="13"/>
  <c r="L3" i="13"/>
  <c r="L2" i="13"/>
  <c r="K4" i="23"/>
  <c r="I4" i="23"/>
  <c r="J3" i="23"/>
  <c r="H3" i="23"/>
  <c r="G3" i="23"/>
  <c r="F3" i="23"/>
  <c r="L3" i="23" s="1"/>
  <c r="J2" i="23"/>
  <c r="J4" i="23" s="1"/>
  <c r="F2" i="23"/>
  <c r="L18" i="9"/>
  <c r="L17" i="9"/>
  <c r="L13" i="9"/>
  <c r="L14" i="9"/>
  <c r="L12" i="9"/>
  <c r="L3" i="22"/>
  <c r="L4" i="22"/>
  <c r="J5" i="22"/>
  <c r="I5" i="22"/>
  <c r="F5" i="22"/>
  <c r="F4" i="22"/>
  <c r="H3" i="22"/>
  <c r="G3" i="22"/>
  <c r="K3" i="22" s="1"/>
  <c r="F3" i="22"/>
  <c r="F2" i="22"/>
  <c r="G2" i="22" s="1"/>
  <c r="K4" i="21"/>
  <c r="I4" i="21"/>
  <c r="L3" i="21"/>
  <c r="J3" i="21"/>
  <c r="H3" i="21"/>
  <c r="G3" i="21"/>
  <c r="F3" i="21"/>
  <c r="J2" i="21"/>
  <c r="J4" i="21" s="1"/>
  <c r="H2" i="21"/>
  <c r="H4" i="21" s="1"/>
  <c r="G2" i="21"/>
  <c r="G4" i="21" s="1"/>
  <c r="F2" i="21"/>
  <c r="L2" i="21" s="1"/>
  <c r="K18" i="9"/>
  <c r="H3" i="19"/>
  <c r="H4" i="19"/>
  <c r="K4" i="19" s="1"/>
  <c r="G4" i="19"/>
  <c r="F2" i="19"/>
  <c r="H2" i="19" s="1"/>
  <c r="J5" i="19"/>
  <c r="I5" i="19"/>
  <c r="F4" i="19"/>
  <c r="F3" i="19"/>
  <c r="G3" i="19" s="1"/>
  <c r="H2" i="18"/>
  <c r="K4" i="18"/>
  <c r="I4" i="18"/>
  <c r="J3" i="18"/>
  <c r="H3" i="18"/>
  <c r="H4" i="18" s="1"/>
  <c r="G3" i="18"/>
  <c r="F3" i="18"/>
  <c r="L3" i="18" s="1"/>
  <c r="J4" i="18"/>
  <c r="F2" i="18"/>
  <c r="G2" i="18" s="1"/>
  <c r="G4" i="18" s="1"/>
  <c r="H8" i="8"/>
  <c r="H9" i="8"/>
  <c r="H7" i="8"/>
  <c r="H3" i="8"/>
  <c r="H4" i="8"/>
  <c r="H2" i="8"/>
  <c r="H11" i="7"/>
  <c r="H8" i="7"/>
  <c r="H7" i="7"/>
  <c r="H3" i="7"/>
  <c r="H4" i="7"/>
  <c r="H2" i="7"/>
  <c r="H3" i="13"/>
  <c r="H4" i="13"/>
  <c r="H2" i="13"/>
  <c r="G2" i="17"/>
  <c r="K4" i="17"/>
  <c r="I4" i="17"/>
  <c r="G4" i="17"/>
  <c r="J3" i="17"/>
  <c r="H3" i="17"/>
  <c r="L3" i="17" s="1"/>
  <c r="G3" i="17"/>
  <c r="F3" i="17"/>
  <c r="J2" i="17"/>
  <c r="J4" i="17" s="1"/>
  <c r="F2" i="17"/>
  <c r="H4" i="17" s="1"/>
  <c r="G8" i="8"/>
  <c r="G9" i="8"/>
  <c r="G7" i="8"/>
  <c r="G3" i="8"/>
  <c r="G4" i="8"/>
  <c r="G2" i="8"/>
  <c r="G11" i="7"/>
  <c r="G8" i="7"/>
  <c r="G7" i="7"/>
  <c r="G3" i="7"/>
  <c r="G4" i="7"/>
  <c r="G2" i="7"/>
  <c r="G3" i="13"/>
  <c r="G4" i="13"/>
  <c r="G2" i="13"/>
  <c r="K4" i="16"/>
  <c r="I4" i="16"/>
  <c r="J3" i="16"/>
  <c r="F3" i="16"/>
  <c r="H3" i="16" s="1"/>
  <c r="J2" i="16"/>
  <c r="J4" i="16" s="1"/>
  <c r="F2" i="16"/>
  <c r="G2" i="19" l="1"/>
  <c r="K3" i="19"/>
  <c r="K2" i="30"/>
  <c r="G5" i="30"/>
  <c r="H3" i="30"/>
  <c r="H5" i="30" s="1"/>
  <c r="F5" i="30"/>
  <c r="K3" i="30"/>
  <c r="G2" i="29"/>
  <c r="G4" i="29" s="1"/>
  <c r="H2" i="29"/>
  <c r="H4" i="29" s="1"/>
  <c r="L2" i="29"/>
  <c r="H2" i="28"/>
  <c r="G2" i="27"/>
  <c r="L2" i="27"/>
  <c r="G3" i="26"/>
  <c r="L3" i="26" s="1"/>
  <c r="H3" i="26"/>
  <c r="G3" i="25"/>
  <c r="L3" i="25"/>
  <c r="H2" i="25"/>
  <c r="G2" i="25"/>
  <c r="G2" i="23"/>
  <c r="G4" i="23" s="1"/>
  <c r="H2" i="23"/>
  <c r="H4" i="23" s="1"/>
  <c r="H2" i="22"/>
  <c r="K2" i="22"/>
  <c r="G4" i="22"/>
  <c r="H4" i="22"/>
  <c r="K5" i="19"/>
  <c r="L4" i="19"/>
  <c r="L2" i="19"/>
  <c r="F5" i="19"/>
  <c r="H5" i="19"/>
  <c r="L2" i="18"/>
  <c r="H5" i="7"/>
  <c r="L2" i="17"/>
  <c r="H2" i="16"/>
  <c r="H4" i="16" s="1"/>
  <c r="G3" i="16"/>
  <c r="L3" i="16" s="1"/>
  <c r="L3" i="30" l="1"/>
  <c r="L5" i="30" s="1"/>
  <c r="L2" i="28"/>
  <c r="L2" i="25"/>
  <c r="H5" i="22"/>
  <c r="K4" i="22"/>
  <c r="L5" i="22" s="1"/>
  <c r="G5" i="22"/>
  <c r="G5" i="19"/>
  <c r="L3" i="19"/>
  <c r="L5" i="19" s="1"/>
  <c r="G4" i="16"/>
  <c r="L2" i="16"/>
  <c r="K5" i="22" l="1"/>
  <c r="J5" i="15"/>
  <c r="I5" i="15"/>
  <c r="F4" i="15"/>
  <c r="H4" i="15" s="1"/>
  <c r="F3" i="15"/>
  <c r="H2" i="15"/>
  <c r="J10" i="8"/>
  <c r="I10" i="8"/>
  <c r="F9" i="8"/>
  <c r="F8" i="8"/>
  <c r="F7" i="8"/>
  <c r="J5" i="8"/>
  <c r="I5" i="8"/>
  <c r="F4" i="8"/>
  <c r="F3" i="8"/>
  <c r="F2" i="8"/>
  <c r="J5" i="14"/>
  <c r="I5" i="14"/>
  <c r="F4" i="14"/>
  <c r="F3" i="14"/>
  <c r="F2" i="14"/>
  <c r="J5" i="13"/>
  <c r="I5" i="13"/>
  <c r="F4" i="13"/>
  <c r="F3" i="13"/>
  <c r="F2" i="13"/>
  <c r="F2" i="10"/>
  <c r="F4" i="10"/>
  <c r="F6" i="10"/>
  <c r="F2" i="9"/>
  <c r="F3" i="9"/>
  <c r="F4" i="9"/>
  <c r="I5" i="9"/>
  <c r="J5" i="9"/>
  <c r="F7" i="9"/>
  <c r="F8" i="9"/>
  <c r="F9" i="9"/>
  <c r="I10" i="9"/>
  <c r="J10" i="9"/>
  <c r="F12" i="9"/>
  <c r="F13" i="9"/>
  <c r="F14" i="9"/>
  <c r="I15" i="9"/>
  <c r="J15" i="9"/>
  <c r="F17" i="9"/>
  <c r="F18" i="9"/>
  <c r="F19" i="9"/>
  <c r="I19" i="9"/>
  <c r="J19" i="9"/>
  <c r="F2" i="7"/>
  <c r="F3" i="7"/>
  <c r="F4" i="7"/>
  <c r="I5" i="7"/>
  <c r="J5" i="7"/>
  <c r="F7" i="7"/>
  <c r="F8" i="7"/>
  <c r="I9" i="7"/>
  <c r="J9" i="7"/>
  <c r="F11" i="7"/>
  <c r="F13" i="7"/>
  <c r="H13" i="7" l="1"/>
  <c r="G13" i="7"/>
  <c r="L13" i="7" s="1"/>
  <c r="G12" i="9"/>
  <c r="H12" i="9"/>
  <c r="K12" i="9"/>
  <c r="H13" i="9"/>
  <c r="G13" i="9"/>
  <c r="G8" i="9"/>
  <c r="H8" i="9"/>
  <c r="G4" i="9"/>
  <c r="H4" i="9"/>
  <c r="G3" i="9"/>
  <c r="H3" i="9"/>
  <c r="H5" i="9" s="1"/>
  <c r="H2" i="9"/>
  <c r="G2" i="9"/>
  <c r="G5" i="9" s="1"/>
  <c r="H9" i="9"/>
  <c r="G9" i="9"/>
  <c r="H7" i="9"/>
  <c r="G7" i="9"/>
  <c r="G18" i="9"/>
  <c r="H18" i="9"/>
  <c r="G17" i="9"/>
  <c r="H17" i="9"/>
  <c r="K17" i="9" s="1"/>
  <c r="K19" i="9" s="1"/>
  <c r="H14" i="9"/>
  <c r="G14" i="9"/>
  <c r="G4" i="15"/>
  <c r="L4" i="15" s="1"/>
  <c r="F5" i="15"/>
  <c r="G3" i="15"/>
  <c r="L3" i="15" s="1"/>
  <c r="H3" i="15"/>
  <c r="H5" i="15" s="1"/>
  <c r="G2" i="15"/>
  <c r="G9" i="7"/>
  <c r="H10" i="8"/>
  <c r="F5" i="14"/>
  <c r="H5" i="13"/>
  <c r="H19" i="9"/>
  <c r="F15" i="9"/>
  <c r="H9" i="7"/>
  <c r="F2" i="2"/>
  <c r="G10" i="9" l="1"/>
  <c r="K13" i="9"/>
  <c r="K14" i="9"/>
  <c r="G15" i="9"/>
  <c r="L2" i="15"/>
  <c r="L5" i="15" s="1"/>
  <c r="G5" i="15"/>
  <c r="G5" i="7"/>
  <c r="G5" i="8"/>
  <c r="G10" i="8"/>
  <c r="H5" i="8"/>
  <c r="H5" i="14"/>
  <c r="L5" i="14"/>
  <c r="G5" i="14"/>
  <c r="G5" i="13"/>
  <c r="H10" i="9"/>
  <c r="G19" i="9"/>
  <c r="L19" i="9"/>
  <c r="H15" i="9"/>
  <c r="H2" i="2"/>
  <c r="G2" i="2"/>
  <c r="L15" i="9" l="1"/>
  <c r="K15" i="9"/>
  <c r="L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D2A4F95B-CDBE-432B-B036-B0291D562E73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Andrei Diego Cardoso</author>
  </authors>
  <commentList>
    <comment ref="K2" authorId="0" shapeId="0" xr:uid="{A816318B-6C6C-417A-82FC-56C33FF54C9F}">
      <text>
        <r>
          <rPr>
            <sz val="9"/>
            <color indexed="81"/>
            <rFont val="Tahoma"/>
            <family val="2"/>
          </rPr>
          <t>=((F2 - G2 - H2 - I2 - J2) - (O12 * D2)) * 0,005%</t>
        </r>
      </text>
    </comment>
  </commentList>
</comments>
</file>

<file path=xl/sharedStrings.xml><?xml version="1.0" encoding="utf-8"?>
<sst xmlns="http://schemas.openxmlformats.org/spreadsheetml/2006/main" count="1601" uniqueCount="49">
  <si>
    <t>BBAS3</t>
  </si>
  <si>
    <t>PETR4</t>
  </si>
  <si>
    <t>GGBR4</t>
  </si>
  <si>
    <t>ITSA4</t>
  </si>
  <si>
    <t>VALE5</t>
  </si>
  <si>
    <t>KLBN4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</si>
  <si>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</si>
  <si>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</si>
  <si>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</si>
  <si>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</si>
  <si>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</si>
  <si>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</si>
  <si>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</si>
  <si>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</si>
  <si>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</si>
  <si>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</si>
  <si>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</si>
  <si>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</si>
  <si>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</si>
  <si>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</si>
  <si>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</si>
  <si>
    <t>AZUL4</t>
  </si>
  <si>
    <t>EMBR3</t>
  </si>
  <si>
    <t>SLCE3</t>
  </si>
  <si>
    <t>RAIL3</t>
  </si>
  <si>
    <t>I662</t>
  </si>
  <si>
    <t>l00</t>
  </si>
  <si>
    <t>R$ l5,34</t>
  </si>
  <si>
    <t>R$ l534,00</t>
  </si>
  <si>
    <t>R$ O,42</t>
  </si>
  <si>
    <t>R$ O,11</t>
  </si>
  <si>
    <t>R$ l5,99</t>
  </si>
  <si>
    <t>R$ O,8O</t>
  </si>
  <si>
    <t>R$ O,OO</t>
  </si>
  <si>
    <t>R$ l551,32</t>
  </si>
  <si>
    <t>O5/11/2008</t>
  </si>
  <si>
    <t>05/13/2008</t>
  </si>
  <si>
    <t>-R$ 9.322,OO</t>
  </si>
  <si>
    <t>R$ 2,S6</t>
  </si>
  <si>
    <t>R$ O,65</t>
  </si>
  <si>
    <t>R$ 4T,97</t>
  </si>
  <si>
    <t>R$ 2,4O</t>
  </si>
  <si>
    <t>-R$ 9.37S,S9</t>
  </si>
  <si>
    <t>BVMF3</t>
  </si>
  <si>
    <t>LAME4</t>
  </si>
  <si>
    <t>R$ O,87</t>
  </si>
  <si>
    <t>0S/11/2008</t>
  </si>
  <si>
    <t>S00</t>
  </si>
  <si>
    <t>II62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</si>
</sst>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R$&quot;\ #,##0.00;\-&quot;R$&quot;\ #,##0.00"/>
    <numFmt numFmtId="8" formatCode="&quot;R$&quot;\ #,##0.00;[Red]\-&quot;R$&quot;\ #,##0.00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5B9BD5"/>
      <name val="Calibri"/>
      <family val="2"/>
      <scheme val="minor"/>
    </font>
    <font>
      <b/>
      <sz val="11"/>
      <color rgb="FF5B9BD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4" fillId="0" borderId="0" xfId="0" applyFont="1"/>
    <xf numFmtId="8" fontId="4" fillId="0" borderId="0" xfId="0" applyNumberFormat="1" applyFont="1"/>
    <xf numFmtId="14" fontId="0" fillId="0" borderId="0" xfId="0" applyNumberFormat="1"/>
    <xf numFmtId="14" fontId="4" fillId="0" borderId="0" xfId="0" applyNumberFormat="1" applyFont="1"/>
    <xf numFmtId="0" fontId="0" fillId="0" borderId="0" xfId="0"/>
    <xf numFmtId="0" fontId="4" fillId="2" borderId="0" xfId="0" applyFont="1" applyFill="1"/>
    <xf numFmtId="0" fontId="4" fillId="0" borderId="0" xfId="0" applyFont="1"/>
    <xf numFmtId="0" fontId="0" fillId="0" borderId="0" xfId="0"/>
    <xf numFmtId="8" fontId="7" fillId="0" borderId="0" xfId="0" applyNumberFormat="1" applyFont="1"/>
    <xf numFmtId="0" fontId="7" fillId="0" borderId="0" xfId="0" applyFont="1"/>
    <xf numFmtId="0" fontId="4" fillId="0" borderId="0" xfId="0" applyFont="1"/>
    <xf numFmtId="8" fontId="2" fillId="0" borderId="0" xfId="0" quotePrefix="1" applyNumberFormat="1" applyFont="1"/>
    <xf numFmtId="14" fontId="2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0" borderId="0" xfId="0"/>
    <xf numFmtId="2" fontId="2" fillId="0" borderId="0" xfId="0" applyNumberFormat="1" applyFont="1"/>
    <xf numFmtId="0" fontId="10" fillId="0" borderId="0" xfId="0" applyFont="1"/>
    <xf numFmtId="8" fontId="10" fillId="0" borderId="0" xfId="0" applyNumberFormat="1" applyFont="1"/>
    <xf numFmtId="14" fontId="10" fillId="0" borderId="0" xfId="0" applyNumberFormat="1" applyFont="1"/>
    <xf numFmtId="14" fontId="11" fillId="0" borderId="0" xfId="0" applyNumberFormat="1" applyFont="1"/>
    <xf numFmtId="0" fontId="11" fillId="0" borderId="0" xfId="0" applyFont="1"/>
    <xf numFmtId="8" fontId="11" fillId="0" borderId="0" xfId="0" applyNumberFormat="1" applyFont="1"/>
    <xf numFmtId="0" fontId="10" fillId="0" borderId="0" xfId="0" applyNumberFormat="1" applyFont="1"/>
    <xf numFmtId="7" fontId="10" fillId="0" borderId="0" xfId="0" applyNumberFormat="1" applyFont="1"/>
    <xf numFmtId="4" fontId="11" fillId="0" borderId="0" xfId="0" applyNumberFormat="1" applyFont="1"/>
    <xf numFmtId="2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theme" Target="theme/theme1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39757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0.74*(F2/SUM(F2:F2))</f>
        <v>0.74</v>
      </c>
      <c r="H2" s="12">
        <f>2.51*(F2/SUM(F2:F2))</f>
        <v>2.5099999999999998</v>
      </c>
      <c r="I2" s="12">
        <v>15.99</v>
      </c>
      <c r="J2" s="12">
        <v>0.8</v>
      </c>
      <c r="L2" s="12">
        <f>F2+G2+H2+I2</f>
        <v>1553.24</v>
      </c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237FC-86A6-42F5-B3CD-F725B4DFF9E2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-1662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0E594-CB91-4439-95F2-7F159495761F}">
  <dimension ref="A1:AC4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0.01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0.01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F43A8-C89C-44C0-BF29-1F8134A0151F}">
  <dimension ref="A1:AC8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40073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F2*0.007%</f>
        <v>0.49210000000000004</v>
      </c>
      <c r="I2" s="29">
        <v>15.99</v>
      </c>
      <c r="J2" s="29">
        <v>0.8</v>
      </c>
      <c r="K2" s="29">
        <f>((F2 - G2 - H2 - I2 - J2) - (30.88 * D2)) * 0.005%</f>
        <v>4.173923249999998E-2</v>
      </c>
      <c r="L2" s="29">
        <v>7010.81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40073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 t="shared" ref="G3:G4" si="0">F3*0.0275%</f>
        <v>1.8963999999999999</v>
      </c>
      <c r="H3" s="29">
        <f t="shared" ref="H3:H4" si="1">F3*0.007%</f>
        <v>0.48271999999999998</v>
      </c>
      <c r="I3" s="29">
        <v>15.99</v>
      </c>
      <c r="J3" s="29">
        <v>0.8</v>
      </c>
      <c r="K3" s="29">
        <f>((F3 - G3 - H3 - I3 - J3) - (30.88 * D3)) * 0.005%</f>
        <v>3.504154399999998E-2</v>
      </c>
      <c r="L3" s="29">
        <f t="shared" ref="L3:L4" si="2">F3-G3-H3-I3-J3</f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40073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 t="shared" si="0"/>
        <v>1.7050000000000001</v>
      </c>
      <c r="H4" s="29">
        <f t="shared" si="1"/>
        <v>0.43400000000000005</v>
      </c>
      <c r="I4" s="29">
        <v>15.99</v>
      </c>
      <c r="J4" s="29">
        <v>0.8</v>
      </c>
      <c r="K4" s="29">
        <f>((F4 - G4 - H4 - I4 - J4) - (30.88 * D4)) * 0.005%</f>
        <v>2.5354999999999567E-4</v>
      </c>
      <c r="L4" s="29">
        <f t="shared" si="2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3">
        <f t="shared" ref="F5:L5" si="3">SUM(F2:F4)</f>
        <v>20126</v>
      </c>
      <c r="G5" s="33">
        <f t="shared" si="3"/>
        <v>5.5346500000000001</v>
      </c>
      <c r="H5" s="33">
        <f t="shared" si="3"/>
        <v>1.40882</v>
      </c>
      <c r="I5" s="33">
        <f t="shared" si="3"/>
        <v>47.97</v>
      </c>
      <c r="J5" s="33">
        <f t="shared" si="3"/>
        <v>2.4000000000000004</v>
      </c>
      <c r="K5" s="33">
        <f t="shared" si="3"/>
        <v>7.7034326499999944E-2</v>
      </c>
      <c r="L5" s="33">
        <f t="shared" si="3"/>
        <v>20068.711879999999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AE87-00E8-4CF9-A517-EB6C0CA40610}">
  <dimension ref="A1:AC4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v>11005.45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-22611.049350000001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BEB4-905E-4036-959A-F9A0226AF070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>SUM(G2:G3) + 0.03</f>
        <v>5.6800000000000006</v>
      </c>
      <c r="H4" s="7">
        <f t="shared" ref="H4:K4" si="2">SUM(H2:H3)</f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7349E-D984-4817-800E-2EB4836D5B5D}">
  <dimension ref="A1:AC4"/>
  <sheetViews>
    <sheetView workbookViewId="0">
      <pane ySplit="1" topLeftCell="A2" activePane="bottomLeft" state="frozen"/>
      <selection activeCell="Q108" sqref="Q108"/>
      <selection pane="bottomLeft" activeCell="H4" sqref="H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 - 0.03</f>
        <v>1.1000000000000001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5F892-A6B4-4288-ADB5-125D04E295EB}">
  <dimension ref="A1:AC4"/>
  <sheetViews>
    <sheetView workbookViewId="0">
      <pane ySplit="1" topLeftCell="A2" activePane="bottomLeft" state="frozen"/>
      <selection activeCell="Q108" sqref="Q108"/>
      <selection pane="bottomLeft" activeCell="I4" sqref="I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 - 0.03</f>
        <v>3.95</v>
      </c>
      <c r="J4" s="7">
        <f t="shared" si="2"/>
        <v>0.25869999999999999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F9D80-1D28-4F3C-95F7-8DE9883A26F0}">
  <dimension ref="A1:AC4"/>
  <sheetViews>
    <sheetView workbookViewId="0">
      <pane ySplit="1" topLeftCell="A2" activePane="bottomLeft" state="frozen"/>
      <selection activeCell="Q108" sqref="Q108"/>
      <selection pane="bottomLeft" activeCell="J4" sqref="J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>SUM(H2:H3)</f>
        <v>1.1300000000000001</v>
      </c>
      <c r="I4" s="7">
        <f>SUM(I2:I3)</f>
        <v>3.98</v>
      </c>
      <c r="J4" s="7">
        <f>SUM(J2:J3) + 0.03</f>
        <v>0.28869999999999996</v>
      </c>
      <c r="K4" s="7">
        <f t="shared" si="2"/>
        <v>0</v>
      </c>
      <c r="L4" s="7">
        <f>-SUM(L2:L3)</f>
        <v>-22611.018699999997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BF0F-8645-49A4-A6C8-BE755BFA7BE7}">
  <dimension ref="A1:AC8"/>
  <sheetViews>
    <sheetView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40073</v>
      </c>
      <c r="B2" s="28">
        <v>1462</v>
      </c>
      <c r="C2" s="28" t="s">
        <v>4</v>
      </c>
      <c r="D2" s="28">
        <v>200</v>
      </c>
      <c r="E2" s="29">
        <v>35.15</v>
      </c>
      <c r="F2" s="29">
        <f>D2*E2</f>
        <v>7030</v>
      </c>
      <c r="G2" s="29">
        <f>F2*0.0275%</f>
        <v>1.9332500000000001</v>
      </c>
      <c r="H2" s="29">
        <f>F2*0.007%</f>
        <v>0.49210000000000004</v>
      </c>
      <c r="I2" s="29">
        <v>15.99</v>
      </c>
      <c r="J2" s="29">
        <v>0.8</v>
      </c>
      <c r="K2" s="29">
        <f>((F2 - G2 - H2 - I2 - J2) - (30.88 * D2)) * 0.005%</f>
        <v>4.173923249999998E-2</v>
      </c>
      <c r="L2" s="29">
        <f t="shared" ref="L2:L4" si="0">F2-G2-H2-I2-J2</f>
        <v>7010.7846499999996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40073</v>
      </c>
      <c r="B3" s="28">
        <v>1462</v>
      </c>
      <c r="C3" s="28" t="s">
        <v>4</v>
      </c>
      <c r="D3" s="28">
        <v>200</v>
      </c>
      <c r="E3" s="29">
        <v>34.479999999999997</v>
      </c>
      <c r="F3" s="29">
        <f>D3*E3</f>
        <v>6895.9999999999991</v>
      </c>
      <c r="G3" s="29">
        <f t="shared" ref="G3:G4" si="1">F3*0.0275%</f>
        <v>1.8963999999999999</v>
      </c>
      <c r="H3" s="29">
        <f t="shared" ref="H3:H4" si="2">F3*0.007%</f>
        <v>0.48271999999999998</v>
      </c>
      <c r="I3" s="29">
        <v>15.99</v>
      </c>
      <c r="J3" s="29">
        <v>0.8</v>
      </c>
      <c r="K3" s="29">
        <f>((F3 - G3 - H3 - I3 - J3) - (30.88 * D3)) * 0.005%</f>
        <v>3.504154399999998E-2</v>
      </c>
      <c r="L3" s="29">
        <f t="shared" si="0"/>
        <v>6876.8308799999995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40073</v>
      </c>
      <c r="B4" s="28">
        <v>1462</v>
      </c>
      <c r="C4" s="28" t="s">
        <v>4</v>
      </c>
      <c r="D4" s="28">
        <v>200</v>
      </c>
      <c r="E4" s="29">
        <v>31</v>
      </c>
      <c r="F4" s="29">
        <f>D4*E4</f>
        <v>6200</v>
      </c>
      <c r="G4" s="29">
        <f t="shared" si="1"/>
        <v>1.7050000000000001</v>
      </c>
      <c r="H4" s="29">
        <f t="shared" si="2"/>
        <v>0.43400000000000005</v>
      </c>
      <c r="I4" s="29">
        <v>15.99</v>
      </c>
      <c r="J4" s="29">
        <v>0.8</v>
      </c>
      <c r="K4" s="29">
        <f>((F4 - G4 - H4 - I4 - J4) - (30.88 * D4)) * 0.005%</f>
        <v>2.5354999999999567E-4</v>
      </c>
      <c r="L4" s="29">
        <f t="shared" si="0"/>
        <v>6181.0709999999999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3">
        <f t="shared" ref="F5:L5" si="3">SUM(F2:F4)</f>
        <v>20126</v>
      </c>
      <c r="G5" s="33">
        <f t="shared" si="3"/>
        <v>5.5346500000000001</v>
      </c>
      <c r="H5" s="33">
        <f t="shared" si="3"/>
        <v>1.40882</v>
      </c>
      <c r="I5" s="33">
        <f t="shared" si="3"/>
        <v>47.97</v>
      </c>
      <c r="J5" s="33">
        <f t="shared" si="3"/>
        <v>2.4000000000000004</v>
      </c>
      <c r="K5" s="33">
        <f>SUM(K2:K4) - 0.03</f>
        <v>4.7034326499999946E-2</v>
      </c>
      <c r="L5" s="33">
        <f t="shared" si="3"/>
        <v>20068.686529999999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E8" s="2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3D49-8D2C-42B2-98C7-9E862E8E00C6}">
  <dimension ref="A1:AB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42996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 t="shared" si="0"/>
        <v>2.0212500000000002</v>
      </c>
      <c r="H3" s="3">
        <f>F3*0.005%</f>
        <v>0.36749999999999999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21B46-AB87-4CAA-ABF7-E48CFDA36C4A}">
  <dimension ref="A1:AC4"/>
  <sheetViews>
    <sheetView workbookViewId="0">
      <pane ySplit="1" topLeftCell="A2" activePane="bottomLeft" state="frozen"/>
      <selection pane="bottomLeft" activeCell="F4" sqref="F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42996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 t="shared" si="0"/>
        <v>2.0212500000000002</v>
      </c>
      <c r="H3" s="29">
        <f>F3*0.005%</f>
        <v>0.36749999999999999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FF2F8-FD89-4B31-BC92-2C175C3A29E3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 t="s">
        <v>25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17DF-AD8D-4011-9FBC-F9E81BE4369B}">
  <dimension ref="A1:AB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style="18" bestFit="1" customWidth="1"/>
    <col min="2" max="2" width="7" style="18" bestFit="1" customWidth="1"/>
    <col min="3" max="3" width="6" style="18" bestFit="1" customWidth="1"/>
    <col min="4" max="4" width="5.42578125" style="18" bestFit="1" customWidth="1"/>
    <col min="5" max="5" width="8.140625" style="18" bestFit="1" customWidth="1"/>
    <col min="6" max="6" width="11.42578125" style="18" bestFit="1" customWidth="1"/>
    <col min="7" max="7" width="17.85546875" style="18" bestFit="1" customWidth="1"/>
    <col min="8" max="8" width="13.42578125" style="18" bestFit="1" customWidth="1"/>
    <col min="9" max="9" width="11.42578125" style="18" bestFit="1" customWidth="1"/>
    <col min="10" max="11" width="7.140625" style="18" bestFit="1" customWidth="1"/>
    <col min="12" max="12" width="11.42578125" style="18" bestFit="1" customWidth="1"/>
    <col min="13" max="13" width="2.5703125" style="18" customWidth="1"/>
    <col min="14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9" customFormat="1" x14ac:dyDescent="0.25">
      <c r="A3" s="5">
        <v>42996</v>
      </c>
      <c r="B3" s="4">
        <v>168102</v>
      </c>
      <c r="C3" s="4" t="s">
        <v>24</v>
      </c>
      <c r="D3" s="4">
        <v>700</v>
      </c>
      <c r="E3" s="3">
        <v>10.5</v>
      </c>
      <c r="F3" s="3">
        <f>D3*E3</f>
        <v>7350</v>
      </c>
      <c r="G3" s="3">
        <f t="shared" si="0"/>
        <v>2.0212500000000002</v>
      </c>
      <c r="H3" s="3">
        <f>F3*0.005%</f>
        <v>0.36749999999999999</v>
      </c>
      <c r="I3" s="3">
        <v>2.4900000000000002</v>
      </c>
      <c r="J3" s="3">
        <f>I3*5%</f>
        <v>0.12450000000000001</v>
      </c>
      <c r="K3" s="3">
        <v>0</v>
      </c>
      <c r="L3" s="3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8" s="4" customFormat="1" x14ac:dyDescent="0.25">
      <c r="A4" s="5"/>
      <c r="E4" s="3"/>
      <c r="F4" s="7">
        <f t="shared" ref="F4:K4" si="1">SUM(F2:F3)</f>
        <v>16810</v>
      </c>
      <c r="G4" s="7">
        <f t="shared" si="1"/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>L3-L2</f>
        <v>-2110.6857500000006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39107-DEBE-454A-A911-9FAC6360BB3B}">
  <dimension ref="A1:AC4"/>
  <sheetViews>
    <sheetView workbookViewId="0">
      <pane ySplit="1" topLeftCell="A2" activePane="bottomLeft" state="frozen"/>
      <selection pane="bottomLeft" activeCell="L4" sqref="L4"/>
    </sheetView>
  </sheetViews>
  <sheetFormatPr defaultRowHeight="15" x14ac:dyDescent="0.25"/>
  <cols>
    <col min="1" max="1" width="11.5703125" bestFit="1" customWidth="1"/>
    <col min="2" max="2" width="7" bestFit="1" customWidth="1"/>
    <col min="3" max="3" width="6" bestFit="1" customWidth="1"/>
    <col min="4" max="4" width="5.42578125" bestFit="1" customWidth="1"/>
    <col min="5" max="5" width="8.140625" bestFit="1" customWidth="1"/>
    <col min="6" max="6" width="11.42578125" bestFit="1" customWidth="1"/>
    <col min="7" max="7" width="17.85546875" bestFit="1" customWidth="1"/>
    <col min="8" max="8" width="13.42578125" bestFit="1" customWidth="1"/>
    <col min="9" max="9" width="11.42578125" bestFit="1" customWidth="1"/>
    <col min="10" max="11" width="7.140625" bestFit="1" customWidth="1"/>
    <col min="12" max="12" width="11.42578125" bestFit="1" customWidth="1"/>
    <col min="13" max="13" width="2.5703125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M1" s="2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5"/>
    </row>
    <row r="2" spans="1:29" s="4" customFormat="1" x14ac:dyDescent="0.25">
      <c r="A2" s="5">
        <v>42996</v>
      </c>
      <c r="B2" s="4">
        <v>168102</v>
      </c>
      <c r="C2" s="4" t="s">
        <v>23</v>
      </c>
      <c r="D2" s="4">
        <v>400</v>
      </c>
      <c r="E2" s="3">
        <v>23.65</v>
      </c>
      <c r="F2" s="3">
        <f>D2*E2</f>
        <v>9460</v>
      </c>
      <c r="G2" s="3">
        <f t="shared" ref="G2:G3" si="0">F2*0.0275%</f>
        <v>2.6015000000000001</v>
      </c>
      <c r="H2" s="3">
        <f>F2*0.005%</f>
        <v>0.47300000000000003</v>
      </c>
      <c r="I2" s="3">
        <v>2.4900000000000002</v>
      </c>
      <c r="J2" s="3">
        <f>I2*5%</f>
        <v>0.12450000000000001</v>
      </c>
      <c r="K2" s="3">
        <v>0</v>
      </c>
      <c r="L2" s="3">
        <f>F2+G2+H2+I2+J2</f>
        <v>9465.6890000000003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9" customFormat="1" x14ac:dyDescent="0.25">
      <c r="A3" s="30">
        <v>42996</v>
      </c>
      <c r="B3" s="28">
        <v>168102</v>
      </c>
      <c r="C3" s="28" t="s">
        <v>24</v>
      </c>
      <c r="D3" s="28">
        <v>700</v>
      </c>
      <c r="E3" s="29">
        <v>10.5</v>
      </c>
      <c r="F3" s="29">
        <f>D3*E3</f>
        <v>7350</v>
      </c>
      <c r="G3" s="29">
        <f t="shared" si="0"/>
        <v>2.0212500000000002</v>
      </c>
      <c r="H3" s="29">
        <f>F3*0.005%</f>
        <v>0.36749999999999999</v>
      </c>
      <c r="I3" s="29">
        <v>2.4900000000000002</v>
      </c>
      <c r="J3" s="29">
        <f>I3*5%</f>
        <v>0.12450000000000001</v>
      </c>
      <c r="K3" s="29">
        <v>0</v>
      </c>
      <c r="L3" s="29">
        <f>F3+G3+H3+I3+J3</f>
        <v>7355.0032499999998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4" customFormat="1" x14ac:dyDescent="0.25">
      <c r="A4" s="5"/>
      <c r="E4" s="3"/>
      <c r="F4" s="7">
        <f>F3-F2</f>
        <v>-2110</v>
      </c>
      <c r="G4" s="7">
        <f t="shared" ref="G4:L4" si="1">SUM(G2:G3)</f>
        <v>4.6227499999999999</v>
      </c>
      <c r="H4" s="7">
        <f t="shared" si="1"/>
        <v>0.84050000000000002</v>
      </c>
      <c r="I4" s="7">
        <f t="shared" si="1"/>
        <v>4.9800000000000004</v>
      </c>
      <c r="J4" s="7">
        <f t="shared" si="1"/>
        <v>0.24900000000000003</v>
      </c>
      <c r="K4" s="7">
        <f t="shared" si="1"/>
        <v>0</v>
      </c>
      <c r="L4" s="7">
        <f t="shared" si="1"/>
        <v>16820.69225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A077-C6CF-4445-BC4A-493B69C7FE0B}">
  <dimension ref="A1:AB52"/>
  <sheetViews>
    <sheetView tabSelected="1" zoomScaleNormal="100" workbookViewId="0">
      <pane ySplit="1" topLeftCell="A2" activePane="bottomLeft" state="frozen"/>
      <selection activeCell="Q108" sqref="Q108"/>
      <selection pane="bottomLeft" activeCell="I8" sqref="I8"/>
    </sheetView>
  </sheetViews>
  <sheetFormatPr defaultColWidth="9.140625" defaultRowHeight="15" x14ac:dyDescent="0.25"/>
  <cols>
    <col min="1" max="1" width="11.5703125" style="18" bestFit="1" customWidth="1"/>
    <col min="2" max="3" width="9" style="18" bestFit="1" customWidth="1"/>
    <col min="4" max="4" width="10" style="18" bestFit="1" customWidth="1"/>
    <col min="5" max="5" width="10.140625" style="1" bestFit="1" customWidth="1"/>
    <col min="6" max="6" width="12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85546875" style="1" bestFit="1" customWidth="1"/>
    <col min="11" max="11" width="8.5703125" style="1" bestFit="1" customWidth="1"/>
    <col min="12" max="12" width="12.7109375" style="1" bestFit="1" customWidth="1"/>
    <col min="13" max="13" width="3.140625" style="2" customWidth="1"/>
    <col min="14" max="14" width="11.5703125" style="18" bestFit="1" customWidth="1"/>
    <col min="15" max="15" width="12.7109375" style="18" bestFit="1" customWidth="1"/>
    <col min="16" max="17" width="9.140625" style="18"/>
    <col min="18" max="18" width="10.7109375" style="1" bestFit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2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style="18" bestFit="1" customWidth="1"/>
    <col min="30" max="30" width="16.42578125" style="18" bestFit="1" customWidth="1"/>
    <col min="31" max="31" width="12.42578125" style="18" bestFit="1" customWidth="1"/>
    <col min="32" max="16384" width="9.140625" style="18"/>
  </cols>
  <sheetData>
    <row r="1" spans="1:28" x14ac:dyDescent="0.25">
      <c r="A1" s="18" t="s">
        <v>20</v>
      </c>
      <c r="B1" s="18" t="s">
        <v>19</v>
      </c>
      <c r="C1" s="18" t="s">
        <v>18</v>
      </c>
      <c r="D1" s="18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N1" s="1"/>
      <c r="O1" s="1"/>
      <c r="P1" s="1"/>
      <c r="Q1" s="1"/>
      <c r="T1" s="26"/>
      <c r="U1" s="18"/>
      <c r="V1" s="18"/>
      <c r="W1" s="18"/>
      <c r="X1" s="18"/>
      <c r="Y1" s="18"/>
      <c r="Z1" s="18"/>
      <c r="AA1" s="18"/>
      <c r="AB1" s="18"/>
    </row>
    <row r="2" spans="1:28" s="4" customFormat="1" x14ac:dyDescent="0.25">
      <c r="A2" s="5"/>
      <c r="B2" s="4" t="s">
        <v>48</v>
      </c>
      <c r="C2" s="4" t="s">
        <v>2</v>
      </c>
      <c r="D2" s="4">
        <v>-100</v>
      </c>
      <c r="E2" s="3">
        <v>15.34</v>
      </c>
      <c r="F2" s="35">
        <f>D2*E2</f>
        <v>-1534</v>
      </c>
      <c r="G2" s="25">
        <f>F2*0.0275%</f>
        <v>-0.42185</v>
      </c>
      <c r="H2" s="24">
        <v>-0.11</v>
      </c>
      <c r="I2" s="3">
        <v>15.99</v>
      </c>
      <c r="J2" s="3">
        <f>I2*5%+0.3</f>
        <v>1.0995000000000001</v>
      </c>
      <c r="K2" s="3"/>
      <c r="L2" s="3">
        <f>F2+G2+H2+I2+J2+0.3</f>
        <v>-1517.1423499999999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/>
      <c r="E3" s="3"/>
      <c r="F3" s="3"/>
      <c r="G3" s="3"/>
      <c r="H3" s="3"/>
      <c r="I3" s="3"/>
      <c r="J3" s="3"/>
      <c r="K3" s="3"/>
      <c r="L3" s="3"/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4">
        <v>39757</v>
      </c>
      <c r="C4" s="4" t="s">
        <v>1</v>
      </c>
      <c r="D4" s="4" t="s">
        <v>47</v>
      </c>
      <c r="E4" s="3">
        <v>25.19</v>
      </c>
      <c r="F4" s="3" t="e">
        <f>D4*E4</f>
        <v>#VALUE!</v>
      </c>
      <c r="G4" s="3" t="e">
        <f>F4*0.0275%</f>
        <v>#VALUE!</v>
      </c>
      <c r="H4" s="4" t="e">
        <f>F4*0.007%</f>
        <v>#VALUE!</v>
      </c>
      <c r="I4" s="29">
        <v>15.99</v>
      </c>
      <c r="J4" s="3">
        <f>I4*5%</f>
        <v>0.7995000000000001</v>
      </c>
      <c r="K4" s="3"/>
      <c r="L4" s="3" t="e">
        <f>F4+G4+H4+I4+J4</f>
        <v>#VALUE!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E5" s="3"/>
      <c r="F5" s="3"/>
      <c r="G5" s="3"/>
      <c r="H5" s="3"/>
      <c r="I5" s="3"/>
      <c r="J5" s="3"/>
      <c r="K5" s="3"/>
      <c r="L5" s="3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4" customFormat="1" x14ac:dyDescent="0.25">
      <c r="A6" s="5" t="s">
        <v>46</v>
      </c>
      <c r="B6" s="4">
        <v>-1662</v>
      </c>
      <c r="D6" s="28">
        <v>100</v>
      </c>
      <c r="E6" s="25">
        <v>27.5</v>
      </c>
      <c r="F6" s="25">
        <f>D6*E6</f>
        <v>2750</v>
      </c>
      <c r="G6" s="3">
        <v>0.76</v>
      </c>
      <c r="H6" s="29">
        <f>F6*0.007%+0.3</f>
        <v>0.49250000000000005</v>
      </c>
      <c r="I6" s="3" t="s">
        <v>31</v>
      </c>
      <c r="J6" s="3" t="s">
        <v>32</v>
      </c>
      <c r="K6" s="3"/>
      <c r="L6" s="4" t="e">
        <f>F6+G6+H6+I6+J6</f>
        <v>#VALUE!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4" customFormat="1" x14ac:dyDescent="0.25">
      <c r="A7" s="5"/>
      <c r="E7" s="3"/>
      <c r="F7" s="7"/>
      <c r="G7" s="7"/>
      <c r="H7" s="7"/>
      <c r="I7" s="7"/>
      <c r="J7" s="7"/>
      <c r="K7" s="7"/>
      <c r="L7" s="7"/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4" customFormat="1" x14ac:dyDescent="0.25">
      <c r="A8" s="5">
        <v>-39757</v>
      </c>
      <c r="B8" s="4">
        <v>1344</v>
      </c>
      <c r="C8" s="28" t="s">
        <v>7</v>
      </c>
      <c r="E8" s="3">
        <v>2.68</v>
      </c>
      <c r="F8" s="3">
        <f>D8*E8</f>
        <v>0</v>
      </c>
      <c r="G8" s="3">
        <f>F8*0.0275%</f>
        <v>0</v>
      </c>
      <c r="H8" s="24">
        <f>F8*0.007%</f>
        <v>0</v>
      </c>
      <c r="I8" s="3">
        <v>-15.99</v>
      </c>
      <c r="J8" s="3">
        <f>I8*5%</f>
        <v>-0.7995000000000001</v>
      </c>
      <c r="K8" s="3"/>
      <c r="L8" s="35">
        <f>F8+G8+H8+I8+J8</f>
        <v>-16.7895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4" customFormat="1" x14ac:dyDescent="0.25">
      <c r="A9" s="5"/>
      <c r="E9" s="3"/>
      <c r="F9" s="3"/>
      <c r="G9" s="3"/>
      <c r="H9" s="3"/>
      <c r="I9" s="3"/>
      <c r="J9" s="3"/>
      <c r="K9" s="3"/>
      <c r="L9" s="3"/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4" customFormat="1" x14ac:dyDescent="0.25">
      <c r="A10" s="5">
        <v>39758</v>
      </c>
      <c r="B10" s="28">
        <v>1344</v>
      </c>
      <c r="C10" s="4" t="s">
        <v>0</v>
      </c>
      <c r="D10" s="4">
        <v>100</v>
      </c>
      <c r="E10" s="3"/>
      <c r="F10" s="3">
        <f>D10*E10</f>
        <v>0</v>
      </c>
      <c r="G10" s="29">
        <f>F10*0.0275%</f>
        <v>0</v>
      </c>
      <c r="H10" s="3" t="s">
        <v>30</v>
      </c>
      <c r="I10" s="24">
        <v>15.99</v>
      </c>
      <c r="J10" s="3">
        <f>I10*5%</f>
        <v>0.7995000000000001</v>
      </c>
      <c r="K10" s="3">
        <v>0.01</v>
      </c>
      <c r="L10" s="3">
        <v>16.899999999999999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4" customFormat="1" x14ac:dyDescent="0.25">
      <c r="A11" s="5">
        <v>39757</v>
      </c>
      <c r="B11" s="4">
        <v>1345</v>
      </c>
      <c r="C11" s="4" t="s">
        <v>3</v>
      </c>
      <c r="D11" s="4">
        <v>100</v>
      </c>
      <c r="E11" s="29">
        <v>7.69</v>
      </c>
      <c r="F11" s="3"/>
      <c r="G11" s="3">
        <f>F11*0.0275%</f>
        <v>0</v>
      </c>
      <c r="H11" s="3">
        <f>F11*0.007%</f>
        <v>0</v>
      </c>
      <c r="I11" s="3">
        <v>15.99</v>
      </c>
      <c r="J11" s="29">
        <f>I11*5%</f>
        <v>0.7995000000000001</v>
      </c>
      <c r="K11" s="29">
        <v>0</v>
      </c>
      <c r="L11" s="25">
        <f>F11+G11+H11+I11+J11</f>
        <v>16.7895</v>
      </c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4" customFormat="1" x14ac:dyDescent="0.25">
      <c r="A12" s="5"/>
      <c r="E12" s="3"/>
      <c r="F12" s="7">
        <f t="shared" ref="F12:L12" si="0">SUM(F10:F11)+0.3</f>
        <v>0.3</v>
      </c>
      <c r="G12" s="7">
        <f t="shared" si="0"/>
        <v>0.3</v>
      </c>
      <c r="H12" s="7">
        <f t="shared" si="0"/>
        <v>0.3</v>
      </c>
      <c r="I12" s="7">
        <f t="shared" si="0"/>
        <v>32.28</v>
      </c>
      <c r="J12" s="7">
        <f t="shared" si="0"/>
        <v>1.8990000000000002</v>
      </c>
      <c r="K12" s="7">
        <f t="shared" si="0"/>
        <v>0.31</v>
      </c>
      <c r="L12" s="7">
        <f t="shared" si="0"/>
        <v>33.989499999999992</v>
      </c>
      <c r="M12" s="6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4" customFormat="1" x14ac:dyDescent="0.25">
      <c r="A13" s="5"/>
      <c r="E13" s="3"/>
      <c r="F13" s="7"/>
      <c r="G13" s="7"/>
      <c r="H13" s="7"/>
      <c r="I13" s="7"/>
      <c r="J13" s="7"/>
      <c r="K13" s="7"/>
      <c r="L13" s="7"/>
      <c r="M13" s="6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4" customFormat="1" x14ac:dyDescent="0.25">
      <c r="A14" s="30">
        <v>39758</v>
      </c>
      <c r="B14" s="4">
        <v>1344</v>
      </c>
      <c r="C14" s="4" t="s">
        <v>0</v>
      </c>
      <c r="D14" s="4">
        <v>100</v>
      </c>
      <c r="E14" s="3" t="s">
        <v>27</v>
      </c>
      <c r="F14" s="3" t="e">
        <f>D14*E14</f>
        <v>#VALUE!</v>
      </c>
      <c r="G14" s="3"/>
      <c r="H14" s="3" t="e">
        <f>F14*0.007%</f>
        <v>#VALUE!</v>
      </c>
      <c r="I14" s="3">
        <v>15.99</v>
      </c>
      <c r="J14" s="3">
        <f>I14*5%</f>
        <v>0.7995000000000001</v>
      </c>
      <c r="K14" s="3"/>
      <c r="L14" s="3" t="e">
        <f>F14+G14+H14+I14+J14</f>
        <v>#VALUE!</v>
      </c>
      <c r="M14" s="6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4" customFormat="1" x14ac:dyDescent="0.25">
      <c r="A15" s="5"/>
      <c r="E15" s="3"/>
      <c r="F15" s="7"/>
      <c r="G15" s="7"/>
      <c r="H15" s="7"/>
      <c r="I15" s="7"/>
      <c r="J15" s="7"/>
      <c r="K15" s="7"/>
      <c r="L15" s="7"/>
      <c r="M15" s="6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9" customFormat="1" x14ac:dyDescent="0.25">
      <c r="A16" s="5">
        <v>39849</v>
      </c>
      <c r="B16" s="28">
        <v>1319</v>
      </c>
      <c r="C16" s="28" t="s">
        <v>4</v>
      </c>
      <c r="D16" s="4">
        <v>100</v>
      </c>
      <c r="E16" s="35">
        <v>-31.5</v>
      </c>
      <c r="F16" s="35">
        <f>ABS(D16*E16)</f>
        <v>3150</v>
      </c>
      <c r="G16" s="3">
        <f>F16*0.0275%+0.3</f>
        <v>1.16625</v>
      </c>
      <c r="H16" s="8"/>
      <c r="I16" s="29">
        <v>15.99</v>
      </c>
      <c r="J16" s="28">
        <f>I16*5%</f>
        <v>0.7995000000000001</v>
      </c>
      <c r="K16" s="28">
        <v>0</v>
      </c>
      <c r="L16" s="35">
        <f>F16-G16-H16-I16-J16+0.3</f>
        <v>3132.3442500000001</v>
      </c>
      <c r="M16" s="6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 s="9" customFormat="1" x14ac:dyDescent="0.25">
      <c r="A17" s="30">
        <v>39849</v>
      </c>
      <c r="B17" s="4">
        <v>1319</v>
      </c>
      <c r="C17" s="28" t="s">
        <v>4</v>
      </c>
      <c r="D17" s="28">
        <v>100</v>
      </c>
      <c r="E17" s="3">
        <v>31.5</v>
      </c>
      <c r="F17" s="29">
        <v>3150</v>
      </c>
      <c r="G17" s="29" t="s">
        <v>45</v>
      </c>
      <c r="H17" s="3">
        <f>F17*0.007%</f>
        <v>0.22050000000000003</v>
      </c>
      <c r="I17" s="8"/>
      <c r="J17" s="29">
        <f>I17*5%</f>
        <v>0</v>
      </c>
      <c r="K17" s="29" t="s">
        <v>33</v>
      </c>
      <c r="L17" s="3" t="e">
        <f>F17-G17-H17-I17-J17</f>
        <v>#VALUE!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39849</v>
      </c>
      <c r="B18" s="28">
        <v>1319</v>
      </c>
      <c r="C18" s="4" t="s">
        <v>2</v>
      </c>
      <c r="D18" s="28">
        <v>100</v>
      </c>
      <c r="E18" s="29">
        <v>17.7</v>
      </c>
      <c r="F18" s="4" t="str">
        <f>_xlfn.CONCAT("R$ ",D18*E18,",OO")</f>
        <v>R$ 1770,OO</v>
      </c>
      <c r="G18" s="29" t="e">
        <f>F18*0.0275%</f>
        <v>#VALUE!</v>
      </c>
      <c r="H18" s="29" t="e">
        <f>F18*0.007%</f>
        <v>#VALUE!</v>
      </c>
      <c r="I18" s="3">
        <v>15.99</v>
      </c>
      <c r="J18" s="8"/>
      <c r="K18" s="35">
        <v>-0.5</v>
      </c>
      <c r="L18" s="29" t="str">
        <f>_xlfn.CONCAT("R$ ","l.753,43")</f>
        <v>R$ l.753,43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>
        <v>39849</v>
      </c>
      <c r="B19" s="28">
        <v>1319</v>
      </c>
      <c r="C19" s="28" t="s">
        <v>1</v>
      </c>
      <c r="D19" s="28">
        <v>200</v>
      </c>
      <c r="E19" s="29">
        <v>26.1</v>
      </c>
      <c r="F19" s="29">
        <f>D19*E19</f>
        <v>5220</v>
      </c>
      <c r="G19" s="29">
        <f>F19*0.0275%</f>
        <v>1.4355</v>
      </c>
      <c r="H19" s="29">
        <f>F19*0.007%</f>
        <v>0.36540000000000006</v>
      </c>
      <c r="I19" s="29">
        <v>15.99</v>
      </c>
      <c r="J19" s="3">
        <f>I19*5%</f>
        <v>0.7995000000000001</v>
      </c>
      <c r="K19" s="3">
        <v>0.05</v>
      </c>
      <c r="L19" s="8"/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  <row r="20" spans="1:28" s="9" customFormat="1" x14ac:dyDescent="0.25">
      <c r="A20" s="31">
        <f>SUM(A16:A19)</f>
        <v>159396</v>
      </c>
      <c r="B20" s="32">
        <f>SUM(B16:B19)</f>
        <v>5276</v>
      </c>
      <c r="C20" s="28" t="s">
        <v>1</v>
      </c>
      <c r="D20" s="32">
        <f t="shared" ref="D20:L20" si="1">SUM(D16:D19)</f>
        <v>500</v>
      </c>
      <c r="E20" s="33">
        <f t="shared" si="1"/>
        <v>43.8</v>
      </c>
      <c r="F20" s="32">
        <f t="shared" si="1"/>
        <v>11520</v>
      </c>
      <c r="G20" s="32" t="e">
        <f t="shared" si="1"/>
        <v>#VALUE!</v>
      </c>
      <c r="H20" s="32" t="e">
        <f t="shared" si="1"/>
        <v>#VALUE!</v>
      </c>
      <c r="I20" s="32">
        <f t="shared" si="1"/>
        <v>47.97</v>
      </c>
      <c r="J20" s="32">
        <f t="shared" si="1"/>
        <v>1.5990000000000002</v>
      </c>
      <c r="K20" s="36">
        <f t="shared" si="1"/>
        <v>-0.45</v>
      </c>
      <c r="L20" s="32" t="e">
        <f t="shared" si="1"/>
        <v>#VALUE!</v>
      </c>
      <c r="M20" s="6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</row>
    <row r="21" spans="1:28" x14ac:dyDescent="0.25">
      <c r="A21" s="13"/>
      <c r="M21" s="6"/>
    </row>
    <row r="22" spans="1:28" s="4" customFormat="1" x14ac:dyDescent="0.25">
      <c r="A22" s="14">
        <v>39854</v>
      </c>
      <c r="B22" s="17">
        <v>1368</v>
      </c>
      <c r="C22" s="17" t="s">
        <v>43</v>
      </c>
      <c r="D22" s="17">
        <v>500</v>
      </c>
      <c r="E22" s="12">
        <v>7.23</v>
      </c>
      <c r="F22" s="12">
        <f>D22*E22</f>
        <v>3615</v>
      </c>
      <c r="G22" s="12">
        <f>F22*0.0275%</f>
        <v>0.99412500000000004</v>
      </c>
      <c r="H22" s="12">
        <f>F22*0.007%</f>
        <v>0.25305000000000005</v>
      </c>
      <c r="I22" s="12">
        <v>15.99</v>
      </c>
      <c r="J22" s="12">
        <v>0.8</v>
      </c>
      <c r="K22" s="12">
        <v>0</v>
      </c>
      <c r="L22" s="12">
        <f>F22+G22+H22+I22+J22</f>
        <v>3633.0371749999999</v>
      </c>
      <c r="M22" s="6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4" customFormat="1" x14ac:dyDescent="0.25">
      <c r="A23" s="5">
        <v>39854</v>
      </c>
      <c r="B23" s="4">
        <v>1368</v>
      </c>
      <c r="C23" s="4" t="s">
        <v>44</v>
      </c>
      <c r="D23" s="4">
        <v>200</v>
      </c>
      <c r="E23" s="3">
        <v>5.89</v>
      </c>
      <c r="F23" s="3">
        <f>D23*E23</f>
        <v>1178</v>
      </c>
      <c r="G23" s="3">
        <f>F23*0.0275%</f>
        <v>0.32395000000000002</v>
      </c>
      <c r="H23" s="3">
        <f>F23*0.007%</f>
        <v>8.2460000000000006E-2</v>
      </c>
      <c r="I23" s="3">
        <v>15.99</v>
      </c>
      <c r="J23" s="3">
        <v>0.8</v>
      </c>
      <c r="K23" s="3">
        <v>0</v>
      </c>
      <c r="L23" s="3">
        <f>F23+G23+H23+I23+J23</f>
        <v>1195.19641</v>
      </c>
      <c r="M23" s="6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4" customFormat="1" x14ac:dyDescent="0.25">
      <c r="A24" s="23"/>
      <c r="E24" s="3"/>
      <c r="F24" s="7">
        <v>2437</v>
      </c>
      <c r="G24" s="7">
        <v>1.32</v>
      </c>
      <c r="H24" s="7">
        <v>0.34</v>
      </c>
      <c r="I24" s="7">
        <v>31.98</v>
      </c>
      <c r="J24" s="7">
        <v>1.6</v>
      </c>
      <c r="K24" s="7">
        <v>0</v>
      </c>
      <c r="L24" s="7">
        <v>2437.84</v>
      </c>
      <c r="M24" s="6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4" customFormat="1" x14ac:dyDescent="0.25">
      <c r="A25" s="5"/>
      <c r="E25" s="3"/>
      <c r="F25" s="7"/>
      <c r="G25" s="7"/>
      <c r="H25" s="7"/>
      <c r="I25" s="7"/>
      <c r="J25" s="7"/>
      <c r="K25" s="7"/>
      <c r="L25" s="7"/>
      <c r="M25" s="6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4" customFormat="1" x14ac:dyDescent="0.25">
      <c r="A26" s="5" t="s">
        <v>36</v>
      </c>
      <c r="B26" s="4">
        <v>903</v>
      </c>
      <c r="C26" s="4" t="s">
        <v>2</v>
      </c>
      <c r="D26" s="4">
        <v>200</v>
      </c>
      <c r="E26" s="3">
        <v>12.47</v>
      </c>
      <c r="F26" s="3">
        <f>D26*E26</f>
        <v>2494</v>
      </c>
      <c r="G26" s="3">
        <f>F26*0.0275%</f>
        <v>0.68585000000000007</v>
      </c>
      <c r="H26" s="3">
        <f>F26*0.007%</f>
        <v>0.17458000000000001</v>
      </c>
      <c r="I26" s="3">
        <v>15.99</v>
      </c>
      <c r="J26" s="3">
        <v>0.8</v>
      </c>
      <c r="K26" s="3"/>
      <c r="L26" s="3">
        <f>F26+G26+H26+I26+J26</f>
        <v>2511.6504299999997</v>
      </c>
      <c r="M26" s="6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4" customFormat="1" x14ac:dyDescent="0.25">
      <c r="A27" s="5">
        <v>39869</v>
      </c>
      <c r="B27" s="4">
        <v>903</v>
      </c>
      <c r="C27" s="4" t="s">
        <v>1</v>
      </c>
      <c r="D27" s="4">
        <v>200</v>
      </c>
      <c r="E27" s="3">
        <v>26.1</v>
      </c>
      <c r="F27" s="3">
        <f>D27*E27</f>
        <v>5220</v>
      </c>
      <c r="G27" s="3">
        <f>F27*0.0275%</f>
        <v>1.4355</v>
      </c>
      <c r="H27" s="3">
        <f>F27*0.007%</f>
        <v>0.36540000000000006</v>
      </c>
      <c r="I27" s="3">
        <v>15.99</v>
      </c>
      <c r="J27" s="3">
        <v>-0.8</v>
      </c>
      <c r="K27" s="3"/>
      <c r="L27" s="3">
        <f>F27+G27+H27+I27+J27</f>
        <v>5236.9908999999989</v>
      </c>
      <c r="M27" s="6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9" customFormat="1" x14ac:dyDescent="0.25">
      <c r="A28" s="30">
        <v>39869</v>
      </c>
      <c r="B28" s="28">
        <v>903</v>
      </c>
      <c r="C28" s="28" t="s">
        <v>1</v>
      </c>
      <c r="D28" s="28">
        <v>200</v>
      </c>
      <c r="E28" s="29">
        <v>26.1</v>
      </c>
      <c r="F28" s="29">
        <f>D28*E28</f>
        <v>5220</v>
      </c>
      <c r="G28" s="29">
        <f>F28*0.0275%</f>
        <v>1.4355</v>
      </c>
      <c r="H28" s="29">
        <f>F28*0.007%</f>
        <v>0.36540000000000006</v>
      </c>
      <c r="I28" s="29">
        <v>15.99</v>
      </c>
      <c r="J28" s="29">
        <v>0.8</v>
      </c>
      <c r="K28" s="29">
        <v>0.26</v>
      </c>
      <c r="L28" s="29">
        <f>F28-G28-H28-I28-J28</f>
        <v>5201.4091000000008</v>
      </c>
      <c r="M28" s="6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 s="4" customFormat="1" x14ac:dyDescent="0.25">
      <c r="A29" s="30"/>
      <c r="B29" s="28"/>
      <c r="C29" s="28"/>
      <c r="D29" s="28"/>
      <c r="E29" s="29"/>
      <c r="F29" s="33">
        <f t="shared" ref="F29:L29" si="2">SUM(F26:F28)</f>
        <v>12934</v>
      </c>
      <c r="G29" s="37">
        <f t="shared" si="2"/>
        <v>3.5568499999999998</v>
      </c>
      <c r="H29" s="37">
        <f t="shared" si="2"/>
        <v>0.90538000000000018</v>
      </c>
      <c r="I29" s="33">
        <f t="shared" si="2"/>
        <v>47.97</v>
      </c>
      <c r="J29" s="33">
        <f t="shared" si="2"/>
        <v>0.8</v>
      </c>
      <c r="K29" s="33">
        <f t="shared" si="2"/>
        <v>0.26</v>
      </c>
      <c r="L29" s="33">
        <f t="shared" si="2"/>
        <v>12950.050429999999</v>
      </c>
      <c r="M29" s="6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4" customFormat="1" x14ac:dyDescent="0.25">
      <c r="A30" s="5"/>
      <c r="E30" s="3"/>
      <c r="F30" s="7"/>
      <c r="G30" s="7"/>
      <c r="H30" s="7"/>
      <c r="I30" s="7"/>
      <c r="J30" s="7"/>
      <c r="K30" s="7"/>
      <c r="L30" s="7"/>
      <c r="M30" s="6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4" customFormat="1" x14ac:dyDescent="0.25">
      <c r="A31" s="5">
        <v>39854</v>
      </c>
      <c r="B31" s="4">
        <v>1368</v>
      </c>
      <c r="C31" s="4" t="s">
        <v>43</v>
      </c>
      <c r="D31" s="4">
        <v>500</v>
      </c>
      <c r="E31" s="3">
        <v>7.23</v>
      </c>
      <c r="F31" s="3">
        <f>D31*E31</f>
        <v>3615</v>
      </c>
      <c r="G31" s="3">
        <f>F31*0.0275%</f>
        <v>0.99412500000000004</v>
      </c>
      <c r="H31" s="3">
        <f>F31*0.007%</f>
        <v>0.25305000000000005</v>
      </c>
      <c r="I31" s="3">
        <v>15.99</v>
      </c>
      <c r="J31" s="3">
        <v>0.8</v>
      </c>
      <c r="K31" s="3">
        <v>0</v>
      </c>
      <c r="L31" s="3">
        <f>F31+G31+H31+I31+J31</f>
        <v>3633.0371749999999</v>
      </c>
      <c r="M31" s="6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s="4" customFormat="1" x14ac:dyDescent="0.25">
      <c r="A32" s="5">
        <v>39854</v>
      </c>
      <c r="B32" s="4">
        <v>1368</v>
      </c>
      <c r="C32" s="4" t="s">
        <v>44</v>
      </c>
      <c r="D32" s="4">
        <v>200</v>
      </c>
      <c r="E32" s="3">
        <v>5.89</v>
      </c>
      <c r="F32" s="3">
        <f>D32*E32</f>
        <v>1178</v>
      </c>
      <c r="G32" s="3">
        <f>F32*0.0275%</f>
        <v>0.32395000000000002</v>
      </c>
      <c r="H32" s="3">
        <f>F32*0.007%</f>
        <v>8.2460000000000006E-2</v>
      </c>
      <c r="I32" s="3">
        <v>15.99</v>
      </c>
      <c r="J32" s="3">
        <v>0.8</v>
      </c>
      <c r="K32" s="3">
        <v>0</v>
      </c>
      <c r="L32" s="3">
        <f>F32+G32+H32+I32+J32</f>
        <v>1195.19641</v>
      </c>
      <c r="M32" s="6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 spans="1:28" s="4" customFormat="1" x14ac:dyDescent="0.25">
      <c r="A33" s="23"/>
      <c r="E33" s="3"/>
      <c r="F33" s="33" t="str">
        <f>_xlfn.CONCAT("R$ ","4.793,OO")</f>
        <v>R$ 4.793,OO</v>
      </c>
      <c r="G33" s="33" t="str">
        <f>_xlfn.CONCAT("R$ ","l,32")</f>
        <v>R$ l,32</v>
      </c>
      <c r="H33" s="33" t="str">
        <f>_xlfn.CONCAT("R$ ","O,34")</f>
        <v>R$ O,34</v>
      </c>
      <c r="I33" s="33" t="str">
        <f>_xlfn.CONCAT("R$ ","3l,98")</f>
        <v>R$ 3l,98</v>
      </c>
      <c r="J33" s="33" t="str">
        <f>_xlfn.CONCAT("R$ ","1,6O")</f>
        <v>R$ 1,6O</v>
      </c>
      <c r="K33" s="33" t="str">
        <f>_xlfn.CONCAT("R$ ","O,OO")</f>
        <v>R$ O,OO</v>
      </c>
      <c r="L33" s="33" t="str">
        <f>_xlfn.CONCAT("R$ ","4.828,2E")</f>
        <v>R$ 4.828,2E</v>
      </c>
      <c r="M33" s="6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4" customFormat="1" x14ac:dyDescent="0.25">
      <c r="A34" s="5"/>
      <c r="E34" s="3"/>
      <c r="F34" s="7"/>
      <c r="G34" s="7"/>
      <c r="H34" s="7"/>
      <c r="I34" s="7"/>
      <c r="J34" s="7"/>
      <c r="K34" s="7"/>
      <c r="L34" s="7"/>
      <c r="M34" s="6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9" customFormat="1" x14ac:dyDescent="0.25">
      <c r="A35" s="30">
        <v>39912</v>
      </c>
      <c r="B35" s="28">
        <v>1401</v>
      </c>
      <c r="C35" s="28" t="s">
        <v>43</v>
      </c>
      <c r="D35" s="28">
        <v>500</v>
      </c>
      <c r="E35" s="29">
        <v>8.58</v>
      </c>
      <c r="F35" s="29">
        <f>D35*E35</f>
        <v>4290</v>
      </c>
      <c r="G35" s="29">
        <f>F35*0.0275%</f>
        <v>1.1797500000000001</v>
      </c>
      <c r="H35" s="29">
        <f>F35*0.007%</f>
        <v>0.30030000000000001</v>
      </c>
      <c r="I35" s="29">
        <v>15.99</v>
      </c>
      <c r="J35" s="29">
        <v>0.8</v>
      </c>
      <c r="K35" s="29">
        <v>0.21</v>
      </c>
      <c r="L35" s="29">
        <f>F35-G35-H35-I35-J35</f>
        <v>4271.7299499999999</v>
      </c>
      <c r="M35" s="6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9" customFormat="1" x14ac:dyDescent="0.25">
      <c r="A36" s="30">
        <v>39912</v>
      </c>
      <c r="B36" s="28">
        <v>1401</v>
      </c>
      <c r="C36" s="28" t="s">
        <v>2</v>
      </c>
      <c r="D36" s="28">
        <v>200</v>
      </c>
      <c r="E36" s="29">
        <v>14.54</v>
      </c>
      <c r="F36" s="29">
        <f>D36*E36</f>
        <v>2908</v>
      </c>
      <c r="G36" s="29">
        <f>F36*0.0275%</f>
        <v>0.79970000000000008</v>
      </c>
      <c r="H36" s="29">
        <f>F36*0.007%</f>
        <v>0.20356000000000002</v>
      </c>
      <c r="I36" s="29">
        <v>15.99</v>
      </c>
      <c r="J36" s="29">
        <v>0.8</v>
      </c>
      <c r="K36" s="29">
        <v>0.14000000000000001</v>
      </c>
      <c r="L36" s="29">
        <f>F36-G36-H36-I36-J36</f>
        <v>2890.2067400000001</v>
      </c>
      <c r="M36" s="6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</row>
    <row r="37" spans="1:28" s="9" customFormat="1" x14ac:dyDescent="0.25">
      <c r="A37" s="10"/>
      <c r="E37" s="8"/>
      <c r="F37" s="7">
        <f t="shared" ref="F37:L37" si="3">SUM(F35:F36)</f>
        <v>7198</v>
      </c>
      <c r="G37" s="7">
        <f t="shared" si="3"/>
        <v>1.9794500000000002</v>
      </c>
      <c r="H37" s="7">
        <f t="shared" si="3"/>
        <v>0.50385999999999997</v>
      </c>
      <c r="I37" s="7">
        <f t="shared" si="3"/>
        <v>31.98</v>
      </c>
      <c r="J37" s="7">
        <f t="shared" si="3"/>
        <v>1.6</v>
      </c>
      <c r="K37" s="7">
        <f t="shared" si="3"/>
        <v>0.35</v>
      </c>
      <c r="L37" s="27">
        <f t="shared" si="3"/>
        <v>7161.9366900000005</v>
      </c>
      <c r="M37" s="6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s="4" customFormat="1" x14ac:dyDescent="0.25">
      <c r="A38" s="5"/>
      <c r="E38" s="3"/>
      <c r="F38" s="7"/>
      <c r="G38" s="7"/>
      <c r="H38" s="7"/>
      <c r="I38" s="7"/>
      <c r="J38" s="7"/>
      <c r="K38" s="7"/>
      <c r="L38" s="7"/>
      <c r="M38" s="6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 spans="1:28" s="4" customFormat="1" x14ac:dyDescent="0.25">
      <c r="A39" s="5">
        <v>39869</v>
      </c>
      <c r="C39" s="4" t="s">
        <v>2</v>
      </c>
      <c r="D39" s="4">
        <v>200</v>
      </c>
      <c r="E39" s="29">
        <v>12.47</v>
      </c>
      <c r="F39" s="29">
        <f>D39*E39</f>
        <v>2494</v>
      </c>
      <c r="G39" s="29">
        <f>F39*0.0275%</f>
        <v>0.68585000000000007</v>
      </c>
      <c r="H39" s="29">
        <f>F39*0.007%</f>
        <v>0.17458000000000001</v>
      </c>
      <c r="I39" s="29">
        <v>15.99</v>
      </c>
      <c r="J39" s="3">
        <v>0.8</v>
      </c>
      <c r="K39" s="3"/>
      <c r="L39" s="3">
        <f>F39+G39+H39+I39+J39</f>
        <v>2511.6504299999997</v>
      </c>
      <c r="M39" s="6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9" customFormat="1" x14ac:dyDescent="0.25">
      <c r="A40" s="30">
        <v>39869</v>
      </c>
      <c r="C40" s="28" t="s">
        <v>1</v>
      </c>
      <c r="D40" s="28">
        <v>200</v>
      </c>
      <c r="E40" s="29">
        <v>26.1</v>
      </c>
      <c r="F40" s="12">
        <f>D40*E40</f>
        <v>5220</v>
      </c>
      <c r="G40" s="12">
        <f>F40*0.0275%</f>
        <v>1.4355</v>
      </c>
      <c r="H40" s="3">
        <f>F40*0.007%</f>
        <v>0.36540000000000006</v>
      </c>
      <c r="I40" s="3">
        <v>15.99</v>
      </c>
      <c r="J40" s="3">
        <v>0.8</v>
      </c>
      <c r="K40" s="3"/>
      <c r="L40" s="3">
        <f>F40-G40-H40-I40-J40</f>
        <v>5201.4091000000008</v>
      </c>
      <c r="M40" s="6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</row>
    <row r="41" spans="1:28" s="4" customFormat="1" x14ac:dyDescent="0.25">
      <c r="A41" s="5"/>
      <c r="E41" s="3"/>
      <c r="F41" s="7">
        <f>F40-F39</f>
        <v>2726</v>
      </c>
      <c r="G41" s="7">
        <f>SUM(G39:G40)</f>
        <v>2.1213500000000001</v>
      </c>
      <c r="H41" s="7">
        <f>SUM(H39:H40)</f>
        <v>0.53998000000000013</v>
      </c>
      <c r="I41" s="7">
        <f>SUM(I39:I40)</f>
        <v>31.98</v>
      </c>
      <c r="J41" s="7">
        <f>SUM(J39:J40)</f>
        <v>1.6</v>
      </c>
      <c r="K41" s="7">
        <f>SUM(K39:K40)</f>
        <v>0</v>
      </c>
      <c r="L41" s="7">
        <f>L40-L39</f>
        <v>2689.7586700000011</v>
      </c>
      <c r="M41" s="6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4" customFormat="1" x14ac:dyDescent="0.25">
      <c r="A42" s="5"/>
      <c r="E42" s="3"/>
      <c r="F42" s="7"/>
      <c r="G42" s="7"/>
      <c r="H42" s="7"/>
      <c r="I42" s="7"/>
      <c r="J42" s="7"/>
      <c r="K42" s="7"/>
      <c r="L42" s="7"/>
      <c r="M42" s="6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 spans="1:28" s="9" customFormat="1" x14ac:dyDescent="0.25">
      <c r="A43" s="30">
        <v>39912</v>
      </c>
      <c r="B43" s="28">
        <v>1401</v>
      </c>
      <c r="C43" s="28" t="s">
        <v>43</v>
      </c>
      <c r="D43" s="28">
        <v>500</v>
      </c>
      <c r="E43" s="29">
        <v>8.58</v>
      </c>
      <c r="F43" s="29">
        <f>D43*E43</f>
        <v>4290</v>
      </c>
      <c r="G43" s="29">
        <f>F43*0.0275%</f>
        <v>1.1797500000000001</v>
      </c>
      <c r="H43" s="29">
        <f>F43*0.007%</f>
        <v>0.30030000000000001</v>
      </c>
      <c r="I43" s="29">
        <v>15.99</v>
      </c>
      <c r="J43" s="29">
        <v>0.8</v>
      </c>
      <c r="K43" s="29">
        <v>0.21</v>
      </c>
      <c r="L43" s="29">
        <f>F43-G43-H43-I43-J43</f>
        <v>4271.7299499999999</v>
      </c>
      <c r="M43" s="6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</row>
    <row r="44" spans="1:28" s="9" customFormat="1" x14ac:dyDescent="0.25">
      <c r="A44" s="30">
        <v>39912</v>
      </c>
      <c r="B44" s="28">
        <v>1401</v>
      </c>
      <c r="C44" s="28" t="s">
        <v>2</v>
      </c>
      <c r="D44" s="28">
        <v>200</v>
      </c>
      <c r="E44" s="29">
        <v>14.54</v>
      </c>
      <c r="F44" s="29">
        <f>D44*E44</f>
        <v>2908</v>
      </c>
      <c r="G44" s="29">
        <f>F44*0.0275%</f>
        <v>0.79970000000000008</v>
      </c>
      <c r="H44" s="29">
        <f>F44*0.007%</f>
        <v>0.20356000000000002</v>
      </c>
      <c r="I44" s="29">
        <v>15.99</v>
      </c>
      <c r="J44" s="29">
        <v>0.8</v>
      </c>
      <c r="K44" s="29">
        <v>0.14000000000000001</v>
      </c>
      <c r="L44" s="29">
        <f>F44-G44-H44-I44-J44</f>
        <v>2890.2067400000001</v>
      </c>
      <c r="M44" s="6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</row>
    <row r="45" spans="1:28" s="9" customFormat="1" x14ac:dyDescent="0.25">
      <c r="A45" s="30"/>
      <c r="B45" s="28"/>
      <c r="C45" s="28"/>
      <c r="D45" s="28"/>
      <c r="E45" s="29"/>
      <c r="F45" s="33"/>
      <c r="G45" s="33"/>
      <c r="H45" s="33"/>
      <c r="I45" s="33"/>
      <c r="J45" s="33"/>
      <c r="K45" s="33"/>
      <c r="L45" s="33"/>
      <c r="M45" s="6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</row>
    <row r="46" spans="1:28" s="9" customFormat="1" x14ac:dyDescent="0.25">
      <c r="A46" s="30">
        <v>39912</v>
      </c>
      <c r="B46" s="28">
        <v>1401</v>
      </c>
      <c r="C46" s="28" t="s">
        <v>43</v>
      </c>
      <c r="D46" s="28">
        <v>500</v>
      </c>
      <c r="E46" s="29">
        <v>8.58</v>
      </c>
      <c r="F46" s="29">
        <f>D46*E46</f>
        <v>4290</v>
      </c>
      <c r="G46" s="29">
        <f>F46*0.0275%</f>
        <v>1.1797500000000001</v>
      </c>
      <c r="H46" s="29">
        <f>F46*0.007%</f>
        <v>0.30030000000000001</v>
      </c>
      <c r="I46" s="29">
        <v>15.99</v>
      </c>
      <c r="J46" s="29">
        <v>0.8</v>
      </c>
      <c r="K46" s="29">
        <v>0.21</v>
      </c>
      <c r="L46" s="29">
        <f>F46-G46-H46-I46-J46</f>
        <v>4271.7299499999999</v>
      </c>
      <c r="M46" s="6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</row>
    <row r="47" spans="1:28" s="9" customFormat="1" x14ac:dyDescent="0.25">
      <c r="A47" s="30">
        <v>39912</v>
      </c>
      <c r="B47" s="28">
        <v>1401</v>
      </c>
      <c r="C47" s="28" t="s">
        <v>2</v>
      </c>
      <c r="D47" s="28">
        <v>200</v>
      </c>
      <c r="E47" s="29">
        <v>14.54</v>
      </c>
      <c r="F47" s="29">
        <f>D47*E47</f>
        <v>2908</v>
      </c>
      <c r="G47" s="29">
        <f>F47*0.0275%</f>
        <v>0.79970000000000008</v>
      </c>
      <c r="H47" s="29">
        <f>F47*0.007%</f>
        <v>0.20356000000000002</v>
      </c>
      <c r="I47" s="29">
        <v>15.99</v>
      </c>
      <c r="J47" s="29">
        <v>0.8</v>
      </c>
      <c r="K47" s="29">
        <v>0.14000000000000001</v>
      </c>
      <c r="L47" s="29">
        <f>F47-G47-H47-I47-J47</f>
        <v>2890.2067400000001</v>
      </c>
      <c r="M47" s="6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</row>
    <row r="48" spans="1:28" s="9" customFormat="1" x14ac:dyDescent="0.25">
      <c r="A48" s="30"/>
      <c r="B48" s="28"/>
      <c r="C48" s="28"/>
      <c r="D48" s="28"/>
      <c r="E48" s="29"/>
      <c r="F48" s="33"/>
      <c r="G48" s="33"/>
      <c r="H48" s="33"/>
      <c r="I48" s="33"/>
      <c r="J48" s="33"/>
      <c r="K48" s="33"/>
      <c r="L48" s="33">
        <f>SUM(L46:L47)</f>
        <v>7161.9366900000005</v>
      </c>
      <c r="M48" s="6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</row>
    <row r="49" spans="1:28" x14ac:dyDescent="0.25">
      <c r="A49" s="28"/>
      <c r="B49" s="28"/>
      <c r="C49" s="28"/>
      <c r="D49" s="28"/>
      <c r="E49" s="29"/>
      <c r="F49" s="29"/>
      <c r="G49" s="29"/>
      <c r="H49" s="29"/>
      <c r="I49" s="29"/>
      <c r="J49" s="29"/>
      <c r="K49" s="29"/>
      <c r="L49" s="29"/>
    </row>
    <row r="50" spans="1:28" s="9" customFormat="1" x14ac:dyDescent="0.25">
      <c r="A50" s="30">
        <v>39912</v>
      </c>
      <c r="B50" s="28">
        <v>1401</v>
      </c>
      <c r="C50" s="28" t="s">
        <v>43</v>
      </c>
      <c r="D50" s="28">
        <v>500</v>
      </c>
      <c r="E50" s="29">
        <v>8.58</v>
      </c>
      <c r="F50" s="29">
        <f>D50*E50</f>
        <v>4290</v>
      </c>
      <c r="G50" s="29">
        <f>F50*0.0275%</f>
        <v>1.1797500000000001</v>
      </c>
      <c r="H50" s="29">
        <f>F50*0.007%</f>
        <v>0.30030000000000001</v>
      </c>
      <c r="I50" s="29">
        <v>15.99</v>
      </c>
      <c r="J50" s="29">
        <v>0.8</v>
      </c>
      <c r="K50" s="29">
        <v>0.21</v>
      </c>
      <c r="L50" s="29">
        <f>F50-G50-H50-I50-J50</f>
        <v>4271.7299499999999</v>
      </c>
      <c r="M50" s="6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 s="9" customFormat="1" x14ac:dyDescent="0.25">
      <c r="A51" s="30">
        <v>39912</v>
      </c>
      <c r="B51" s="28">
        <v>1401</v>
      </c>
      <c r="C51" s="28" t="s">
        <v>2</v>
      </c>
      <c r="D51" s="28">
        <v>200</v>
      </c>
      <c r="E51" s="29">
        <v>14.54</v>
      </c>
      <c r="F51" s="29">
        <f>D51*E51</f>
        <v>2908</v>
      </c>
      <c r="G51" s="29">
        <f>F51*0.0275%</f>
        <v>0.79970000000000008</v>
      </c>
      <c r="H51" s="29">
        <f>F51*0.007%</f>
        <v>0.20356000000000002</v>
      </c>
      <c r="I51" s="29">
        <v>15.99</v>
      </c>
      <c r="J51" s="29">
        <v>0.8</v>
      </c>
      <c r="K51" s="29">
        <v>0.14000000000000001</v>
      </c>
      <c r="L51" s="29">
        <f>F51-G51-H51-I51-J51</f>
        <v>2890.2067400000001</v>
      </c>
      <c r="M51" s="6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 s="9" customFormat="1" x14ac:dyDescent="0.25">
      <c r="A52" s="30"/>
      <c r="B52" s="28"/>
      <c r="C52" s="28"/>
      <c r="D52" s="28"/>
      <c r="E52" s="29"/>
      <c r="F52" s="33">
        <f t="shared" ref="F52:K52" si="4">SUM(F50:F51)</f>
        <v>7198</v>
      </c>
      <c r="G52" s="33">
        <f t="shared" si="4"/>
        <v>1.9794500000000002</v>
      </c>
      <c r="H52" s="33">
        <f t="shared" si="4"/>
        <v>0.50385999999999997</v>
      </c>
      <c r="I52" s="33">
        <f t="shared" si="4"/>
        <v>31.98</v>
      </c>
      <c r="J52" s="33">
        <f t="shared" si="4"/>
        <v>1.6</v>
      </c>
      <c r="K52" s="33">
        <f t="shared" si="4"/>
        <v>0.35</v>
      </c>
      <c r="L52" s="33"/>
      <c r="M52" s="6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51868-72C8-4230-87D6-AB4CCC735441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17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3311F-93C3-4C5A-972D-23BA14DAC57B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4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8AE44-BCE4-4219-87E5-5D6DCD46A737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28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E2F6-22BE-4056-9BC8-1D497B09969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998F-F972-4A55-98C2-51ABEC82B597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17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32717-B485-4BE7-AD9E-9E452570CEBB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4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6C14-476C-49A3-B877-F18EF892615E}">
  <dimension ref="A1:AC3"/>
  <sheetViews>
    <sheetView workbookViewId="0">
      <pane ySplit="1" topLeftCell="A2" activePane="bottomLeft" state="frozen"/>
      <selection activeCell="Q108" sqref="Q108"/>
      <selection pane="bottomLeft" activeCell="C2" sqref="C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28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82B83-4946-4BE6-BF65-B7005D7A9C90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E2" s="3">
        <v>15.34</v>
      </c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D129C-DE38-4D63-8AAB-D3D0535C8E35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/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0233-E9C7-4B69-BCD8-56729CA3264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-100</v>
      </c>
      <c r="E2" s="3">
        <v>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15EB7-321C-4C2E-93B6-FB82C1A7BA88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 t="s">
        <v>26</v>
      </c>
      <c r="E2" s="3">
        <v>15.34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AE2BD-7789-484D-9349-B1B4575C7D73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17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C8505-5828-4DB7-8F0F-D3E99594F5FE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4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BA6B1-6211-4465-8C87-4214D717FF82}">
  <dimension ref="A1:AC3"/>
  <sheetViews>
    <sheetView workbookViewId="0">
      <pane ySplit="1" topLeftCell="A2" activePane="bottomLeft" state="frozen"/>
      <selection activeCell="Q108" sqref="Q108"/>
      <selection pane="bottomLeft" activeCell="D2" sqref="D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28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B37C1-DC87-4BE0-9B0C-DB97F9056CC1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/>
      <c r="F2" s="3">
        <f>D2*E2</f>
        <v>0</v>
      </c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2533D-F42E-4015-8648-EEB2343B1768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-15.34</v>
      </c>
      <c r="F2" s="3">
        <f>D2*E2</f>
        <v>-1534</v>
      </c>
      <c r="G2" s="3">
        <f>F2*0.0275%</f>
        <v>-0.42185</v>
      </c>
      <c r="H2" s="3">
        <f>F2*0.007%</f>
        <v>-0.10738000000000002</v>
      </c>
      <c r="I2" s="3">
        <v>15.99</v>
      </c>
      <c r="J2" s="3">
        <v>0.8</v>
      </c>
      <c r="K2" s="3">
        <v>0</v>
      </c>
      <c r="L2" s="3">
        <f>F2+G2+H2+I2+J2</f>
        <v>-1517.7392299999999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0141B-6275-4BED-906A-014C761C4DE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 t="s">
        <v>27</v>
      </c>
      <c r="F2" s="3" t="e">
        <f>D2*E2</f>
        <v>#VALUE!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EE6C-614E-4BC3-897D-82A4742A252F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12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2F9EE-D379-456F-A9FA-EFDA415BF71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3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32606-9353-4C06-9CF7-E0C1229D1BA7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-39757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F5950-2B67-4C35-8D15-EBA7BEBDBD8E}">
  <dimension ref="A1:AC3"/>
  <sheetViews>
    <sheetView workbookViewId="0">
      <pane ySplit="1" topLeftCell="A2" activePane="bottomLeft" state="frozen"/>
      <selection activeCell="Q108" sqref="Q108"/>
      <selection pane="bottomLeft" activeCell="E2" sqref="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29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71A0-8299-4AE5-A539-1A7261885D0B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/>
      <c r="G2" s="3">
        <f>F2*0.0275%</f>
        <v>0</v>
      </c>
      <c r="H2" s="3">
        <f>F2*0.007%</f>
        <v>0</v>
      </c>
      <c r="I2" s="3">
        <v>15.99</v>
      </c>
      <c r="J2" s="3">
        <v>0.8</v>
      </c>
      <c r="K2" s="3">
        <v>0</v>
      </c>
      <c r="L2" s="3">
        <f>F2+G2+H2+I2+J2</f>
        <v>16.79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1C9BA-86B8-40AE-90C2-603E8E297B7F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 t="s">
        <v>28</v>
      </c>
      <c r="G2" s="3" t="e">
        <f>F2*0.0275%</f>
        <v>#VALUE!</v>
      </c>
      <c r="H2" s="3" t="e">
        <f>F2*0.007%</f>
        <v>#VALUE!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1AC63-DF3C-43CE-8E92-7C1226E0D7A9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F5DD-D913-4D33-AD52-65A7FCC16ED7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3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2E617-F8F9-40E2-BF63-414E96A68192}">
  <dimension ref="A1:AC3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29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E2C7D-3261-4671-8EE3-920B3510413F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/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1550.8973799999999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457E-1A91-4C5A-BC8E-3364018DE2FB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 t="s">
        <v>29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1DA43-0951-4EFC-9199-9D0287AD3DE5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12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B8659-34D5-4E5E-A58D-88448C473E7D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3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51E-4E55-4BDD-8E6C-8655238F2CA6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35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32CDBB-6CC1-45A6-9432-D09BDA7F3CD5}">
  <dimension ref="A1:AC3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F5B2E-765A-433A-85C1-2E28C4A22B4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/>
      <c r="I2" s="3">
        <v>15.99</v>
      </c>
      <c r="J2" s="3">
        <v>0.8</v>
      </c>
      <c r="K2" s="3">
        <v>0</v>
      </c>
      <c r="L2" s="3">
        <f>F2+G2+H2+I2+J2</f>
        <v>1551.2118499999999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B8AC-FDF0-4B0D-9073-CBCF2F9919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 t="s">
        <v>30</v>
      </c>
      <c r="I2" s="3">
        <v>15.99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F64A9-10EC-4F23-BECC-C34EE44D9B90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12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6FC71-185C-48E0-9AD6-48AE0366AFD8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3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BC37-7E1C-4D15-9F05-76F9C6DCF12F}">
  <dimension ref="A1:AC3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29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6F9F-E3C4-4F49-B71B-9840651A61AE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/>
      <c r="J2" s="3">
        <v>0.8</v>
      </c>
      <c r="K2" s="3">
        <v>0</v>
      </c>
      <c r="L2" s="3">
        <f>F2+G2+H2+I2+J2</f>
        <v>1535.3292299999998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BDD26-966C-4D8C-8585-DA65491D9CD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-15.99</v>
      </c>
      <c r="J2" s="3">
        <v>0.8</v>
      </c>
      <c r="K2" s="3">
        <v>0</v>
      </c>
      <c r="L2" s="3">
        <f>F2+G2+H2+I2+J2</f>
        <v>1519.3392299999998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D46C5-964C-4B07-8026-D8D356EB6060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 t="s">
        <v>31</v>
      </c>
      <c r="J2" s="3">
        <v>0.8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C532-D955-4590-8991-FBE270D5ADFD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12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7118D-2210-4102-B7DE-C55C7A286004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 t="s">
        <v>36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6B0C-019A-40B1-AB31-1F396A45FAD3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3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4B6B6-0DFC-459C-BA4A-D2BD7D40EB55}">
  <dimension ref="A1:AC3"/>
  <sheetViews>
    <sheetView workbookViewId="0">
      <pane ySplit="1" topLeftCell="A2" activePane="bottomLeft" state="frozen"/>
      <selection activeCell="Q108" sqref="Q108"/>
      <selection pane="bottomLeft" activeCell="I2" sqref="I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29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A02FD-FD9F-4EAC-B259-32708CCA1819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/>
      <c r="K2" s="3">
        <v>0</v>
      </c>
      <c r="L2" s="3">
        <f>F2+G2+H2+I2+J2</f>
        <v>1550.5192299999999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A1F28-9B52-4E35-B9B7-6122692E969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-0.8</v>
      </c>
      <c r="K2" s="3">
        <v>0</v>
      </c>
      <c r="L2" s="3">
        <f>F2+G2+H2+I2+J2</f>
        <v>1549.7192299999999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966-3843-4CAE-94F9-E4B2E036761C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8554687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 t="s">
        <v>32</v>
      </c>
      <c r="K2" s="3">
        <v>0</v>
      </c>
      <c r="L2" s="3" t="e">
        <f>F2+G2+H2+I2+J2</f>
        <v>#VALUE!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16EA-7550-4526-9E8A-0FF91AECF9CA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12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B35FF-4972-4C13-B563-C0A88D04D895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3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C9BB7-519C-4503-B997-19CFE8A35E90}">
  <dimension ref="A1:AC3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29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E69A3-4A44-4C23-8403-A970F9C1169F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 t="s">
        <v>33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8007A-C8A6-43E6-A3F4-CA7B23565CF6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12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9B6EC-CCEF-49B4-8315-42E7841BC89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14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777BC-753E-4EA1-B94C-6468F125AB87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3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9DF56-3A30-4040-ADE3-8A35B11A76E2}">
  <dimension ref="A1:AC3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29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E7E6-266F-4B02-8B05-3954E0E2B1A7}">
  <dimension ref="A1:AC3"/>
  <sheetViews>
    <sheetView topLeftCell="B1"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/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841D0-D3CF-4780-9269-5B850E7A0E4B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 t="s">
        <v>34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10A1E-4647-47F7-BBB1-5160850329E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12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31974-E716-450B-93FB-38A7614D51DC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3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68DE8-63A5-4D3E-83E3-B50041D264F6}">
  <dimension ref="A1:AC3"/>
  <sheetViews>
    <sheetView workbookViewId="0">
      <pane ySplit="1" topLeftCell="A2" activePane="bottomLeft" state="frozen"/>
      <selection activeCell="Q108" sqref="Q108"/>
      <selection pane="bottomLeft" activeCell="L2" sqref="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29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00868-CC93-4EC6-8495-D947BF7DC40A}">
  <dimension ref="A1:AC3"/>
  <sheetViews>
    <sheetView workbookViewId="0">
      <pane ySplit="1" topLeftCell="A2" activePane="bottomLeft" state="frozen"/>
      <selection activeCell="Q108" sqref="Q108"/>
      <selection pane="bottomLeft" activeCell="G2" sqref="G2: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</v>
      </c>
      <c r="L2" s="29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32E-230B-4094-BFCC-10DDA6566518}">
  <dimension ref="A1:AC3"/>
  <sheetViews>
    <sheetView workbookViewId="0">
      <pane ySplit="1" topLeftCell="A2" activePane="bottomLeft" state="frozen"/>
      <selection activeCell="Q108" sqref="Q108"/>
      <selection pane="bottomLeft" activeCell="L2" activeCellId="1" sqref="G2:J2 L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/>
      <c r="L2" s="29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A123F-5F70-4F53-8981-261F8E238FD8}">
  <dimension ref="A1:AC3"/>
  <sheetViews>
    <sheetView workbookViewId="0">
      <pane ySplit="1" topLeftCell="A2" activePane="bottomLeft" state="frozen"/>
      <selection activeCell="Q108" sqref="Q108"/>
      <selection pane="bottomLeft" activeCell="A2" activeCellId="5" sqref="H2:L2 E2 D2 C2 B2 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</v>
      </c>
      <c r="L2" s="29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744BC-44C8-48D1-AD0D-83BB22D5E60B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B2" s="28">
        <v>1662</v>
      </c>
      <c r="C2" s="28" t="s">
        <v>2</v>
      </c>
      <c r="D2" s="28">
        <v>100</v>
      </c>
      <c r="E2" s="29">
        <v>15.34</v>
      </c>
      <c r="F2" s="29">
        <f>D2*E2</f>
        <v>1534</v>
      </c>
      <c r="G2" s="29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>
        <v>0.08</v>
      </c>
      <c r="L2" s="29">
        <f>F2-G2-H2-I2-J2</f>
        <v>1516.6807700000002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612F6-3B26-4F33-9E38-927D2FBD04F7}">
  <dimension ref="A1:AC3"/>
  <sheetViews>
    <sheetView workbookViewId="0">
      <pane ySplit="1" topLeftCell="A2" activePane="bottomLeft" state="frozen"/>
      <selection activeCell="Q108" sqref="Q108"/>
      <selection pane="bottomLeft" activeCell="E2" activeCellId="5" sqref="H2:J2 L2 A2 C2 D2 E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12">
        <f>D2*E2</f>
        <v>1534</v>
      </c>
      <c r="G2" s="12">
        <f>F2*0.0275%</f>
        <v>0.42185</v>
      </c>
      <c r="H2" s="29">
        <f>F2*0.007%</f>
        <v>0.10738000000000002</v>
      </c>
      <c r="I2" s="29">
        <v>15.99</v>
      </c>
      <c r="J2" s="29">
        <v>0.8</v>
      </c>
      <c r="K2" s="29"/>
      <c r="L2" s="29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AA883-9A7E-4108-9D45-1F2C3681C81B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3"/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F9E35-59DD-4BFE-85ED-FEBCDF6FBC64}">
  <dimension ref="A1:AB6"/>
  <sheetViews>
    <sheetView workbookViewId="0">
      <pane ySplit="1" topLeftCell="A2" activePane="bottomLeft" state="frozen"/>
      <selection activeCell="Q108" sqref="Q108"/>
      <selection pane="bottomLeft" activeCell="F5" sqref="F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 t="s">
        <v>37</v>
      </c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DB404-AEE3-4B04-B88F-B1CABD8FD51D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/>
      <c r="H5" s="7">
        <f t="shared" ref="H5:K5" si="3">SUM(H2:H4)</f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B412-8036-47C8-B9B4-428201885427}">
  <dimension ref="A1:AB6"/>
  <sheetViews>
    <sheetView workbookViewId="0">
      <pane ySplit="1" topLeftCell="A2" activePane="bottomLeft" state="frozen"/>
      <selection activeCell="Q108" sqref="Q108"/>
      <selection pane="bottomLeft" activeCell="G5" sqref="G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 t="s">
        <v>38</v>
      </c>
      <c r="H5" s="7">
        <f t="shared" ref="H5:K5" si="3">SUM(H2:H4)</f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0EF9A-E19E-40CF-9C3C-B1CACB28FEA7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3">SUM(G2:G4)</f>
        <v>2.5635500000000002</v>
      </c>
      <c r="H5" s="7"/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15F14-F556-47C1-ACA4-DAD078A04526}">
  <dimension ref="A1:AB6"/>
  <sheetViews>
    <sheetView workbookViewId="0">
      <pane ySplit="1" topLeftCell="A2" activePane="bottomLeft" state="frozen"/>
      <selection activeCell="Q108" sqref="Q108"/>
      <selection pane="bottomLeft" activeCell="H5" sqref="H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 t="s">
        <v>39</v>
      </c>
      <c r="I5" s="7">
        <f t="shared" ref="I5:K5" si="3">SUM(I2:I4)</f>
        <v>47.97</v>
      </c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9D203-381D-4D06-A58E-4ADF049B6E9F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3">SUM(G2:G4)</f>
        <v>2.5635500000000002</v>
      </c>
      <c r="H5" s="7">
        <f t="shared" si="3"/>
        <v>0.65254000000000012</v>
      </c>
      <c r="I5" s="7"/>
      <c r="J5" s="7">
        <f t="shared" si="3"/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F10EC-00CB-4A3F-9A04-EA11DAB91746}">
  <dimension ref="A1:AB6"/>
  <sheetViews>
    <sheetView workbookViewId="0">
      <pane ySplit="1" topLeftCell="A2" activePane="bottomLeft" state="frozen"/>
      <selection activeCell="Q108" sqref="Q108"/>
      <selection pane="bottomLeft" activeCell="I5" sqref="I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0.65254000000000012</v>
      </c>
      <c r="I5" s="7" t="s">
        <v>40</v>
      </c>
      <c r="J5" s="7">
        <f t="shared" ref="J5:K5" si="3">SUM(J2:J4)</f>
        <v>2.4000000000000004</v>
      </c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D1DE1-3469-4693-9849-76B383ECD63D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/>
      <c r="K5" s="7">
        <f t="shared" si="3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3BF5-B584-4052-8B56-F935CDD787A0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30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9EF36-1AF2-4E16-BE2C-A34F986E12D7}">
  <dimension ref="A1:AB6"/>
  <sheetViews>
    <sheetView workbookViewId="0">
      <pane ySplit="1" topLeftCell="A2" activePane="bottomLeft" state="frozen"/>
      <selection activeCell="Q108" sqref="Q108"/>
      <selection pane="bottomLeft" activeCell="J5" sqref="J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0.65254000000000012</v>
      </c>
      <c r="I5" s="7">
        <f>SUM(I2:I4)</f>
        <v>47.97</v>
      </c>
      <c r="J5" s="7" t="s">
        <v>41</v>
      </c>
      <c r="K5" s="7">
        <f t="shared" ref="K5" si="3">SUM(K2:K4)</f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C9F50-A797-434C-91EA-F28BA63DDC65}">
  <dimension ref="A1:AB6"/>
  <sheetViews>
    <sheetView topLeftCell="B1" workbookViewId="0">
      <pane ySplit="1" topLeftCell="A2" activePane="bottomLeft" state="frozen"/>
      <selection activeCell="Q108" sqref="Q108"/>
      <selection pane="bottomLeft" activeCell="K5" sqref="K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 t="s">
        <v>33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46506-C57A-431D-AC44-E9B5C7547693}">
  <dimension ref="A1:AB6"/>
  <sheetViews>
    <sheetView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7">
        <f>-SUM(F2:F4)</f>
        <v>-9322</v>
      </c>
      <c r="G5" s="7">
        <f t="shared" ref="G5:K5" si="3">SUM(G2:G4)</f>
        <v>2.5635500000000002</v>
      </c>
      <c r="H5" s="7">
        <f t="shared" si="3"/>
        <v>0.65254000000000012</v>
      </c>
      <c r="I5" s="7">
        <f t="shared" si="3"/>
        <v>47.97</v>
      </c>
      <c r="J5" s="7">
        <f t="shared" si="3"/>
        <v>2.4000000000000004</v>
      </c>
      <c r="K5" s="7">
        <f t="shared" si="3"/>
        <v>0</v>
      </c>
      <c r="L5" s="7"/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28A49-F37A-4498-8E3D-716B98048555}">
  <dimension ref="A1:AB6"/>
  <sheetViews>
    <sheetView topLeftCell="B1" workbookViewId="0">
      <pane ySplit="1" topLeftCell="A2" activePane="bottomLeft" state="frozen"/>
      <selection activeCell="Q108" sqref="Q108"/>
      <selection pane="bottomLeft" activeCell="L5" sqref="L5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8.42578125" style="12" bestFit="1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8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</row>
    <row r="2" spans="1:28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4" customFormat="1" x14ac:dyDescent="0.25">
      <c r="A5" s="5"/>
      <c r="E5" s="3"/>
      <c r="F5" s="22">
        <f>-SUM(F2:F4)</f>
        <v>-9322</v>
      </c>
      <c r="G5" s="22">
        <f>SUM(G2:G4)</f>
        <v>2.5635500000000002</v>
      </c>
      <c r="H5" s="7">
        <f>SUM(H2:H4)</f>
        <v>0.65254000000000012</v>
      </c>
      <c r="I5" s="7">
        <f>SUM(I2:I4)</f>
        <v>47.97</v>
      </c>
      <c r="J5" s="7">
        <f>SUM(J2:J4)</f>
        <v>2.4000000000000004</v>
      </c>
      <c r="K5" s="7">
        <f>SUM(K2:K4)</f>
        <v>0</v>
      </c>
      <c r="L5" s="22" t="s">
        <v>42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x14ac:dyDescent="0.25">
      <c r="A6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98C6E-C61C-4098-8811-20C737B2746F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39758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39849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F11*0.007%</f>
        <v>0.22050000000000003</v>
      </c>
      <c r="I11" s="29">
        <v>15.99</v>
      </c>
      <c r="J11" s="29">
        <v>0.8</v>
      </c>
      <c r="K11" s="29">
        <v>0</v>
      </c>
      <c r="L11" s="29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39853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F13*0.007%</f>
        <v>0.22050000000000003</v>
      </c>
      <c r="I13" s="29">
        <v>15.99</v>
      </c>
      <c r="J13" s="29">
        <v>0.8</v>
      </c>
      <c r="K13" s="29">
        <v>0</v>
      </c>
      <c r="L13" s="29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1663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39849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F11*0.007%</f>
        <v>0.22050000000000003</v>
      </c>
      <c r="I11" s="29">
        <v>15.99</v>
      </c>
      <c r="J11" s="29">
        <v>0.8</v>
      </c>
      <c r="K11" s="29">
        <v>0</v>
      </c>
      <c r="L11" s="29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39853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F13*0.007%</f>
        <v>0.22050000000000003</v>
      </c>
      <c r="I13" s="29">
        <v>15.99</v>
      </c>
      <c r="J13" s="29">
        <v>0.8</v>
      </c>
      <c r="K13" s="29">
        <v>0</v>
      </c>
      <c r="L13" s="29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7D22B-36B9-402D-A19C-031FF2332945}">
  <dimension ref="A1:AC3"/>
  <sheetViews>
    <sheetView workbookViewId="0">
      <pane ySplit="1" topLeftCell="A2" activePane="bottomLeft" state="frozen"/>
      <selection activeCell="Q108" sqref="Q108"/>
      <selection pane="bottomLeft" activeCell="A2" sqref="A2:XFD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9CBF-C87A-40BF-91B5-CE83CDC20ECE}">
  <dimension ref="A1:AC4"/>
  <sheetViews>
    <sheetView workbookViewId="0">
      <pane ySplit="1" topLeftCell="A2" activePane="bottomLeft" state="frozen"/>
      <selection activeCell="Q108" sqref="Q108"/>
      <selection pane="bottomLeft" activeCell="G4" sqref="G4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/>
      <c r="L2" s="3">
        <f>F2+G2+H2+I2+J2</f>
        <v>11005.419349999998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/>
      <c r="L3" s="3">
        <f>F3+G3+H3+I3+J3</f>
        <v>11605.599349999999</v>
      </c>
    </row>
    <row r="4" spans="1:29" x14ac:dyDescent="0.25">
      <c r="F4" s="7">
        <f>SUM(F1:F3)</f>
        <v>22600</v>
      </c>
      <c r="G4" s="7">
        <v>5.65</v>
      </c>
      <c r="H4" s="7">
        <f>SUM(H1:H3)</f>
        <v>1.1300000000000001</v>
      </c>
      <c r="I4" s="7">
        <f>SUM(I1:I3)</f>
        <v>3.98</v>
      </c>
      <c r="J4" s="7">
        <f>SUM(J1:J3)</f>
        <v>0.25869999999999999</v>
      </c>
      <c r="K4" s="7"/>
      <c r="L4" s="7">
        <f>SUM(L1:L3)</f>
        <v>22611.018699999997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B3"/>
    </sheetView>
  </sheetViews>
  <sheetFormatPr defaultColWidth="9.140625" defaultRowHeight="15" x14ac:dyDescent="0.25"/>
  <cols>
    <col min="1" max="1" width="11.5703125" style="11" bestFit="1" customWidth="1"/>
    <col min="2" max="2" width="5.28515625" style="11" bestFit="1" customWidth="1"/>
    <col min="3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3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x14ac:dyDescent="0.25">
      <c r="A2" s="14">
        <v>39757</v>
      </c>
      <c r="B2" s="11">
        <v>1662</v>
      </c>
      <c r="C2" s="11" t="s">
        <v>2</v>
      </c>
      <c r="D2" s="11">
        <v>100</v>
      </c>
      <c r="E2" s="12">
        <v>15.34</v>
      </c>
      <c r="F2" s="12">
        <f>D2*E2</f>
        <v>1534</v>
      </c>
      <c r="G2" s="12">
        <f>F2*0.0275%</f>
        <v>0.42185</v>
      </c>
      <c r="H2" s="12">
        <f>F2*0.007%</f>
        <v>0.10738000000000002</v>
      </c>
      <c r="I2" s="12">
        <v>15.99</v>
      </c>
      <c r="J2" s="12">
        <v>0.8</v>
      </c>
      <c r="K2" s="12">
        <v>0</v>
      </c>
      <c r="L2" s="12">
        <f>F2+G2+H2+I2+J2</f>
        <v>1551.3192299999998</v>
      </c>
    </row>
    <row r="3" spans="1:29" x14ac:dyDescent="0.25">
      <c r="A3" s="14">
        <v>39757</v>
      </c>
      <c r="B3" s="11">
        <v>1662</v>
      </c>
      <c r="C3" s="11" t="s">
        <v>1</v>
      </c>
      <c r="D3" s="11">
        <v>200</v>
      </c>
      <c r="E3" s="12">
        <v>25.19</v>
      </c>
      <c r="F3" s="12">
        <f>D3*E3</f>
        <v>5038</v>
      </c>
      <c r="G3" s="12">
        <f t="shared" ref="G3:G4" si="0">F3*0.0275%</f>
        <v>1.3854500000000001</v>
      </c>
      <c r="H3" s="12">
        <f t="shared" ref="H3:H4" si="1">F3*0.007%</f>
        <v>0.35266000000000003</v>
      </c>
      <c r="I3" s="12">
        <v>15.99</v>
      </c>
      <c r="J3" s="12">
        <v>0.8</v>
      </c>
      <c r="K3" s="12">
        <v>0</v>
      </c>
      <c r="L3" s="12">
        <f t="shared" ref="L3:L4" si="2">F3+G3+H3+I3+J3</f>
        <v>5056.5281099999993</v>
      </c>
    </row>
    <row r="4" spans="1:29" x14ac:dyDescent="0.25">
      <c r="A4" s="14">
        <v>39757</v>
      </c>
      <c r="B4" s="11">
        <v>1662</v>
      </c>
      <c r="C4" s="11" t="s">
        <v>4</v>
      </c>
      <c r="D4" s="11">
        <v>100</v>
      </c>
      <c r="E4" s="12">
        <v>27.5</v>
      </c>
      <c r="F4" s="12">
        <f>D4*E4</f>
        <v>2750</v>
      </c>
      <c r="G4" s="12">
        <f t="shared" si="0"/>
        <v>0.75625000000000009</v>
      </c>
      <c r="H4" s="12">
        <f t="shared" si="1"/>
        <v>0.19250000000000003</v>
      </c>
      <c r="I4" s="12">
        <v>15.99</v>
      </c>
      <c r="J4" s="12">
        <v>0.8</v>
      </c>
      <c r="K4" s="12">
        <v>0</v>
      </c>
      <c r="L4" s="12">
        <f t="shared" si="2"/>
        <v>2767.73875</v>
      </c>
    </row>
    <row r="5" spans="1:29" x14ac:dyDescent="0.25">
      <c r="A5" s="14"/>
      <c r="F5" s="12">
        <f t="shared" ref="F5:L5" si="3">SUM(F2:F4)</f>
        <v>9322</v>
      </c>
      <c r="G5" s="12">
        <f t="shared" si="3"/>
        <v>2.5635500000000002</v>
      </c>
      <c r="H5" s="12">
        <f t="shared" si="3"/>
        <v>0.65254000000000012</v>
      </c>
      <c r="I5" s="12">
        <f t="shared" si="3"/>
        <v>47.97</v>
      </c>
      <c r="J5" s="12">
        <f t="shared" si="3"/>
        <v>2.4000000000000004</v>
      </c>
      <c r="K5" s="12">
        <f t="shared" si="3"/>
        <v>0</v>
      </c>
      <c r="L5" s="12">
        <f t="shared" si="3"/>
        <v>9375.5860899999989</v>
      </c>
    </row>
    <row r="6" spans="1:29" x14ac:dyDescent="0.25">
      <c r="A6" s="14"/>
    </row>
    <row r="7" spans="1:29" x14ac:dyDescent="0.25">
      <c r="A7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54C79-E6C9-44CE-9F1A-DAEDD0DC1366}">
  <dimension ref="A1:AC3"/>
  <sheetViews>
    <sheetView workbookViewId="0">
      <pane ySplit="1" topLeftCell="A2" activePane="bottomLeft" state="frozen"/>
      <selection activeCell="Q108" sqref="Q108"/>
      <selection pane="bottomLeft" activeCell="B2" sqref="B2"/>
    </sheetView>
  </sheetViews>
  <sheetFormatPr defaultColWidth="9.140625" defaultRowHeight="15" x14ac:dyDescent="0.25"/>
  <cols>
    <col min="1" max="1" width="11.5703125" style="17" bestFit="1" customWidth="1"/>
    <col min="2" max="3" width="9" style="17" bestFit="1" customWidth="1"/>
    <col min="4" max="4" width="10" style="17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7" bestFit="1" customWidth="1"/>
    <col min="15" max="15" width="12.7109375" style="17" bestFit="1" customWidth="1"/>
    <col min="16" max="17" width="9.140625" style="17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7" bestFit="1" customWidth="1"/>
    <col min="30" max="30" width="16.42578125" style="17" bestFit="1" customWidth="1"/>
    <col min="31" max="31" width="12.42578125" style="17" bestFit="1" customWidth="1"/>
    <col min="32" max="16384" width="9.140625" style="17"/>
  </cols>
  <sheetData>
    <row r="1" spans="1:29" x14ac:dyDescent="0.25">
      <c r="A1" s="17" t="s">
        <v>20</v>
      </c>
      <c r="B1" s="17" t="s">
        <v>19</v>
      </c>
      <c r="C1" s="17" t="s">
        <v>18</v>
      </c>
      <c r="D1" s="17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21"/>
    </row>
    <row r="2" spans="1:29" s="4" customFormat="1" x14ac:dyDescent="0.25">
      <c r="A2" s="5">
        <v>39757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x14ac:dyDescent="0.25">
      <c r="A3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 t="shared" ref="L3:L4" si="2"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 t="shared" si="2"/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-SUM(F2:F4)</f>
        <v>-9322</v>
      </c>
      <c r="G5" s="3">
        <f t="shared" ref="G5:K5" si="3">SUM(G2:G4)</f>
        <v>2.5635500000000002</v>
      </c>
      <c r="H5" s="3">
        <f t="shared" si="3"/>
        <v>0.65254000000000012</v>
      </c>
      <c r="I5" s="3">
        <f t="shared" si="3"/>
        <v>47.97</v>
      </c>
      <c r="J5" s="3">
        <f t="shared" si="3"/>
        <v>2.4000000000000004</v>
      </c>
      <c r="K5" s="3">
        <f t="shared" si="3"/>
        <v>0</v>
      </c>
      <c r="L5" s="3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F7*0.0275%</f>
        <v>0.41800000000000004</v>
      </c>
      <c r="H7" s="3">
        <f>F7*0.007%</f>
        <v>0.10640000000000001</v>
      </c>
      <c r="I7" s="3">
        <v>15.99</v>
      </c>
      <c r="J7" s="3">
        <v>0.8</v>
      </c>
      <c r="K7" s="3">
        <v>0</v>
      </c>
      <c r="L7" s="3">
        <f>F7+G7+H7+I7+J7</f>
        <v>1537.3143999999998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F8*0.0275%</f>
        <v>0.21147500000000002</v>
      </c>
      <c r="H8" s="3">
        <f>F8*0.007%</f>
        <v>5.3830000000000003E-2</v>
      </c>
      <c r="I8" s="3">
        <v>15.99</v>
      </c>
      <c r="J8" s="3">
        <v>0.8</v>
      </c>
      <c r="K8" s="3">
        <v>0</v>
      </c>
      <c r="L8" s="3">
        <f>F8+G8+H8+I8+J8</f>
        <v>786.05530499999986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-SUM(F7:F8)</f>
        <v>-2289</v>
      </c>
      <c r="G9" s="3">
        <f t="shared" ref="G9:K9" si="4">SUM(G7:G8)</f>
        <v>0.62947500000000001</v>
      </c>
      <c r="H9" s="3">
        <f t="shared" si="4"/>
        <v>0.16023000000000001</v>
      </c>
      <c r="I9" s="3">
        <f t="shared" si="4"/>
        <v>31.98</v>
      </c>
      <c r="J9" s="3">
        <f t="shared" si="4"/>
        <v>1.6</v>
      </c>
      <c r="K9" s="3">
        <f t="shared" si="4"/>
        <v>0</v>
      </c>
      <c r="L9" s="3">
        <f>-SUM(L7:L8)</f>
        <v>-2323.3697049999996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4"/>
    </row>
    <row r="11" spans="1:29" s="9" customFormat="1" x14ac:dyDescent="0.25">
      <c r="A11" s="30">
        <v>39849</v>
      </c>
      <c r="B11" s="28">
        <v>1319</v>
      </c>
      <c r="C11" s="28" t="s">
        <v>4</v>
      </c>
      <c r="D11" s="28">
        <v>100</v>
      </c>
      <c r="E11" s="29">
        <v>31.5</v>
      </c>
      <c r="F11" s="29">
        <f>D11*E11</f>
        <v>3150</v>
      </c>
      <c r="G11" s="29">
        <f>F11*0.0275%</f>
        <v>0.86625000000000008</v>
      </c>
      <c r="H11" s="29">
        <f>F11*0.007%</f>
        <v>0.22050000000000003</v>
      </c>
      <c r="I11" s="29">
        <v>15.99</v>
      </c>
      <c r="J11" s="29">
        <v>0.8</v>
      </c>
      <c r="K11" s="29">
        <v>0</v>
      </c>
      <c r="L11" s="29">
        <f>F11-G11-H11-I11-J11</f>
        <v>3132.1232500000001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4"/>
    </row>
    <row r="13" spans="1:29" s="9" customFormat="1" x14ac:dyDescent="0.25">
      <c r="A13" s="30">
        <v>39853</v>
      </c>
      <c r="B13" s="28">
        <v>1362</v>
      </c>
      <c r="C13" s="28" t="s">
        <v>4</v>
      </c>
      <c r="D13" s="28">
        <v>100</v>
      </c>
      <c r="E13" s="29">
        <v>31.5</v>
      </c>
      <c r="F13" s="29">
        <f>D13*E13</f>
        <v>3150</v>
      </c>
      <c r="G13" s="29">
        <f>F13*0.0275%</f>
        <v>0.86625000000000008</v>
      </c>
      <c r="H13" s="29">
        <f>F13*0.007%</f>
        <v>0.22050000000000003</v>
      </c>
      <c r="I13" s="29">
        <v>15.99</v>
      </c>
      <c r="J13" s="29">
        <v>0.8</v>
      </c>
      <c r="K13" s="29">
        <v>0</v>
      </c>
      <c r="L13" s="29">
        <f>F13-G13-H13-I13-J13</f>
        <v>3132.1232500000001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1" bestFit="1" customWidth="1"/>
    <col min="2" max="3" width="9" style="11" bestFit="1" customWidth="1"/>
    <col min="4" max="4" width="10" style="11" bestFit="1" customWidth="1"/>
    <col min="5" max="5" width="10.140625" style="12" bestFit="1" customWidth="1"/>
    <col min="6" max="6" width="11.7109375" style="12" bestFit="1" customWidth="1"/>
    <col min="7" max="7" width="17.85546875" style="12" bestFit="1" customWidth="1"/>
    <col min="8" max="8" width="13.42578125" style="12" bestFit="1" customWidth="1"/>
    <col min="9" max="9" width="11.42578125" style="12" bestFit="1" customWidth="1"/>
    <col min="10" max="10" width="7.140625" style="12" bestFit="1" customWidth="1"/>
    <col min="11" max="11" width="7.140625" style="12" customWidth="1"/>
    <col min="12" max="12" width="11.7109375" style="12" bestFit="1" customWidth="1"/>
    <col min="13" max="13" width="3.140625" style="16" customWidth="1"/>
    <col min="14" max="14" width="11.5703125" style="11" bestFit="1" customWidth="1"/>
    <col min="15" max="15" width="12.7109375" style="11" bestFit="1" customWidth="1"/>
    <col min="16" max="17" width="9.140625" style="11"/>
    <col min="18" max="18" width="10.28515625" style="12" customWidth="1"/>
    <col min="19" max="19" width="13.85546875" style="12" bestFit="1" customWidth="1"/>
    <col min="20" max="20" width="18" style="12" bestFit="1" customWidth="1"/>
    <col min="21" max="21" width="13.5703125" style="12" bestFit="1" customWidth="1"/>
    <col min="22" max="22" width="11.5703125" style="12" bestFit="1" customWidth="1"/>
    <col min="23" max="23" width="7.140625" style="12" bestFit="1" customWidth="1"/>
    <col min="24" max="24" width="9.28515625" style="12" bestFit="1" customWidth="1"/>
    <col min="25" max="25" width="12.7109375" style="12" bestFit="1" customWidth="1"/>
    <col min="26" max="26" width="12.42578125" style="12" bestFit="1" customWidth="1"/>
    <col min="27" max="27" width="2.7109375" style="12" bestFit="1" customWidth="1"/>
    <col min="28" max="28" width="26.140625" style="12" bestFit="1" customWidth="1"/>
    <col min="29" max="29" width="21.85546875" style="11" bestFit="1" customWidth="1"/>
    <col min="30" max="30" width="16.42578125" style="11" bestFit="1" customWidth="1"/>
    <col min="31" max="31" width="12.42578125" style="11" bestFit="1" customWidth="1"/>
    <col min="32" max="16384" width="9.140625" style="11"/>
  </cols>
  <sheetData>
    <row r="1" spans="1:29" x14ac:dyDescent="0.25">
      <c r="A1" s="11" t="s">
        <v>20</v>
      </c>
      <c r="B1" s="11" t="s">
        <v>19</v>
      </c>
      <c r="C1" s="11" t="s">
        <v>18</v>
      </c>
      <c r="D1" s="11" t="s">
        <v>17</v>
      </c>
      <c r="E1" s="12" t="s">
        <v>16</v>
      </c>
      <c r="F1" s="12" t="s">
        <v>15</v>
      </c>
      <c r="G1" s="12" t="s">
        <v>14</v>
      </c>
      <c r="H1" s="12" t="s">
        <v>13</v>
      </c>
      <c r="I1" s="12" t="s">
        <v>12</v>
      </c>
      <c r="J1" s="12" t="s">
        <v>11</v>
      </c>
      <c r="K1" s="12" t="s">
        <v>10</v>
      </c>
      <c r="L1" s="12" t="s">
        <v>9</v>
      </c>
      <c r="AC1" s="17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4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2:XFD2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1.7109375" style="1" bestFit="1" customWidth="1"/>
    <col min="13" max="13" width="3.140625" style="2" customWidth="1"/>
    <col min="14" max="14" width="4.42578125" bestFit="1" customWidth="1"/>
    <col min="15" max="15" width="8.14062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F2*0.0275%</f>
        <v>0.42185</v>
      </c>
      <c r="H2" s="3">
        <f>F2*0.007%</f>
        <v>0.10738000000000002</v>
      </c>
      <c r="I2" s="3">
        <v>15.99</v>
      </c>
      <c r="J2" s="3">
        <v>0.8</v>
      </c>
      <c r="K2" s="3">
        <v>0</v>
      </c>
      <c r="L2" s="3">
        <f>F2+G2+H2+I2+J2</f>
        <v>1551.3192299999998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 t="shared" ref="G3:G4" si="0">F3*0.0275%</f>
        <v>1.3854500000000001</v>
      </c>
      <c r="H3" s="3">
        <f t="shared" ref="H3:H4" si="1">F3*0.007%</f>
        <v>0.35266000000000003</v>
      </c>
      <c r="I3" s="3">
        <v>15.99</v>
      </c>
      <c r="J3" s="3">
        <v>0.8</v>
      </c>
      <c r="K3" s="3">
        <v>0</v>
      </c>
      <c r="L3" s="3">
        <f>F3+G3+H3+I3+J3</f>
        <v>5056.5281099999993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 t="shared" si="0"/>
        <v>0.75625000000000009</v>
      </c>
      <c r="H4" s="3">
        <f t="shared" si="1"/>
        <v>0.19250000000000003</v>
      </c>
      <c r="I4" s="3">
        <v>15.99</v>
      </c>
      <c r="J4" s="3">
        <v>0.8</v>
      </c>
      <c r="K4" s="3">
        <v>0</v>
      </c>
      <c r="L4" s="3">
        <f>F4+G4+H4+I4+J4</f>
        <v>2767.73875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-SUM(F2:F4)</f>
        <v>-9322</v>
      </c>
      <c r="G5" s="7">
        <f t="shared" ref="G5:K5" si="2">SUM(G2:G4)</f>
        <v>2.5635500000000002</v>
      </c>
      <c r="H5" s="7">
        <f t="shared" si="2"/>
        <v>0.65254000000000012</v>
      </c>
      <c r="I5" s="7">
        <f t="shared" si="2"/>
        <v>47.97</v>
      </c>
      <c r="J5" s="7">
        <f t="shared" si="2"/>
        <v>2.4000000000000004</v>
      </c>
      <c r="K5" s="7">
        <f t="shared" si="2"/>
        <v>0</v>
      </c>
      <c r="L5" s="7">
        <f>-SUM(L2:L4)</f>
        <v>-9375.5860899999989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7</v>
      </c>
      <c r="D7" s="4">
        <v>100</v>
      </c>
      <c r="E7" s="3">
        <v>2.68</v>
      </c>
      <c r="F7" s="3">
        <f>D7*E7</f>
        <v>268</v>
      </c>
      <c r="G7" s="3">
        <f>F7*0.0275%</f>
        <v>7.3700000000000002E-2</v>
      </c>
      <c r="H7" s="3">
        <f>F7*0.007%</f>
        <v>1.8760000000000002E-2</v>
      </c>
      <c r="I7" s="3">
        <v>15.99</v>
      </c>
      <c r="J7" s="3">
        <v>0.8</v>
      </c>
      <c r="K7" s="3">
        <v>0</v>
      </c>
      <c r="L7" s="3">
        <f>F7+G7+H7+I7+J7</f>
        <v>284.88245999999998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 t="shared" ref="G8:G9" si="3">F8*0.0275%</f>
        <v>0.41800000000000004</v>
      </c>
      <c r="H8" s="3">
        <f t="shared" ref="H8:H9" si="4">F8*0.007%</f>
        <v>0.10640000000000001</v>
      </c>
      <c r="I8" s="3">
        <v>15.99</v>
      </c>
      <c r="J8" s="3">
        <v>0.8</v>
      </c>
      <c r="K8" s="3">
        <v>0</v>
      </c>
      <c r="L8" s="3">
        <f>F8+G8+H8+I8+J8</f>
        <v>1537.3143999999998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 t="shared" si="3"/>
        <v>0.21147500000000002</v>
      </c>
      <c r="H9" s="3">
        <f t="shared" si="4"/>
        <v>5.3830000000000003E-2</v>
      </c>
      <c r="I9" s="3">
        <v>15.99</v>
      </c>
      <c r="J9" s="3">
        <v>0.8</v>
      </c>
      <c r="K9" s="3">
        <v>0</v>
      </c>
      <c r="L9" s="3">
        <f>F9+G9+H9+I9+J9</f>
        <v>786.05530499999986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-SUM(F7:F9)</f>
        <v>-2557</v>
      </c>
      <c r="G10" s="7">
        <f t="shared" ref="G10:K10" si="5">SUM(G7:G9)</f>
        <v>0.70317500000000011</v>
      </c>
      <c r="H10" s="7">
        <f t="shared" si="5"/>
        <v>0.17899000000000004</v>
      </c>
      <c r="I10" s="7">
        <f t="shared" si="5"/>
        <v>47.97</v>
      </c>
      <c r="J10" s="7">
        <f t="shared" si="5"/>
        <v>2.4000000000000004</v>
      </c>
      <c r="K10" s="7">
        <f t="shared" si="5"/>
        <v>0</v>
      </c>
      <c r="L10" s="7">
        <f>-SUM(L7:L9)</f>
        <v>-2608.2521649999999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30">
        <v>40073</v>
      </c>
      <c r="B12" s="28">
        <v>1462</v>
      </c>
      <c r="C12" s="28" t="s">
        <v>4</v>
      </c>
      <c r="D12" s="28">
        <v>200</v>
      </c>
      <c r="E12" s="29">
        <v>35.15</v>
      </c>
      <c r="F12" s="29">
        <f>D12*E12</f>
        <v>7030</v>
      </c>
      <c r="G12" s="29">
        <f>F12*0.0275%</f>
        <v>1.9332500000000001</v>
      </c>
      <c r="H12" s="29">
        <f>F12*0.007%</f>
        <v>0.49210000000000004</v>
      </c>
      <c r="I12" s="29">
        <v>15.99</v>
      </c>
      <c r="J12" s="29">
        <v>0.8</v>
      </c>
      <c r="K12" s="29">
        <f>((F12 - G12 - H12 - I12 - J12) - (30.88 * D12)) * 0.005%</f>
        <v>4.173923249999998E-2</v>
      </c>
      <c r="L12" s="29">
        <f>F12-G12-H12-I12-J12</f>
        <v>7010.7846499999996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30">
        <v>40073</v>
      </c>
      <c r="B13" s="28">
        <v>1462</v>
      </c>
      <c r="C13" s="28" t="s">
        <v>4</v>
      </c>
      <c r="D13" s="28">
        <v>200</v>
      </c>
      <c r="E13" s="29">
        <v>34.479999999999997</v>
      </c>
      <c r="F13" s="29">
        <f>D13*E13</f>
        <v>6895.9999999999991</v>
      </c>
      <c r="G13" s="29">
        <f t="shared" ref="G13:G14" si="6">F13*0.0275%</f>
        <v>1.8963999999999999</v>
      </c>
      <c r="H13" s="29">
        <f t="shared" ref="H13:H14" si="7">F13*0.007%</f>
        <v>0.48271999999999998</v>
      </c>
      <c r="I13" s="29">
        <v>15.99</v>
      </c>
      <c r="J13" s="29">
        <v>0.8</v>
      </c>
      <c r="K13" s="29">
        <f>((F13 - G13 - H13 - I13 - J13) - (30.88 * D13)) * 0.005%</f>
        <v>3.504154399999998E-2</v>
      </c>
      <c r="L13" s="29">
        <f t="shared" ref="L13:L14" si="8">F13-G13-H13-I13-J13</f>
        <v>6876.8308799999995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30">
        <v>40073</v>
      </c>
      <c r="B14" s="28">
        <v>1462</v>
      </c>
      <c r="C14" s="28" t="s">
        <v>4</v>
      </c>
      <c r="D14" s="28">
        <v>200</v>
      </c>
      <c r="E14" s="29">
        <v>31</v>
      </c>
      <c r="F14" s="29">
        <f>D14*E14</f>
        <v>6200</v>
      </c>
      <c r="G14" s="29">
        <f t="shared" si="6"/>
        <v>1.7050000000000001</v>
      </c>
      <c r="H14" s="29">
        <f t="shared" si="7"/>
        <v>0.43400000000000005</v>
      </c>
      <c r="I14" s="29">
        <v>15.99</v>
      </c>
      <c r="J14" s="29">
        <v>0.8</v>
      </c>
      <c r="K14" s="29">
        <f>((F14 - G14 - H14 - I14 - J14) - (30.88 * D14)) * 0.005%</f>
        <v>2.5354999999999567E-4</v>
      </c>
      <c r="L14" s="29">
        <f t="shared" si="8"/>
        <v>6181.0709999999999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30"/>
      <c r="B15" s="28"/>
      <c r="C15" s="28"/>
      <c r="D15" s="28"/>
      <c r="E15" s="29"/>
      <c r="F15" s="33">
        <f t="shared" ref="F15:L15" si="9">SUM(F12:F14)</f>
        <v>20126</v>
      </c>
      <c r="G15" s="33">
        <f t="shared" si="9"/>
        <v>5.5346500000000001</v>
      </c>
      <c r="H15" s="33">
        <f t="shared" si="9"/>
        <v>1.40882</v>
      </c>
      <c r="I15" s="33">
        <f t="shared" si="9"/>
        <v>47.97</v>
      </c>
      <c r="J15" s="33">
        <f t="shared" si="9"/>
        <v>2.4000000000000004</v>
      </c>
      <c r="K15" s="33">
        <f t="shared" si="9"/>
        <v>7.7034326499999944E-2</v>
      </c>
      <c r="L15" s="33">
        <f t="shared" si="9"/>
        <v>20068.686529999999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29" x14ac:dyDescent="0.25">
      <c r="A16" s="28"/>
      <c r="B16" s="28"/>
      <c r="C16" s="28"/>
      <c r="D16" s="28"/>
      <c r="E16" s="29"/>
      <c r="F16" s="29"/>
      <c r="G16" s="29"/>
      <c r="H16" s="29"/>
      <c r="I16" s="29"/>
      <c r="J16" s="29"/>
      <c r="K16" s="29"/>
      <c r="L16" s="29"/>
    </row>
    <row r="17" spans="1:28" s="9" customFormat="1" x14ac:dyDescent="0.25">
      <c r="A17" s="30">
        <v>40158</v>
      </c>
      <c r="B17" s="28">
        <v>1171</v>
      </c>
      <c r="C17" s="28" t="s">
        <v>4</v>
      </c>
      <c r="D17" s="28">
        <v>500</v>
      </c>
      <c r="E17" s="29">
        <v>31</v>
      </c>
      <c r="F17" s="29">
        <f>D17*E17</f>
        <v>15500</v>
      </c>
      <c r="G17" s="29">
        <f>F17*0.0275%</f>
        <v>4.2625000000000002</v>
      </c>
      <c r="H17" s="29">
        <f>F17*0.007%</f>
        <v>1.0850000000000002</v>
      </c>
      <c r="I17" s="29">
        <v>15.99</v>
      </c>
      <c r="J17" s="29">
        <v>0.8</v>
      </c>
      <c r="K17" s="29">
        <f>((F17 - G17 - H17 - I17 - J17) - (30.88 * D17)) * 0.005%</f>
        <v>1.8931250000000547E-3</v>
      </c>
      <c r="L17" s="29">
        <f>F17-G17-H17-I17-J17</f>
        <v>15477.862500000001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30">
        <v>40158</v>
      </c>
      <c r="B18" s="28">
        <v>1171</v>
      </c>
      <c r="C18" s="28" t="s">
        <v>4</v>
      </c>
      <c r="D18" s="28">
        <v>1000</v>
      </c>
      <c r="E18" s="29">
        <v>31</v>
      </c>
      <c r="F18" s="29">
        <f>D18*E18</f>
        <v>31000</v>
      </c>
      <c r="G18" s="29">
        <f>F18*0.0275%</f>
        <v>8.5250000000000004</v>
      </c>
      <c r="H18" s="29">
        <f>F18*0.007%</f>
        <v>2.1700000000000004</v>
      </c>
      <c r="I18" s="29">
        <v>15.99</v>
      </c>
      <c r="J18" s="29">
        <v>0.8</v>
      </c>
      <c r="K18" s="29">
        <f>((F18 - G18 - H18 - I18 - J18) - (30.88 * D18)) * 0.005%</f>
        <v>4.625749999999971E-3</v>
      </c>
      <c r="L18" s="29">
        <f>F18-G18-H18-I18-J18</f>
        <v>30972.514999999999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30"/>
      <c r="B19" s="28"/>
      <c r="C19" s="28"/>
      <c r="D19" s="28"/>
      <c r="E19" s="29"/>
      <c r="F19" s="33">
        <f t="shared" ref="F19:L19" si="10">SUM(F17:F18)</f>
        <v>46500</v>
      </c>
      <c r="G19" s="33">
        <f t="shared" si="10"/>
        <v>12.787500000000001</v>
      </c>
      <c r="H19" s="33">
        <f t="shared" si="10"/>
        <v>3.2550000000000008</v>
      </c>
      <c r="I19" s="33">
        <f t="shared" si="10"/>
        <v>31.98</v>
      </c>
      <c r="J19" s="33">
        <f t="shared" si="10"/>
        <v>1.6</v>
      </c>
      <c r="K19" s="33">
        <f t="shared" si="10"/>
        <v>6.5188750000000255E-3</v>
      </c>
      <c r="L19" s="33">
        <f t="shared" si="10"/>
        <v>46450.377500000002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honeticPr fontId="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39959</v>
      </c>
      <c r="B2" s="28">
        <v>1430</v>
      </c>
      <c r="C2" s="28" t="s">
        <v>8</v>
      </c>
      <c r="D2" s="28">
        <v>200</v>
      </c>
      <c r="E2" s="29">
        <v>23.4</v>
      </c>
      <c r="F2" s="29">
        <f>D2*E2</f>
        <v>4680</v>
      </c>
      <c r="G2" s="29">
        <f>F2*0.0275%</f>
        <v>1.2870000000000001</v>
      </c>
      <c r="H2" s="29">
        <f>F2*0.007%</f>
        <v>0.32760000000000006</v>
      </c>
      <c r="I2" s="29">
        <v>15.99</v>
      </c>
      <c r="J2" s="29">
        <v>0.8</v>
      </c>
      <c r="K2" s="29">
        <v>0.23</v>
      </c>
      <c r="L2" s="29">
        <f>F2-G2-H2-I2-J2</f>
        <v>4661.5954000000002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3"/>
      <c r="M3" s="6"/>
    </row>
    <row r="4" spans="1:29" s="9" customFormat="1" x14ac:dyDescent="0.25">
      <c r="A4" s="30">
        <v>39960</v>
      </c>
      <c r="B4" s="28">
        <v>1681</v>
      </c>
      <c r="C4" s="28" t="s">
        <v>1</v>
      </c>
      <c r="D4" s="28">
        <v>200</v>
      </c>
      <c r="E4" s="29">
        <v>34.04</v>
      </c>
      <c r="F4" s="29">
        <f>D4*E4</f>
        <v>6808</v>
      </c>
      <c r="G4" s="29">
        <f>F4*0.0275%</f>
        <v>1.8722000000000001</v>
      </c>
      <c r="H4" s="29">
        <f>F4*0.007%</f>
        <v>0.47656000000000004</v>
      </c>
      <c r="I4" s="29">
        <v>15.99</v>
      </c>
      <c r="J4" s="29">
        <v>0.8</v>
      </c>
      <c r="K4" s="29">
        <v>0.34</v>
      </c>
      <c r="L4" s="29">
        <f>F4-G4-H4-I4-J4</f>
        <v>6788.8612400000002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3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f>F6*0.0275%</f>
        <v>0.91025</v>
      </c>
      <c r="H6" s="3">
        <f>F6*0.007%</f>
        <v>0.23170000000000002</v>
      </c>
      <c r="I6" s="3">
        <v>15.99</v>
      </c>
      <c r="J6" s="3">
        <v>0.8</v>
      </c>
      <c r="K6" s="3"/>
      <c r="L6" s="3">
        <f>F6+G6+H6+I6+J6</f>
        <v>3327.9319499999997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8D34E-0B33-4181-8E63-6765777C5B7E}">
  <dimension ref="A1:AC5"/>
  <sheetViews>
    <sheetView workbookViewId="0">
      <pane ySplit="1" topLeftCell="A2" activePane="bottomLeft" state="frozen"/>
      <selection activeCell="Q108" sqref="Q108"/>
      <selection pane="bottomLeft" activeCell="F2" sqref="F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40073</v>
      </c>
      <c r="B2" s="28">
        <v>1462</v>
      </c>
      <c r="C2" s="28" t="s">
        <v>4</v>
      </c>
      <c r="D2" s="28">
        <v>200</v>
      </c>
      <c r="E2" s="29">
        <v>35.15</v>
      </c>
      <c r="F2" s="29">
        <v>7030.01</v>
      </c>
      <c r="G2" s="29">
        <f>1.16*(F2/SUM(F2:F4))</f>
        <v>0.42000450143979118</v>
      </c>
      <c r="H2" s="29">
        <f>5.53*(F2/SUM(F2:F4))</f>
        <v>2.0022628387603842</v>
      </c>
      <c r="I2" s="29">
        <v>15.99</v>
      </c>
      <c r="J2" s="29">
        <v>0.8</v>
      </c>
      <c r="K2" s="29">
        <v>0</v>
      </c>
      <c r="L2" s="29">
        <f>F2-G2-H2-I2-K2</f>
        <v>7011.5977326598004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40073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>1.16*(F3/SUM(F2:F4))</f>
        <v>0.41199813967957366</v>
      </c>
      <c r="H3" s="29">
        <f>5.53*(F3/SUM(F2:F4))</f>
        <v>1.9640945796793472</v>
      </c>
      <c r="I3" s="29">
        <v>15.99</v>
      </c>
      <c r="J3" s="29">
        <v>0.8</v>
      </c>
      <c r="K3" s="29">
        <v>0</v>
      </c>
      <c r="L3" s="29">
        <f>F3-G3-H3-I3-K3</f>
        <v>6877.6339072806404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40073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>1.16*(F4/SUM(F2:F4))</f>
        <v>0.32799735888063514</v>
      </c>
      <c r="H4" s="29">
        <f>5.53*(F4/SUM(F2:F4))</f>
        <v>1.5636425815602693</v>
      </c>
      <c r="I4" s="29">
        <v>15.99</v>
      </c>
      <c r="J4" s="29">
        <v>0.8</v>
      </c>
      <c r="K4" s="29">
        <v>0</v>
      </c>
      <c r="L4" s="29">
        <f>F4-G4-H4-I4-K4</f>
        <v>5472.1183600595596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3">
        <f t="shared" ref="F5:L5" si="0">SUM(F2:F4)</f>
        <v>19416.009999999998</v>
      </c>
      <c r="G5" s="33">
        <f t="shared" si="0"/>
        <v>1.1599999999999999</v>
      </c>
      <c r="H5" s="33">
        <f t="shared" si="0"/>
        <v>5.53</v>
      </c>
      <c r="I5" s="33">
        <f t="shared" si="0"/>
        <v>47.97</v>
      </c>
      <c r="J5" s="33">
        <f t="shared" si="0"/>
        <v>2.4000000000000004</v>
      </c>
      <c r="K5" s="33">
        <f t="shared" si="0"/>
        <v>0</v>
      </c>
      <c r="L5" s="33">
        <f t="shared" si="0"/>
        <v>19361.349999999999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EF43A-AB48-4760-8CB3-D62FBA7ABFD8}">
  <dimension ref="A1:AC4"/>
  <sheetViews>
    <sheetView workbookViewId="0">
      <pane ySplit="1" topLeftCell="A2" activePane="bottomLeft" state="frozen"/>
      <selection activeCell="Q108" sqref="Q108"/>
      <selection pane="bottomLeft" activeCell="G2" sqref="G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v>2.76</v>
      </c>
      <c r="H2" s="3">
        <f>F2*0.005%</f>
        <v>0.55000000000000004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5.66</v>
      </c>
      <c r="H4" s="7">
        <f t="shared" si="2"/>
        <v>1.1300000000000001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C7D75-65E8-45D7-9B4A-EEFFE176C4A2}">
  <dimension ref="A1:AC4"/>
  <sheetViews>
    <sheetView workbookViewId="0">
      <pane ySplit="1" topLeftCell="A2" activePane="bottomLeft" state="frozen"/>
      <selection activeCell="Q108" sqref="Q108"/>
      <selection pane="bottomLeft" activeCell="H2" sqref="H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v>0.56000000000000005</v>
      </c>
      <c r="I2" s="3">
        <v>1.99</v>
      </c>
      <c r="J2" s="3">
        <f t="shared" ref="J2:J3" si="1">I2*6.5%</f>
        <v>0.12934999999999999</v>
      </c>
      <c r="K2" s="3">
        <v>0</v>
      </c>
      <c r="L2" s="3">
        <f>F2+G2+H2+I2+J2</f>
        <v>11005.429349999999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si="1"/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1.1400000000000001</v>
      </c>
      <c r="I4" s="7">
        <f t="shared" si="2"/>
        <v>3.98</v>
      </c>
      <c r="J4" s="7">
        <f t="shared" si="2"/>
        <v>0.25869999999999999</v>
      </c>
      <c r="K4" s="7">
        <f t="shared" si="2"/>
        <v>0</v>
      </c>
      <c r="L4" s="7">
        <f>-SUM(L2:L3)</f>
        <v>-22611.028699999995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583F5-F968-4E69-BCCF-4B8530FA0CCB}">
  <dimension ref="A1:AC4"/>
  <sheetViews>
    <sheetView workbookViewId="0">
      <pane ySplit="1" topLeftCell="A2" activePane="bottomLeft" state="frozen"/>
      <selection activeCell="Q108" sqref="Q108"/>
      <selection pane="bottomLeft" activeCell="J2" sqref="J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2.4257812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2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x14ac:dyDescent="0.25">
      <c r="A2" s="5">
        <v>44491</v>
      </c>
      <c r="B2" s="4">
        <v>85060</v>
      </c>
      <c r="C2" s="4" t="s">
        <v>21</v>
      </c>
      <c r="D2" s="4">
        <v>400</v>
      </c>
      <c r="E2" s="3">
        <v>27.5</v>
      </c>
      <c r="F2" s="3">
        <f t="shared" ref="F2:F3" si="0">D2*E2</f>
        <v>11000</v>
      </c>
      <c r="G2" s="3">
        <f>F2*0.025%</f>
        <v>2.75</v>
      </c>
      <c r="H2" s="3">
        <f>F2*0.005%</f>
        <v>0.55000000000000004</v>
      </c>
      <c r="I2" s="3">
        <v>1.99</v>
      </c>
      <c r="J2" s="3">
        <v>0.12</v>
      </c>
      <c r="K2" s="3">
        <v>0</v>
      </c>
      <c r="L2" s="3">
        <f>F2+G2+H2+I2+J2</f>
        <v>11005.41</v>
      </c>
    </row>
    <row r="3" spans="1:29" x14ac:dyDescent="0.25">
      <c r="A3" s="5">
        <v>44491</v>
      </c>
      <c r="B3" s="4">
        <v>85060</v>
      </c>
      <c r="C3" s="4" t="s">
        <v>22</v>
      </c>
      <c r="D3" s="4">
        <v>500</v>
      </c>
      <c r="E3" s="3">
        <v>23.2</v>
      </c>
      <c r="F3" s="3">
        <f t="shared" si="0"/>
        <v>11600</v>
      </c>
      <c r="G3" s="3">
        <f>F3*0.025%</f>
        <v>2.9</v>
      </c>
      <c r="H3" s="3">
        <f>F3*0.005%</f>
        <v>0.58000000000000007</v>
      </c>
      <c r="I3" s="3">
        <v>1.99</v>
      </c>
      <c r="J3" s="3">
        <f t="shared" ref="J3" si="1">I3*6.5%</f>
        <v>0.12934999999999999</v>
      </c>
      <c r="K3" s="3">
        <v>0</v>
      </c>
      <c r="L3" s="3">
        <f>F3+G3+H3+I3+J3</f>
        <v>11605.599349999999</v>
      </c>
    </row>
    <row r="4" spans="1:29" s="4" customFormat="1" x14ac:dyDescent="0.25">
      <c r="A4" s="5"/>
      <c r="E4" s="3"/>
      <c r="F4" s="7">
        <f>-SUM(F2:F3)</f>
        <v>-22600</v>
      </c>
      <c r="G4" s="7">
        <f t="shared" ref="G4:K4" si="2">SUM(G2:G3)</f>
        <v>5.65</v>
      </c>
      <c r="H4" s="7">
        <f t="shared" si="2"/>
        <v>1.1300000000000001</v>
      </c>
      <c r="I4" s="7">
        <f t="shared" si="2"/>
        <v>3.98</v>
      </c>
      <c r="J4" s="7">
        <f t="shared" si="2"/>
        <v>0.24934999999999999</v>
      </c>
      <c r="K4" s="7">
        <f t="shared" si="2"/>
        <v>0</v>
      </c>
      <c r="L4" s="7">
        <f>-SUM(L2:L3)</f>
        <v>-22611.00935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5B8EB-77D4-4A9D-ADC2-145B24A5415F}">
  <dimension ref="A1:AC6"/>
  <sheetViews>
    <sheetView workbookViewId="0">
      <pane ySplit="1" topLeftCell="A2" activePane="bottomLeft" state="frozen"/>
      <selection activeCell="Q108" sqref="Q108"/>
      <selection pane="bottomLeft" activeCell="K2" sqref="K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40073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F2*0.007%</f>
        <v>0.56000000000000005</v>
      </c>
      <c r="I2" s="29">
        <v>15.99</v>
      </c>
      <c r="J2" s="29">
        <v>0.8</v>
      </c>
      <c r="K2" s="29">
        <v>0.19</v>
      </c>
      <c r="L2" s="29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40073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 t="shared" ref="G3:G4" si="0">F3*0.0275%</f>
        <v>1.8963999999999999</v>
      </c>
      <c r="H3" s="29">
        <f t="shared" ref="H3:H4" si="1">F3*0.007%</f>
        <v>0.48271999999999998</v>
      </c>
      <c r="I3" s="29">
        <v>15.99</v>
      </c>
      <c r="J3" s="29">
        <v>0.8</v>
      </c>
      <c r="K3" s="29">
        <f>((F3 - G3 - H3 - I3 - J3) - (18.5 * D3)) * 0.005%</f>
        <v>0.15884154399999997</v>
      </c>
      <c r="L3" s="29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40073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 t="shared" si="0"/>
        <v>1.5097500000000001</v>
      </c>
      <c r="H4" s="29">
        <f t="shared" si="1"/>
        <v>0.38430000000000003</v>
      </c>
      <c r="I4" s="29">
        <v>15.99</v>
      </c>
      <c r="J4" s="29">
        <v>0.8</v>
      </c>
      <c r="K4" s="29">
        <f>((F4 - G4 - H4 - I4 - J4) - (22.3 * D4)) * 0.005%</f>
        <v>5.0565797500000009E-2</v>
      </c>
      <c r="L4" s="29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3">
        <f t="shared" ref="F5:L5" si="2">SUM(F2:F4)</f>
        <v>20386</v>
      </c>
      <c r="G5" s="33">
        <f t="shared" si="2"/>
        <v>5.6061500000000004</v>
      </c>
      <c r="H5" s="33">
        <f t="shared" si="2"/>
        <v>1.4270200000000002</v>
      </c>
      <c r="I5" s="33">
        <f t="shared" si="2"/>
        <v>47.97</v>
      </c>
      <c r="J5" s="33">
        <f t="shared" si="2"/>
        <v>2.4000000000000004</v>
      </c>
      <c r="K5" s="33">
        <f t="shared" si="2"/>
        <v>0.39940734150000001</v>
      </c>
      <c r="L5" s="33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6" spans="1:29" x14ac:dyDescent="0.25">
      <c r="E6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E40E-BCAE-41DB-80FC-C74D9CCDCD28}">
  <dimension ref="A1:AC1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10.7109375" style="1" bestFit="1" customWidth="1"/>
    <col min="12" max="12" width="14.4257812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20</v>
      </c>
      <c r="B1" t="s">
        <v>19</v>
      </c>
      <c r="C1" t="s">
        <v>18</v>
      </c>
      <c r="D1" t="s">
        <v>17</v>
      </c>
      <c r="E1" s="1" t="s">
        <v>16</v>
      </c>
      <c r="F1" s="1" t="s">
        <v>15</v>
      </c>
      <c r="G1" s="1" t="s">
        <v>14</v>
      </c>
      <c r="H1" s="1" t="s">
        <v>13</v>
      </c>
      <c r="I1" s="1" t="s">
        <v>12</v>
      </c>
      <c r="J1" s="1" t="s">
        <v>11</v>
      </c>
      <c r="K1" s="1" t="s">
        <v>10</v>
      </c>
      <c r="L1" s="1" t="s">
        <v>9</v>
      </c>
      <c r="AC1" s="15"/>
    </row>
    <row r="2" spans="1:29" s="9" customFormat="1" x14ac:dyDescent="0.25">
      <c r="A2" s="30">
        <v>40073</v>
      </c>
      <c r="B2" s="28">
        <v>1462</v>
      </c>
      <c r="C2" s="28" t="s">
        <v>4</v>
      </c>
      <c r="D2" s="28">
        <v>200</v>
      </c>
      <c r="E2" s="29">
        <v>40</v>
      </c>
      <c r="F2" s="29">
        <f>D2*E2</f>
        <v>8000</v>
      </c>
      <c r="G2" s="29">
        <f>F2*0.0275%</f>
        <v>2.2000000000000002</v>
      </c>
      <c r="H2" s="29">
        <f>F2*0.007%</f>
        <v>0.56000000000000005</v>
      </c>
      <c r="I2" s="29">
        <v>15.99</v>
      </c>
      <c r="J2" s="29">
        <v>0.8</v>
      </c>
      <c r="K2" s="29">
        <v>0.19</v>
      </c>
      <c r="L2" s="29">
        <f>F2-G2-H2-I2-K2</f>
        <v>7981.06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s="9" customFormat="1" x14ac:dyDescent="0.25">
      <c r="A3" s="30">
        <v>40073</v>
      </c>
      <c r="B3" s="28">
        <v>1462</v>
      </c>
      <c r="C3" s="28" t="s">
        <v>1</v>
      </c>
      <c r="D3" s="28">
        <v>200</v>
      </c>
      <c r="E3" s="29">
        <v>34.479999999999997</v>
      </c>
      <c r="F3" s="29">
        <f>D3*E3</f>
        <v>6895.9999999999991</v>
      </c>
      <c r="G3" s="29">
        <f t="shared" ref="G3:G4" si="0">F3*0.0275%</f>
        <v>1.8963999999999999</v>
      </c>
      <c r="H3" s="29">
        <f t="shared" ref="H3:H4" si="1">F3*0.007%</f>
        <v>0.48271999999999998</v>
      </c>
      <c r="I3" s="29">
        <v>15.99</v>
      </c>
      <c r="J3" s="29">
        <v>0.8</v>
      </c>
      <c r="K3" s="29">
        <f>((F3 - G3 - H3 - I3 - J3) - (18.5 * D3)) * 0.005%</f>
        <v>0.15884154399999997</v>
      </c>
      <c r="L3" s="29">
        <f>F3-G3-H3-I3-K3</f>
        <v>6877.4720384559996</v>
      </c>
      <c r="M3" s="6"/>
      <c r="R3" s="8"/>
      <c r="S3" s="8"/>
      <c r="T3" s="8"/>
      <c r="U3" s="8"/>
      <c r="V3" s="8"/>
      <c r="W3" s="8"/>
      <c r="X3" s="8"/>
      <c r="Y3" s="8"/>
      <c r="Z3" s="8"/>
      <c r="AA3" s="8"/>
      <c r="AB3" s="8"/>
    </row>
    <row r="4" spans="1:29" s="9" customFormat="1" x14ac:dyDescent="0.25">
      <c r="A4" s="30">
        <v>40073</v>
      </c>
      <c r="B4" s="28">
        <v>1462</v>
      </c>
      <c r="C4" s="28" t="s">
        <v>6</v>
      </c>
      <c r="D4" s="28">
        <v>200</v>
      </c>
      <c r="E4" s="29">
        <v>27.45</v>
      </c>
      <c r="F4" s="29">
        <f>D4*E4</f>
        <v>5490</v>
      </c>
      <c r="G4" s="29">
        <f t="shared" si="0"/>
        <v>1.5097500000000001</v>
      </c>
      <c r="H4" s="29">
        <f t="shared" si="1"/>
        <v>0.38430000000000003</v>
      </c>
      <c r="I4" s="29">
        <v>15.99</v>
      </c>
      <c r="J4" s="29">
        <v>0.8</v>
      </c>
      <c r="K4" s="29">
        <f>((F4 - G4 - H4 - I4 - J4) - (22.3 * D4)) * 0.005%</f>
        <v>5.0565797500000009E-2</v>
      </c>
      <c r="L4" s="29">
        <f>F4-G4-H4-I4-K4</f>
        <v>5472.0653842025004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s="9" customFormat="1" x14ac:dyDescent="0.25">
      <c r="A5" s="30"/>
      <c r="B5" s="28"/>
      <c r="C5" s="28"/>
      <c r="D5" s="28"/>
      <c r="E5" s="29"/>
      <c r="F5" s="33">
        <f t="shared" ref="F5:L5" si="2">SUM(F2:F4)</f>
        <v>20386</v>
      </c>
      <c r="G5" s="33">
        <f t="shared" si="2"/>
        <v>5.6061500000000004</v>
      </c>
      <c r="H5" s="33">
        <f t="shared" si="2"/>
        <v>1.4270200000000002</v>
      </c>
      <c r="I5" s="33">
        <f t="shared" si="2"/>
        <v>47.97</v>
      </c>
      <c r="J5" s="33">
        <f t="shared" si="2"/>
        <v>2.4000000000000004</v>
      </c>
      <c r="K5" s="33">
        <f t="shared" si="2"/>
        <v>0.39940734150000001</v>
      </c>
      <c r="L5" s="33">
        <f t="shared" si="2"/>
        <v>20330.597422658502</v>
      </c>
      <c r="M5" s="6"/>
      <c r="R5" s="8"/>
      <c r="S5" s="8"/>
      <c r="T5" s="8"/>
      <c r="U5" s="8"/>
      <c r="V5" s="8"/>
      <c r="W5" s="8"/>
      <c r="X5" s="8"/>
      <c r="Y5" s="8"/>
      <c r="Z5" s="8"/>
      <c r="AA5" s="8"/>
      <c r="AB5" s="8"/>
    </row>
    <row r="8" spans="1:29" x14ac:dyDescent="0.25">
      <c r="L8" s="1">
        <v>0</v>
      </c>
      <c r="N8">
        <v>0</v>
      </c>
    </row>
    <row r="9" spans="1:29" x14ac:dyDescent="0.25">
      <c r="E9" s="18">
        <v>100</v>
      </c>
      <c r="F9" s="1">
        <v>2750</v>
      </c>
      <c r="G9" s="1">
        <v>0.22</v>
      </c>
      <c r="H9" s="1">
        <v>0.74</v>
      </c>
      <c r="I9" s="1">
        <v>15.99</v>
      </c>
      <c r="J9" s="1">
        <v>0.8</v>
      </c>
      <c r="K9" s="1">
        <f>F9-G9-H9-I9-J9</f>
        <v>2732.2500000000005</v>
      </c>
      <c r="L9" s="1">
        <f>L8+K9</f>
        <v>2732.2500000000005</v>
      </c>
      <c r="N9" s="18">
        <f>N8+E9</f>
        <v>100</v>
      </c>
    </row>
    <row r="10" spans="1:29" x14ac:dyDescent="0.25">
      <c r="E10" s="18">
        <v>200</v>
      </c>
      <c r="F10" s="1">
        <v>5940</v>
      </c>
      <c r="G10" s="1">
        <v>0.47</v>
      </c>
      <c r="H10" s="1">
        <v>1.6</v>
      </c>
      <c r="I10" s="1">
        <v>15.99</v>
      </c>
      <c r="J10" s="1">
        <v>0.8</v>
      </c>
      <c r="K10" s="1">
        <f t="shared" ref="K10:K12" si="3">F10-G10-H10-I10-J10</f>
        <v>5921.1399999999994</v>
      </c>
      <c r="L10" s="1">
        <f>L9+K10</f>
        <v>8653.39</v>
      </c>
      <c r="N10" s="18">
        <f>N9+E10</f>
        <v>300</v>
      </c>
    </row>
    <row r="11" spans="1:29" x14ac:dyDescent="0.25">
      <c r="E11" s="18">
        <v>-200</v>
      </c>
      <c r="F11" s="1">
        <v>6630</v>
      </c>
      <c r="G11" s="1">
        <v>0.39</v>
      </c>
      <c r="H11" s="1">
        <v>1.89</v>
      </c>
      <c r="I11" s="1">
        <v>15.99</v>
      </c>
      <c r="J11" s="1">
        <v>0.8</v>
      </c>
      <c r="K11" s="1">
        <f t="shared" si="3"/>
        <v>6610.9299999999994</v>
      </c>
      <c r="L11" s="1">
        <f>L10+((L10/N10)*E11)</f>
        <v>2884.4633333333331</v>
      </c>
      <c r="N11" s="18">
        <f>N10+E11</f>
        <v>100</v>
      </c>
    </row>
    <row r="12" spans="1:29" x14ac:dyDescent="0.25">
      <c r="E12" s="18">
        <v>200</v>
      </c>
      <c r="F12" s="1">
        <v>6400</v>
      </c>
      <c r="G12" s="1">
        <v>0.38</v>
      </c>
      <c r="H12" s="1">
        <v>1.82</v>
      </c>
      <c r="I12" s="1">
        <v>15.99</v>
      </c>
      <c r="J12" s="1">
        <v>0.8</v>
      </c>
      <c r="K12" s="1">
        <f t="shared" si="3"/>
        <v>6381.01</v>
      </c>
      <c r="L12" s="19">
        <f>L11+K12</f>
        <v>9265.4733333333334</v>
      </c>
      <c r="N12" s="20">
        <f>N11+E12</f>
        <v>300</v>
      </c>
      <c r="O12" s="1">
        <f>L12/N12</f>
        <v>30.884911111111112</v>
      </c>
    </row>
    <row r="13" spans="1:29" x14ac:dyDescent="0.25">
      <c r="E13" s="20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112</vt:i4>
      </vt:variant>
    </vt:vector>
  </HeadingPairs>
  <TitlesOfParts>
    <vt:vector size="112" baseType="lpstr">
      <vt:lpstr>NotUsed</vt:lpstr>
      <vt:lpstr>TradingDateMissing</vt:lpstr>
      <vt:lpstr>TradingDateNegative</vt:lpstr>
      <vt:lpstr>TradingDateExtraneousCharacters</vt:lpstr>
      <vt:lpstr>TradingDateInvalidDate</vt:lpstr>
      <vt:lpstr>TradingDateBlack</vt:lpstr>
      <vt:lpstr>TradingDateRedForSelling</vt:lpstr>
      <vt:lpstr>TradingDateBlueForBuying</vt:lpstr>
      <vt:lpstr>NoteNumberMissing</vt:lpstr>
      <vt:lpstr>NoteNumberNegative</vt:lpstr>
      <vt:lpstr>NoteNumberExtraneousCharacters</vt:lpstr>
      <vt:lpstr>NoteNumberBlack</vt:lpstr>
      <vt:lpstr>NoteNumberRedForSelling</vt:lpstr>
      <vt:lpstr>NoteNumberBlueForBuying</vt:lpstr>
      <vt:lpstr>TickerMissing</vt:lpstr>
      <vt:lpstr>TickerBlack</vt:lpstr>
      <vt:lpstr>TickerRedForSelling</vt:lpstr>
      <vt:lpstr>TickerBlueForBuying</vt:lpstr>
      <vt:lpstr>QtyMissing</vt:lpstr>
      <vt:lpstr>QtyNegative</vt:lpstr>
      <vt:lpstr>QtyExtraneousCharacters</vt:lpstr>
      <vt:lpstr>QtyBlack</vt:lpstr>
      <vt:lpstr>QtyRedForSelling</vt:lpstr>
      <vt:lpstr>QtyBlueForBuying</vt:lpstr>
      <vt:lpstr>PriceMissing</vt:lpstr>
      <vt:lpstr>PriceNegative</vt:lpstr>
      <vt:lpstr>PriceExtraneousCharacters</vt:lpstr>
      <vt:lpstr>PriceBlack</vt:lpstr>
      <vt:lpstr>PriceRedForSelling</vt:lpstr>
      <vt:lpstr>PriceBlueForBuying</vt:lpstr>
      <vt:lpstr>VolumeMissing</vt:lpstr>
      <vt:lpstr>VolumeExtraneousCharacters</vt:lpstr>
      <vt:lpstr>VolumeBlack</vt:lpstr>
      <vt:lpstr>VolumeRedForSelling</vt:lpstr>
      <vt:lpstr>VolumeBlueForBuying</vt:lpstr>
      <vt:lpstr>SettlementFeeMissing</vt:lpstr>
      <vt:lpstr>SettlementFeeExtraneousChars</vt:lpstr>
      <vt:lpstr>SettlementFeeBlack</vt:lpstr>
      <vt:lpstr>SettlementFeeRedForSelling</vt:lpstr>
      <vt:lpstr>SettlementFeeBlueForBuying</vt:lpstr>
      <vt:lpstr>TradingFeesMissing</vt:lpstr>
      <vt:lpstr>TradingFeesExtraneousCharacters</vt:lpstr>
      <vt:lpstr>TradingFeesBlack</vt:lpstr>
      <vt:lpstr>TradingFeesRedForSelling</vt:lpstr>
      <vt:lpstr>TradingFeesBlueForBuying</vt:lpstr>
      <vt:lpstr>BrokerageMissing</vt:lpstr>
      <vt:lpstr>BrokerageNegative</vt:lpstr>
      <vt:lpstr>BrokerageExtraneousCharacters</vt:lpstr>
      <vt:lpstr>BrokerageBlack</vt:lpstr>
      <vt:lpstr>BrokerageRedForSelling</vt:lpstr>
      <vt:lpstr>BrokerageBlueForBuying</vt:lpstr>
      <vt:lpstr>ServiceTaxMissing</vt:lpstr>
      <vt:lpstr>ServiceTaxNegative</vt:lpstr>
      <vt:lpstr>ServiceTaxExtraneousCharacters</vt:lpstr>
      <vt:lpstr>ServiceTaxBlack</vt:lpstr>
      <vt:lpstr>ServiceTaxRedForSelling</vt:lpstr>
      <vt:lpstr>ServiceTaxBlueForBuying</vt:lpstr>
      <vt:lpstr>IncomeTaxAtSourceExtraneousChar</vt:lpstr>
      <vt:lpstr>IncomeTaxAtSourceBlack</vt:lpstr>
      <vt:lpstr>IncomeTaxAtSourceRedForSelling</vt:lpstr>
      <vt:lpstr>IncomeTaxAtSourceBlueForBuying</vt:lpstr>
      <vt:lpstr>TotalMissing</vt:lpstr>
      <vt:lpstr>TotalExtraneousCharacters</vt:lpstr>
      <vt:lpstr>TotalBlack</vt:lpstr>
      <vt:lpstr>TotalRedForSelling</vt:lpstr>
      <vt:lpstr>TotalBlueForBuying</vt:lpstr>
      <vt:lpstr>NoEmptyAttributeHalfOfEachColor</vt:lpstr>
      <vt:lpstr>NonEmptyAttribsHalfOfEachColor</vt:lpstr>
      <vt:lpstr>ValidColoredAttribHalfEachColor</vt:lpstr>
      <vt:lpstr>NEValidColorAttrHalfEachColor</vt:lpstr>
      <vt:lpstr>VolumeSummaryMissing</vt:lpstr>
      <vt:lpstr>VolumeSummaryExtraneousChars</vt:lpstr>
      <vt:lpstr>SettlementFeeSummaryMissing</vt:lpstr>
      <vt:lpstr>SettlementFeeSummaryExtrChars</vt:lpstr>
      <vt:lpstr>TradingFeesSummaryMissing</vt:lpstr>
      <vt:lpstr>TradingFeesSummaryExtrChars</vt:lpstr>
      <vt:lpstr>BrokerageSummaryMissing</vt:lpstr>
      <vt:lpstr>BrokerageSummaryExtraneousChars</vt:lpstr>
      <vt:lpstr>ServiceTaxSummaryMissing</vt:lpstr>
      <vt:lpstr>ServiceTaxSummaryExtrChars</vt:lpstr>
      <vt:lpstr>IncomeTaxAtSourceSummExtrChars</vt:lpstr>
      <vt:lpstr>TotalSummaryMissing</vt:lpstr>
      <vt:lpstr>TotalSummaryExtraneousChars</vt:lpstr>
      <vt:lpstr>GroupWithDifferentTradingDates</vt:lpstr>
      <vt:lpstr>GroupWithDifferentNoteNumbers</vt:lpstr>
      <vt:lpstr>MultiLineGroupWithNoSummary</vt:lpstr>
      <vt:lpstr>GroupWithInvalidSummary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  <vt:lpstr>VolumeDoesNotMatchQtyTimesPrice</vt:lpstr>
      <vt:lpstr>SettlementFeeNotVolumeTimesRate</vt:lpstr>
      <vt:lpstr>InvalidTradingFees</vt:lpstr>
      <vt:lpstr>InvalidServiceTax</vt:lpstr>
      <vt:lpstr>InvalidIncomeTaxAtSource</vt:lpstr>
      <vt:lpstr>_BugInGroupFormation_</vt:lpstr>
      <vt:lpstr>NonZeroIncomeTaxAtSourceBuying</vt:lpstr>
      <vt:lpstr>InvalidTotalForSelling</vt:lpstr>
      <vt:lpstr>InvalidTotalForBuying</vt:lpstr>
      <vt:lpstr>InvalidSettlementFeeSummary</vt:lpstr>
      <vt:lpstr>InvalidTradingFeesSummary</vt:lpstr>
      <vt:lpstr>InvalidBrokerageSummary</vt:lpstr>
      <vt:lpstr>InvalidServiceTaxSummary</vt:lpstr>
      <vt:lpstr>InvalidIncomeTaxAtSourceSummary</vt:lpstr>
      <vt:lpstr>InvalidVolumeSummaryHomogGroups</vt:lpstr>
      <vt:lpstr>InvalidVolumeSummaryMixedGroups</vt:lpstr>
      <vt:lpstr>InvalidTotalSummaryHomogGroups</vt:lpstr>
      <vt:lpstr>InvalidTotalSummaryMixedGroups</vt:lpstr>
      <vt:lpstr>MultipleErrors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2022-06-11T20:32:00Z</dcterms:modified>
</cp:coreProperties>
</file>