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Projects\Personal\MPFi\code\stocks\src\test\resources\com\andreidiego\mpfi\stocks\adapter\spreadsheets\"/>
    </mc:Choice>
  </mc:AlternateContent>
  <xr:revisionPtr revIDLastSave="0" documentId="13_ncr:1_{D746DBA0-BCE7-4D88-95E2-08FFE0661A10}" xr6:coauthVersionLast="47" xr6:coauthVersionMax="47" xr10:uidLastSave="{00000000-0000-0000-0000-000000000000}"/>
  <bookViews>
    <workbookView xWindow="14400" yWindow="0" windowWidth="14400" windowHeight="15285" firstSheet="12" activeTab="14" xr2:uid="{51326E95-EE54-495F-AB8A-B57AD14A8498}"/>
  </bookViews>
  <sheets>
    <sheet name="NotUsed" sheetId="2" r:id="rId1"/>
    <sheet name="TradingDateMissing" sheetId="35" r:id="rId2"/>
    <sheet name="TradingDateBlack" sheetId="36" r:id="rId3"/>
    <sheet name="NoteNumberMissing" sheetId="37" r:id="rId4"/>
    <sheet name="NoteNumberNegative" sheetId="38" r:id="rId5"/>
    <sheet name="NoteNumberExtraneousCharacters" sheetId="39" r:id="rId6"/>
    <sheet name="NoteNumberBlack" sheetId="40" r:id="rId7"/>
    <sheet name="TickerMissing" sheetId="41" r:id="rId8"/>
    <sheet name="TickerBlack" sheetId="42" r:id="rId9"/>
    <sheet name="QtyMissing" sheetId="43" r:id="rId10"/>
    <sheet name="QtyNegative" sheetId="44" r:id="rId11"/>
    <sheet name="QtyExtraneousCharacters" sheetId="45" r:id="rId12"/>
    <sheet name="QtyBlack" sheetId="46" r:id="rId13"/>
    <sheet name="PriceMissing" sheetId="47" r:id="rId14"/>
    <sheet name="PriceNegative" sheetId="48" r:id="rId15"/>
    <sheet name="GroupWithDifferentTradingDates" sheetId="34" r:id="rId16"/>
    <sheet name="GroupWithDifferentNoteNumbers" sheetId="12" r:id="rId17"/>
    <sheet name="MultiLineGroupWithNoSummary" sheetId="25" r:id="rId18"/>
    <sheet name="GroupWithInvalidSummary" sheetId="26" r:id="rId19"/>
    <sheet name="LineWithDifferentFontColors" sheetId="13" r:id="rId20"/>
    <sheet name="LineWithBlackFontColor" sheetId="14" r:id="rId21"/>
    <sheet name="GroupsWithSameTradingDate&amp;Note" sheetId="7" r:id="rId22"/>
    <sheet name="GroupsWithSummary" sheetId="8" r:id="rId23"/>
    <sheet name="BuyingAndSellingOperations" sheetId="9" r:id="rId24"/>
    <sheet name="SingleLineGroups" sheetId="10" r:id="rId25"/>
    <sheet name="VolumeDoesNotMatchQtyTimesPrice" sheetId="15" r:id="rId26"/>
    <sheet name="SettlementFeeNotVolumeTimesRate" sheetId="16" r:id="rId27"/>
    <sheet name="InvalidNegotiationsFee" sheetId="17" r:id="rId28"/>
    <sheet name="InvalidServiceTax" sheetId="18" r:id="rId29"/>
    <sheet name="InvalidIncomeTaxAtSource" sheetId="19" r:id="rId30"/>
    <sheet name="_BugInGroupFormation_" sheetId="33" r:id="rId31"/>
    <sheet name="IncomeTaxAtSourceNot$OnBuying" sheetId="20" r:id="rId32"/>
    <sheet name="NonZeroIncomeTaxAtSourceBuying" sheetId="21" r:id="rId33"/>
    <sheet name="InvalidTotalForSelling" sheetId="22" r:id="rId34"/>
    <sheet name="InvalidTotalForBuying" sheetId="23" r:id="rId35"/>
    <sheet name="InvalidSettlementFeeSummary" sheetId="24" r:id="rId36"/>
    <sheet name="InvalidNegotiationFeesSummary" sheetId="27" r:id="rId37"/>
    <sheet name="InvalidBrokerageSummary" sheetId="28" r:id="rId38"/>
    <sheet name="InvalidServiceTaxSummary" sheetId="29" r:id="rId39"/>
    <sheet name="InvalidIncomeTaxAtSourceSummary" sheetId="30" r:id="rId40"/>
    <sheet name="InvalidVolumeSummaryMixedOps" sheetId="31" r:id="rId41"/>
    <sheet name="InvalidTotalSummaryMixedOps" sheetId="32" r:id="rId4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48" l="1"/>
  <c r="G2" i="48" s="1"/>
  <c r="F2" i="47"/>
  <c r="H2" i="47" s="1"/>
  <c r="F2" i="46"/>
  <c r="G2" i="46" s="1"/>
  <c r="F2" i="45"/>
  <c r="F2" i="44"/>
  <c r="G2" i="44" s="1"/>
  <c r="F2" i="43"/>
  <c r="H2" i="43" s="1"/>
  <c r="L2" i="42"/>
  <c r="H2" i="42"/>
  <c r="G2" i="42"/>
  <c r="F2" i="42"/>
  <c r="F2" i="41"/>
  <c r="H2" i="40"/>
  <c r="F2" i="40"/>
  <c r="G2" i="40" s="1"/>
  <c r="F2" i="39"/>
  <c r="G2" i="39" s="1"/>
  <c r="H2" i="38"/>
  <c r="F2" i="38"/>
  <c r="G2" i="38" s="1"/>
  <c r="L2" i="38" s="1"/>
  <c r="F2" i="37"/>
  <c r="G2" i="37" s="1"/>
  <c r="F2" i="36"/>
  <c r="F2" i="35"/>
  <c r="G2" i="35"/>
  <c r="H2" i="35"/>
  <c r="L2" i="35"/>
  <c r="F13" i="12"/>
  <c r="F11" i="12"/>
  <c r="K9" i="12"/>
  <c r="J9" i="12"/>
  <c r="I9" i="12"/>
  <c r="F8" i="12"/>
  <c r="H8" i="12" s="1"/>
  <c r="F7" i="12"/>
  <c r="K5" i="12"/>
  <c r="J5" i="12"/>
  <c r="I5" i="12"/>
  <c r="H4" i="12"/>
  <c r="F4" i="12"/>
  <c r="G4" i="12" s="1"/>
  <c r="L4" i="12" s="1"/>
  <c r="F3" i="12"/>
  <c r="G3" i="12" s="1"/>
  <c r="H2" i="12"/>
  <c r="F2" i="12"/>
  <c r="G2" i="12" s="1"/>
  <c r="H13" i="34"/>
  <c r="F13" i="34"/>
  <c r="F11" i="34"/>
  <c r="G11" i="34" s="1"/>
  <c r="K9" i="34"/>
  <c r="J9" i="34"/>
  <c r="I9" i="34"/>
  <c r="L8" i="34"/>
  <c r="H8" i="34"/>
  <c r="G8" i="34"/>
  <c r="F8" i="34"/>
  <c r="F7" i="34"/>
  <c r="H7" i="34" s="1"/>
  <c r="H9" i="34" s="1"/>
  <c r="K5" i="34"/>
  <c r="J5" i="34"/>
  <c r="I5" i="34"/>
  <c r="H4" i="34"/>
  <c r="F4" i="34"/>
  <c r="G4" i="34" s="1"/>
  <c r="L4" i="34" s="1"/>
  <c r="F3" i="34"/>
  <c r="H2" i="34"/>
  <c r="F2" i="34"/>
  <c r="G2" i="34" s="1"/>
  <c r="L3" i="14"/>
  <c r="L4" i="14"/>
  <c r="L2" i="14"/>
  <c r="L11" i="7"/>
  <c r="L6" i="10"/>
  <c r="L4" i="10"/>
  <c r="L2" i="10"/>
  <c r="H3" i="14"/>
  <c r="H4" i="14"/>
  <c r="H2" i="14"/>
  <c r="G3" i="14"/>
  <c r="G4" i="14"/>
  <c r="G2" i="14"/>
  <c r="H6" i="10"/>
  <c r="H4" i="10"/>
  <c r="H2" i="10"/>
  <c r="G6" i="10"/>
  <c r="G4" i="10"/>
  <c r="G2" i="10"/>
  <c r="K12" i="33"/>
  <c r="K11" i="33"/>
  <c r="N10" i="33"/>
  <c r="N11" i="33" s="1"/>
  <c r="N12" i="33" s="1"/>
  <c r="K10" i="33"/>
  <c r="N9" i="33"/>
  <c r="L9" i="33"/>
  <c r="L10" i="33" s="1"/>
  <c r="L11" i="33" s="1"/>
  <c r="L12" i="33" s="1"/>
  <c r="O12" i="33" s="1"/>
  <c r="K9" i="33"/>
  <c r="J5" i="33"/>
  <c r="I5" i="33"/>
  <c r="F5" i="33"/>
  <c r="H4" i="33"/>
  <c r="G4" i="33"/>
  <c r="F4" i="33"/>
  <c r="H3" i="33"/>
  <c r="G3" i="33"/>
  <c r="F3" i="33"/>
  <c r="H2" i="33"/>
  <c r="H5" i="33" s="1"/>
  <c r="F2" i="33"/>
  <c r="G2" i="33" s="1"/>
  <c r="F4" i="32"/>
  <c r="L4" i="31"/>
  <c r="K4" i="32"/>
  <c r="I4" i="32"/>
  <c r="J3" i="32"/>
  <c r="F3" i="32"/>
  <c r="H3" i="32" s="1"/>
  <c r="H4" i="32" s="1"/>
  <c r="J2" i="32"/>
  <c r="J4" i="32" s="1"/>
  <c r="H2" i="32"/>
  <c r="G2" i="32"/>
  <c r="L2" i="32" s="1"/>
  <c r="F2" i="32"/>
  <c r="L10" i="9"/>
  <c r="L5" i="9"/>
  <c r="F10" i="9"/>
  <c r="F5" i="9"/>
  <c r="L10" i="8"/>
  <c r="L5" i="8"/>
  <c r="F10" i="8"/>
  <c r="F5" i="8"/>
  <c r="L9" i="7"/>
  <c r="L5" i="7"/>
  <c r="F9" i="7"/>
  <c r="F5" i="7"/>
  <c r="L4" i="29"/>
  <c r="F4" i="29"/>
  <c r="L4" i="28"/>
  <c r="F4" i="28"/>
  <c r="L4" i="27"/>
  <c r="F4" i="27"/>
  <c r="L4" i="24"/>
  <c r="F4" i="24"/>
  <c r="L4" i="23"/>
  <c r="F4" i="23"/>
  <c r="L4" i="21"/>
  <c r="F4" i="21"/>
  <c r="F4" i="20"/>
  <c r="L4" i="18"/>
  <c r="F4" i="18"/>
  <c r="L4" i="17"/>
  <c r="F4" i="17"/>
  <c r="L4" i="16"/>
  <c r="F4" i="16"/>
  <c r="L5" i="13"/>
  <c r="F5" i="13"/>
  <c r="H2" i="48" l="1"/>
  <c r="L2" i="48" s="1"/>
  <c r="G2" i="47"/>
  <c r="L2" i="47" s="1"/>
  <c r="H2" i="46"/>
  <c r="L2" i="46" s="1"/>
  <c r="G2" i="45"/>
  <c r="H2" i="45"/>
  <c r="L2" i="45" s="1"/>
  <c r="H2" i="44"/>
  <c r="L2" i="44"/>
  <c r="G2" i="43"/>
  <c r="L2" i="43" s="1"/>
  <c r="G2" i="41"/>
  <c r="L2" i="41" s="1"/>
  <c r="H2" i="41"/>
  <c r="L2" i="40"/>
  <c r="H2" i="39"/>
  <c r="L2" i="39" s="1"/>
  <c r="H2" i="37"/>
  <c r="L2" i="37" s="1"/>
  <c r="H2" i="36"/>
  <c r="G2" i="36"/>
  <c r="L2" i="36" s="1"/>
  <c r="G5" i="12"/>
  <c r="L2" i="12"/>
  <c r="F9" i="12"/>
  <c r="G11" i="12"/>
  <c r="L11" i="12" s="1"/>
  <c r="F5" i="12"/>
  <c r="G7" i="12"/>
  <c r="H11" i="12"/>
  <c r="H3" i="12"/>
  <c r="H5" i="12" s="1"/>
  <c r="L3" i="12"/>
  <c r="G13" i="12"/>
  <c r="L13" i="12" s="1"/>
  <c r="H7" i="12"/>
  <c r="H9" i="12" s="1"/>
  <c r="G8" i="12"/>
  <c r="L8" i="12" s="1"/>
  <c r="H13" i="12"/>
  <c r="L2" i="34"/>
  <c r="L7" i="34"/>
  <c r="L9" i="34" s="1"/>
  <c r="F9" i="34"/>
  <c r="F5" i="34"/>
  <c r="G7" i="34"/>
  <c r="G9" i="34" s="1"/>
  <c r="H11" i="34"/>
  <c r="G3" i="34"/>
  <c r="G5" i="34" s="1"/>
  <c r="L11" i="34"/>
  <c r="H3" i="34"/>
  <c r="H5" i="34" s="1"/>
  <c r="G13" i="34"/>
  <c r="L13" i="34" s="1"/>
  <c r="L2" i="33"/>
  <c r="G5" i="33"/>
  <c r="K4" i="33"/>
  <c r="L4" i="33" s="1"/>
  <c r="K3" i="33"/>
  <c r="K5" i="33" s="1"/>
  <c r="G3" i="32"/>
  <c r="L3" i="32" s="1"/>
  <c r="L4" i="32" s="1"/>
  <c r="L7" i="12" l="1"/>
  <c r="L9" i="12" s="1"/>
  <c r="L5" i="12"/>
  <c r="G9" i="12"/>
  <c r="L3" i="34"/>
  <c r="L5" i="34" s="1"/>
  <c r="L3" i="33"/>
  <c r="L5" i="33" s="1"/>
  <c r="G4" i="32"/>
  <c r="F4" i="31" l="1"/>
  <c r="L3" i="31"/>
  <c r="L2" i="31"/>
  <c r="K4" i="31"/>
  <c r="I4" i="31"/>
  <c r="J3" i="31"/>
  <c r="F3" i="31"/>
  <c r="H3" i="31" s="1"/>
  <c r="J2" i="31"/>
  <c r="F2" i="31"/>
  <c r="J4" i="31" l="1"/>
  <c r="G3" i="31"/>
  <c r="G2" i="31"/>
  <c r="H2" i="31"/>
  <c r="H4" i="31" s="1"/>
  <c r="G4" i="31" l="1"/>
  <c r="K10" i="9" l="1"/>
  <c r="K5" i="9"/>
  <c r="K10" i="8"/>
  <c r="K5" i="8"/>
  <c r="K9" i="7"/>
  <c r="K5" i="7"/>
  <c r="K5" i="15"/>
  <c r="K5" i="14"/>
  <c r="K5" i="13"/>
  <c r="K5" i="30"/>
  <c r="L2" i="30"/>
  <c r="J5" i="30"/>
  <c r="I5" i="30"/>
  <c r="L4" i="30"/>
  <c r="H4" i="30"/>
  <c r="G4" i="30"/>
  <c r="K4" i="30" s="1"/>
  <c r="F4" i="30"/>
  <c r="G3" i="30"/>
  <c r="F3" i="30"/>
  <c r="H2" i="30"/>
  <c r="F2" i="30"/>
  <c r="G2" i="30" s="1"/>
  <c r="J4" i="29"/>
  <c r="I4" i="29"/>
  <c r="K4" i="29"/>
  <c r="J3" i="29"/>
  <c r="G3" i="29"/>
  <c r="F3" i="29"/>
  <c r="H3" i="29" s="1"/>
  <c r="L3" i="29" s="1"/>
  <c r="J2" i="29"/>
  <c r="F2" i="29"/>
  <c r="I4" i="28"/>
  <c r="H4" i="28"/>
  <c r="K4" i="28"/>
  <c r="L3" i="28"/>
  <c r="J3" i="28"/>
  <c r="H3" i="28"/>
  <c r="G3" i="28"/>
  <c r="F3" i="28"/>
  <c r="J2" i="28"/>
  <c r="J4" i="28" s="1"/>
  <c r="G2" i="28"/>
  <c r="G4" i="28" s="1"/>
  <c r="F2" i="28"/>
  <c r="H4" i="27"/>
  <c r="G4" i="27"/>
  <c r="K4" i="27"/>
  <c r="I4" i="27"/>
  <c r="J3" i="27"/>
  <c r="H3" i="27"/>
  <c r="G3" i="27"/>
  <c r="F3" i="27"/>
  <c r="L3" i="27" s="1"/>
  <c r="J2" i="27"/>
  <c r="J4" i="27" s="1"/>
  <c r="F2" i="27"/>
  <c r="H2" i="27" s="1"/>
  <c r="L4" i="26"/>
  <c r="J4" i="26"/>
  <c r="I4" i="26"/>
  <c r="H4" i="26"/>
  <c r="F4" i="26"/>
  <c r="J3" i="26"/>
  <c r="F3" i="26"/>
  <c r="J2" i="26"/>
  <c r="H2" i="26"/>
  <c r="G2" i="26"/>
  <c r="L2" i="26" s="1"/>
  <c r="F2" i="26"/>
  <c r="J3" i="25"/>
  <c r="F3" i="25"/>
  <c r="H3" i="25" s="1"/>
  <c r="J2" i="25"/>
  <c r="F2" i="25"/>
  <c r="G4" i="24"/>
  <c r="L2" i="24"/>
  <c r="K4" i="24"/>
  <c r="I4" i="24"/>
  <c r="J3" i="24"/>
  <c r="H3" i="24"/>
  <c r="G3" i="24"/>
  <c r="F3" i="24"/>
  <c r="L3" i="24" s="1"/>
  <c r="J2" i="24"/>
  <c r="J4" i="24" s="1"/>
  <c r="G2" i="24"/>
  <c r="F2" i="24"/>
  <c r="H2" i="24" s="1"/>
  <c r="H4" i="24" s="1"/>
  <c r="L9" i="9"/>
  <c r="L8" i="9"/>
  <c r="L7" i="9"/>
  <c r="L4" i="9"/>
  <c r="L3" i="9"/>
  <c r="L2" i="9"/>
  <c r="L9" i="8"/>
  <c r="L8" i="8"/>
  <c r="L7" i="8"/>
  <c r="L4" i="8"/>
  <c r="L3" i="8"/>
  <c r="L2" i="8"/>
  <c r="L8" i="7"/>
  <c r="L7" i="7"/>
  <c r="L3" i="7"/>
  <c r="L4" i="7"/>
  <c r="L2" i="7"/>
  <c r="L4" i="13"/>
  <c r="L3" i="13"/>
  <c r="L2" i="13"/>
  <c r="K4" i="23"/>
  <c r="I4" i="23"/>
  <c r="J3" i="23"/>
  <c r="H3" i="23"/>
  <c r="G3" i="23"/>
  <c r="F3" i="23"/>
  <c r="L3" i="23" s="1"/>
  <c r="J2" i="23"/>
  <c r="J4" i="23" s="1"/>
  <c r="F2" i="23"/>
  <c r="L18" i="9"/>
  <c r="L17" i="9"/>
  <c r="L13" i="9"/>
  <c r="L14" i="9"/>
  <c r="L12" i="9"/>
  <c r="L3" i="22"/>
  <c r="L4" i="22"/>
  <c r="J5" i="22"/>
  <c r="I5" i="22"/>
  <c r="F5" i="22"/>
  <c r="F4" i="22"/>
  <c r="H3" i="22"/>
  <c r="G3" i="22"/>
  <c r="K3" i="22" s="1"/>
  <c r="F3" i="22"/>
  <c r="F2" i="22"/>
  <c r="G2" i="22" s="1"/>
  <c r="K4" i="21"/>
  <c r="I4" i="21"/>
  <c r="L3" i="21"/>
  <c r="J3" i="21"/>
  <c r="H3" i="21"/>
  <c r="G3" i="21"/>
  <c r="F3" i="21"/>
  <c r="J2" i="21"/>
  <c r="J4" i="21" s="1"/>
  <c r="H2" i="21"/>
  <c r="H4" i="21" s="1"/>
  <c r="G2" i="21"/>
  <c r="G4" i="21" s="1"/>
  <c r="F2" i="21"/>
  <c r="L2" i="21" s="1"/>
  <c r="J2" i="20"/>
  <c r="K4" i="20"/>
  <c r="I4" i="20"/>
  <c r="J3" i="20"/>
  <c r="J4" i="20" s="1"/>
  <c r="G3" i="20"/>
  <c r="F3" i="20"/>
  <c r="H3" i="20" s="1"/>
  <c r="F2" i="20"/>
  <c r="K18" i="9"/>
  <c r="H3" i="19"/>
  <c r="H4" i="19"/>
  <c r="K4" i="19" s="1"/>
  <c r="G4" i="19"/>
  <c r="F2" i="19"/>
  <c r="H2" i="19" s="1"/>
  <c r="J5" i="19"/>
  <c r="I5" i="19"/>
  <c r="F4" i="19"/>
  <c r="F3" i="19"/>
  <c r="G3" i="19" s="1"/>
  <c r="H2" i="18"/>
  <c r="K4" i="18"/>
  <c r="I4" i="18"/>
  <c r="J3" i="18"/>
  <c r="H3" i="18"/>
  <c r="H4" i="18" s="1"/>
  <c r="G3" i="18"/>
  <c r="F3" i="18"/>
  <c r="L3" i="18" s="1"/>
  <c r="J4" i="18"/>
  <c r="F2" i="18"/>
  <c r="G2" i="18" s="1"/>
  <c r="G4" i="18" s="1"/>
  <c r="H8" i="8"/>
  <c r="H9" i="8"/>
  <c r="H7" i="8"/>
  <c r="H3" i="8"/>
  <c r="H4" i="8"/>
  <c r="H2" i="8"/>
  <c r="H11" i="7"/>
  <c r="H8" i="7"/>
  <c r="H7" i="7"/>
  <c r="H3" i="7"/>
  <c r="H4" i="7"/>
  <c r="H2" i="7"/>
  <c r="H3" i="13"/>
  <c r="H4" i="13"/>
  <c r="H2" i="13"/>
  <c r="G2" i="17"/>
  <c r="K4" i="17"/>
  <c r="I4" i="17"/>
  <c r="G4" i="17"/>
  <c r="J3" i="17"/>
  <c r="H3" i="17"/>
  <c r="L3" i="17" s="1"/>
  <c r="G3" i="17"/>
  <c r="F3" i="17"/>
  <c r="J2" i="17"/>
  <c r="J4" i="17" s="1"/>
  <c r="F2" i="17"/>
  <c r="H4" i="17" s="1"/>
  <c r="G8" i="8"/>
  <c r="G9" i="8"/>
  <c r="G7" i="8"/>
  <c r="G3" i="8"/>
  <c r="G4" i="8"/>
  <c r="G2" i="8"/>
  <c r="G11" i="7"/>
  <c r="G8" i="7"/>
  <c r="G7" i="7"/>
  <c r="G3" i="7"/>
  <c r="G4" i="7"/>
  <c r="G2" i="7"/>
  <c r="G3" i="13"/>
  <c r="G4" i="13"/>
  <c r="G2" i="13"/>
  <c r="K4" i="16"/>
  <c r="I4" i="16"/>
  <c r="J3" i="16"/>
  <c r="F3" i="16"/>
  <c r="H3" i="16" s="1"/>
  <c r="J2" i="16"/>
  <c r="J4" i="16" s="1"/>
  <c r="F2" i="16"/>
  <c r="G2" i="19" l="1"/>
  <c r="K3" i="19"/>
  <c r="K2" i="30"/>
  <c r="G5" i="30"/>
  <c r="H3" i="30"/>
  <c r="H5" i="30" s="1"/>
  <c r="F5" i="30"/>
  <c r="K3" i="30"/>
  <c r="G2" i="29"/>
  <c r="G4" i="29" s="1"/>
  <c r="H2" i="29"/>
  <c r="H4" i="29" s="1"/>
  <c r="L2" i="29"/>
  <c r="H2" i="28"/>
  <c r="G2" i="27"/>
  <c r="L2" i="27"/>
  <c r="G3" i="26"/>
  <c r="L3" i="26" s="1"/>
  <c r="H3" i="26"/>
  <c r="G3" i="25"/>
  <c r="L3" i="25"/>
  <c r="H2" i="25"/>
  <c r="G2" i="25"/>
  <c r="G2" i="23"/>
  <c r="G4" i="23" s="1"/>
  <c r="H2" i="23"/>
  <c r="H4" i="23" s="1"/>
  <c r="H2" i="22"/>
  <c r="K2" i="22"/>
  <c r="G4" i="22"/>
  <c r="H4" i="22"/>
  <c r="L3" i="20"/>
  <c r="L4" i="20" s="1"/>
  <c r="G2" i="20"/>
  <c r="G4" i="20" s="1"/>
  <c r="H2" i="20"/>
  <c r="H4" i="20" s="1"/>
  <c r="K5" i="19"/>
  <c r="L4" i="19"/>
  <c r="L2" i="19"/>
  <c r="F5" i="19"/>
  <c r="H5" i="19"/>
  <c r="L2" i="18"/>
  <c r="H5" i="7"/>
  <c r="L2" i="17"/>
  <c r="H2" i="16"/>
  <c r="H4" i="16" s="1"/>
  <c r="G3" i="16"/>
  <c r="L3" i="16" s="1"/>
  <c r="L3" i="30" l="1"/>
  <c r="L5" i="30" s="1"/>
  <c r="L2" i="28"/>
  <c r="L2" i="25"/>
  <c r="H5" i="22"/>
  <c r="K4" i="22"/>
  <c r="L5" i="22" s="1"/>
  <c r="G5" i="22"/>
  <c r="L2" i="20"/>
  <c r="G5" i="19"/>
  <c r="L3" i="19"/>
  <c r="L5" i="19" s="1"/>
  <c r="G4" i="16"/>
  <c r="L2" i="16"/>
  <c r="K5" i="22" l="1"/>
  <c r="J5" i="15"/>
  <c r="I5" i="15"/>
  <c r="F4" i="15"/>
  <c r="H4" i="15" s="1"/>
  <c r="F3" i="15"/>
  <c r="H2" i="15"/>
  <c r="J10" i="8"/>
  <c r="I10" i="8"/>
  <c r="F9" i="8"/>
  <c r="F8" i="8"/>
  <c r="F7" i="8"/>
  <c r="J5" i="8"/>
  <c r="I5" i="8"/>
  <c r="F4" i="8"/>
  <c r="F3" i="8"/>
  <c r="F2" i="8"/>
  <c r="J5" i="14"/>
  <c r="I5" i="14"/>
  <c r="F4" i="14"/>
  <c r="F3" i="14"/>
  <c r="F2" i="14"/>
  <c r="J5" i="13"/>
  <c r="I5" i="13"/>
  <c r="F4" i="13"/>
  <c r="F3" i="13"/>
  <c r="F2" i="13"/>
  <c r="F2" i="10"/>
  <c r="F4" i="10"/>
  <c r="F6" i="10"/>
  <c r="F2" i="9"/>
  <c r="F3" i="9"/>
  <c r="F4" i="9"/>
  <c r="I5" i="9"/>
  <c r="J5" i="9"/>
  <c r="F7" i="9"/>
  <c r="F8" i="9"/>
  <c r="F9" i="9"/>
  <c r="I10" i="9"/>
  <c r="J10" i="9"/>
  <c r="F12" i="9"/>
  <c r="F13" i="9"/>
  <c r="F14" i="9"/>
  <c r="I15" i="9"/>
  <c r="J15" i="9"/>
  <c r="F17" i="9"/>
  <c r="F18" i="9"/>
  <c r="F19" i="9"/>
  <c r="I19" i="9"/>
  <c r="J19" i="9"/>
  <c r="F2" i="7"/>
  <c r="F3" i="7"/>
  <c r="F4" i="7"/>
  <c r="I5" i="7"/>
  <c r="J5" i="7"/>
  <c r="F7" i="7"/>
  <c r="F8" i="7"/>
  <c r="I9" i="7"/>
  <c r="J9" i="7"/>
  <c r="F11" i="7"/>
  <c r="F13" i="7"/>
  <c r="H13" i="7" l="1"/>
  <c r="G13" i="7"/>
  <c r="L13" i="7" s="1"/>
  <c r="G12" i="9"/>
  <c r="H12" i="9"/>
  <c r="K12" i="9"/>
  <c r="H13" i="9"/>
  <c r="G13" i="9"/>
  <c r="G8" i="9"/>
  <c r="H8" i="9"/>
  <c r="G4" i="9"/>
  <c r="H4" i="9"/>
  <c r="G3" i="9"/>
  <c r="H3" i="9"/>
  <c r="H5" i="9" s="1"/>
  <c r="H2" i="9"/>
  <c r="G2" i="9"/>
  <c r="G5" i="9" s="1"/>
  <c r="H9" i="9"/>
  <c r="G9" i="9"/>
  <c r="H7" i="9"/>
  <c r="G7" i="9"/>
  <c r="G18" i="9"/>
  <c r="H18" i="9"/>
  <c r="G17" i="9"/>
  <c r="H17" i="9"/>
  <c r="K17" i="9" s="1"/>
  <c r="K19" i="9" s="1"/>
  <c r="H14" i="9"/>
  <c r="G14" i="9"/>
  <c r="G4" i="15"/>
  <c r="L4" i="15" s="1"/>
  <c r="F5" i="15"/>
  <c r="G3" i="15"/>
  <c r="L3" i="15" s="1"/>
  <c r="H3" i="15"/>
  <c r="H5" i="15" s="1"/>
  <c r="G2" i="15"/>
  <c r="G9" i="7"/>
  <c r="H10" i="8"/>
  <c r="F5" i="14"/>
  <c r="H5" i="13"/>
  <c r="H19" i="9"/>
  <c r="F15" i="9"/>
  <c r="H9" i="7"/>
  <c r="F2" i="2"/>
  <c r="G10" i="9" l="1"/>
  <c r="K13" i="9"/>
  <c r="K14" i="9"/>
  <c r="G15" i="9"/>
  <c r="L2" i="15"/>
  <c r="L5" i="15" s="1"/>
  <c r="G5" i="15"/>
  <c r="G5" i="7"/>
  <c r="G5" i="8"/>
  <c r="G10" i="8"/>
  <c r="H5" i="8"/>
  <c r="H5" i="14"/>
  <c r="L5" i="14"/>
  <c r="G5" i="14"/>
  <c r="G5" i="13"/>
  <c r="H10" i="9"/>
  <c r="G19" i="9"/>
  <c r="L19" i="9"/>
  <c r="H15" i="9"/>
  <c r="H2" i="2"/>
  <c r="G2" i="2"/>
  <c r="L15" i="9" l="1"/>
  <c r="K15" i="9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Avell</author>
  </authors>
  <commentList>
    <comment ref="K2" authorId="0" shapeId="0" xr:uid="{6F3110C4-1405-4638-8B6C-6C5B4E20B248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K4" authorId="0" shapeId="0" xr:uid="{1C2F5EF2-608C-48D4-BF2E-277E20FC5F8D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D2A4F95B-CDBE-432B-B036-B0291D562E73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A816318B-6C6C-417A-82FC-56C33FF54C9F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sharedStrings.xml><?xml version="1.0" encoding="utf-8"?>
<sst xmlns="http://schemas.openxmlformats.org/spreadsheetml/2006/main" count="610" uniqueCount="27">
  <si>
    <t>BBAS3</t>
  </si>
  <si>
    <t>PETR4</t>
  </si>
  <si>
    <t>GGBR4</t>
  </si>
  <si>
    <t>ITSA4</t>
  </si>
  <si>
    <t>VALE5</t>
  </si>
  <si>
    <t>KLBN4</t>
  </si>
  <si>
    <t>RDCD3</t>
  </si>
  <si>
    <t>ARCZ6</t>
  </si>
  <si>
    <t>VCPA4</t>
  </si>
  <si>
    <t>Total</t>
  </si>
  <si>
    <t>IRRF</t>
  </si>
  <si>
    <t>ISS</t>
  </si>
  <si>
    <t>Corretagem</t>
  </si>
  <si>
    <t>Emolumentos</t>
  </si>
  <si>
    <t>Taxa de Liquidação</t>
  </si>
  <si>
    <t>Volume</t>
  </si>
  <si>
    <t>Preço</t>
  </si>
  <si>
    <t>Qtde</t>
  </si>
  <si>
    <t>Papel</t>
  </si>
  <si>
    <t>Nota</t>
  </si>
  <si>
    <t>Data Pregão</t>
  </si>
  <si>
    <t>AZUL4</t>
  </si>
  <si>
    <t>EMBR3</t>
  </si>
  <si>
    <t>SLCE3</t>
  </si>
  <si>
    <t>RAIL3</t>
  </si>
  <si>
    <t>I662</t>
  </si>
  <si>
    <t>l00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</si>
</sst>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164" formatCode="0.00_ ;[Red]\-0.00\ "/>
    <numFmt numFmtId="165" formatCode="&quot;R$&quot;\ #,##0.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8" fontId="0" fillId="0" borderId="0" xfId="0" applyNumberFormat="1"/>
    <xf numFmtId="0" fontId="0" fillId="2" borderId="0" xfId="0" applyFill="1"/>
    <xf numFmtId="8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0" fontId="1" fillId="2" borderId="0" xfId="0" applyFont="1" applyFill="1"/>
    <xf numFmtId="8" fontId="2" fillId="0" borderId="0" xfId="0" applyNumberFormat="1" applyFont="1"/>
    <xf numFmtId="8" fontId="3" fillId="0" borderId="0" xfId="0" applyNumberFormat="1" applyFont="1"/>
    <xf numFmtId="0" fontId="3" fillId="0" borderId="0" xfId="0" applyFont="1"/>
    <xf numFmtId="14" fontId="3" fillId="0" borderId="0" xfId="0" applyNumberFormat="1" applyFont="1"/>
    <xf numFmtId="8" fontId="4" fillId="0" borderId="0" xfId="0" applyNumberFormat="1" applyFont="1"/>
    <xf numFmtId="0" fontId="5" fillId="0" borderId="0" xfId="0" applyFont="1"/>
    <xf numFmtId="8" fontId="5" fillId="0" borderId="0" xfId="0" applyNumberFormat="1" applyFont="1"/>
    <xf numFmtId="14" fontId="0" fillId="0" borderId="0" xfId="0" applyNumberFormat="1"/>
    <xf numFmtId="14" fontId="5" fillId="0" borderId="0" xfId="0" applyNumberFormat="1" applyFont="1"/>
    <xf numFmtId="0" fontId="0" fillId="0" borderId="0" xfId="0"/>
    <xf numFmtId="0" fontId="5" fillId="2" borderId="0" xfId="0" applyFont="1" applyFill="1"/>
    <xf numFmtId="0" fontId="5" fillId="0" borderId="0" xfId="0" applyFont="1"/>
    <xf numFmtId="0" fontId="0" fillId="0" borderId="0" xfId="0"/>
    <xf numFmtId="8" fontId="8" fillId="0" borderId="0" xfId="0" applyNumberFormat="1" applyFont="1"/>
    <xf numFmtId="0" fontId="8" fillId="0" borderId="0" xfId="0" applyFont="1"/>
    <xf numFmtId="0" fontId="3" fillId="0" borderId="0" xfId="0" applyNumberFormat="1" applyFont="1"/>
    <xf numFmtId="164" fontId="1" fillId="0" borderId="0" xfId="0" applyNumberFormat="1" applyFont="1"/>
    <xf numFmtId="165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4B250-0980-498E-BE81-900F19EFBBA1}">
  <dimension ref="A1:AC3"/>
  <sheetViews>
    <sheetView workbookViewId="0">
      <pane ySplit="1" topLeftCell="A2" activePane="bottomLeft" state="frozen"/>
      <selection activeCell="Q108" sqref="Q108"/>
      <selection pane="bottomLeft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0.74*(F2/SUM(F2:F2))</f>
        <v>0.74</v>
      </c>
      <c r="H2" s="13">
        <f>2.51*(F2/SUM(F2:F2))</f>
        <v>2.5099999999999998</v>
      </c>
      <c r="I2" s="13">
        <v>15.99</v>
      </c>
      <c r="J2" s="13">
        <v>0.8</v>
      </c>
      <c r="L2" s="13">
        <f>F2+G2+H2+I2</f>
        <v>1553.24</v>
      </c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82B83-4946-4BE6-BF65-B7005D7A9C90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E2" s="3">
        <v>15.34</v>
      </c>
      <c r="F2" s="3">
        <f>D2*E2</f>
        <v>0</v>
      </c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30233-E9C7-4B69-BCD8-56729CA32643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-100</v>
      </c>
      <c r="E2" s="3">
        <v>15.34</v>
      </c>
      <c r="F2" s="3">
        <f>D2*E2</f>
        <v>-1534</v>
      </c>
      <c r="G2" s="3">
        <f>F2*0.0275%</f>
        <v>-0.42185</v>
      </c>
      <c r="H2" s="3">
        <f>F2*0.007%</f>
        <v>-0.10738000000000002</v>
      </c>
      <c r="I2" s="3">
        <v>15.99</v>
      </c>
      <c r="J2" s="3">
        <v>0.8</v>
      </c>
      <c r="K2" s="3">
        <v>0</v>
      </c>
      <c r="L2" s="3">
        <f>F2+G2+H2+I2+J2</f>
        <v>-1517.7392299999999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15EB7-321C-4C2E-93B6-FB82C1A7BA88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 t="s">
        <v>26</v>
      </c>
      <c r="E2" s="3">
        <v>15.34</v>
      </c>
      <c r="F2" s="3" t="e">
        <f>D2*E2</f>
        <v>#VALUE!</v>
      </c>
      <c r="G2" s="3" t="e">
        <f>F2*0.0275%</f>
        <v>#VALUE!</v>
      </c>
      <c r="H2" s="3" t="e">
        <f>F2*0.007%</f>
        <v>#VALUE!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AE2BD-7789-484D-9349-B1B4575C7D73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18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B37C1-DC87-4BE0-9B0C-DB97F9056CC1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/>
      <c r="F2" s="3">
        <f>D2*E2</f>
        <v>0</v>
      </c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2533D-F42E-4015-8648-EEB2343B1768}">
  <dimension ref="A1:AC3"/>
  <sheetViews>
    <sheetView tabSelected="1"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-15.34</v>
      </c>
      <c r="F2" s="3">
        <f>D2*E2</f>
        <v>-1534</v>
      </c>
      <c r="G2" s="3">
        <f>F2*0.0275%</f>
        <v>-0.42185</v>
      </c>
      <c r="H2" s="3">
        <f>F2*0.007%</f>
        <v>-0.10738000000000002</v>
      </c>
      <c r="I2" s="3">
        <v>15.99</v>
      </c>
      <c r="J2" s="3">
        <v>0.8</v>
      </c>
      <c r="K2" s="3">
        <v>0</v>
      </c>
      <c r="L2" s="3">
        <f>F2+G2+H2+I2+J2</f>
        <v>-1517.7392299999999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98C6E-C61C-4098-8811-20C737B2746F}">
  <dimension ref="A1:AC14"/>
  <sheetViews>
    <sheetView workbookViewId="0">
      <pane ySplit="1" topLeftCell="A2" activePane="bottomLeft" state="frozen"/>
      <selection activeCell="Q108" sqref="Q108"/>
      <selection pane="bottomLeft" activeCell="A2" sqref="A2:A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39758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07D2-9E80-482F-8923-3F644E2641BF}">
  <dimension ref="A1:AC14"/>
  <sheetViews>
    <sheetView workbookViewId="0">
      <pane ySplit="1" topLeftCell="A2" activePane="bottomLeft" state="frozen"/>
      <selection activeCell="Q108" sqref="Q108"/>
      <selection pane="bottomLeft" activeCell="B2" sqref="B2:B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1663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7D22B-36B9-402D-A19C-031FF2332945}">
  <dimension ref="A1:AC3"/>
  <sheetViews>
    <sheetView workbookViewId="0">
      <pane ySplit="1" topLeftCell="A2" activePane="bottomLeft" state="frozen"/>
      <selection activeCell="Q108" sqref="Q108"/>
      <selection pane="bottomLeft" activeCell="A2" sqref="A2:XFD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79CBF-C87A-40BF-91B5-CE83CDC20ECE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x14ac:dyDescent="0.25">
      <c r="F4" s="7">
        <f>SUM(F1:F3)</f>
        <v>22600</v>
      </c>
      <c r="G4" s="7">
        <v>5.65</v>
      </c>
      <c r="H4" s="7">
        <f>SUM(H1:H3)</f>
        <v>1.1300000000000001</v>
      </c>
      <c r="I4" s="7">
        <f>SUM(I1:I3)</f>
        <v>3.98</v>
      </c>
      <c r="J4" s="7">
        <f>SUM(J1:J3)</f>
        <v>0.25869999999999999</v>
      </c>
      <c r="K4" s="7"/>
      <c r="L4" s="7">
        <f>SUM(L1:L3)</f>
        <v>22611.018699999997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D129C-DE38-4D63-8AAB-D3D0535C8E35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/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4BB7C-DF07-4187-ADF0-23E50C2BA287}">
  <dimension ref="A1:AC7"/>
  <sheetViews>
    <sheetView workbookViewId="0">
      <pane ySplit="1" topLeftCell="A2" activePane="bottomLeft" state="frozen"/>
      <selection activeCell="Q108" sqref="Q108"/>
      <selection pane="bottomLeft" activeCell="A3" activeCellId="1" sqref="B3 A3"/>
    </sheetView>
  </sheetViews>
  <sheetFormatPr defaultColWidth="9.140625" defaultRowHeight="15" x14ac:dyDescent="0.25"/>
  <cols>
    <col min="1" max="1" width="11.5703125" style="12" bestFit="1" customWidth="1"/>
    <col min="2" max="2" width="5.28515625" style="12" bestFit="1" customWidth="1"/>
    <col min="3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22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C0A3F-FFB0-437C-B726-EA72E0B69675}">
  <dimension ref="A1:AC7"/>
  <sheetViews>
    <sheetView workbookViewId="0">
      <pane ySplit="1" topLeftCell="A2" activePane="bottomLeft" state="frozen"/>
      <selection activeCell="Q108" sqref="Q108"/>
      <selection pane="bottomLeft" activeCell="A2" sqref="A2:XFD2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F2*0.0275%</f>
        <v>0.42185</v>
      </c>
      <c r="H2" s="13">
        <f>F2*0.007%</f>
        <v>0.10738000000000002</v>
      </c>
      <c r="I2" s="13">
        <v>15.99</v>
      </c>
      <c r="J2" s="13">
        <v>0.8</v>
      </c>
      <c r="K2" s="13">
        <v>0</v>
      </c>
      <c r="L2" s="13">
        <f>F2+G2+H2+I2+J2</f>
        <v>1551.3192299999998</v>
      </c>
    </row>
    <row r="3" spans="1:29" x14ac:dyDescent="0.25">
      <c r="A3" s="15">
        <v>39757</v>
      </c>
      <c r="B3" s="12">
        <v>1662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 t="shared" ref="G3:G4" si="0">F3*0.0275%</f>
        <v>1.3854500000000001</v>
      </c>
      <c r="H3" s="13">
        <f t="shared" ref="H3:H4" si="1">F3*0.007%</f>
        <v>0.35266000000000003</v>
      </c>
      <c r="I3" s="13">
        <v>15.99</v>
      </c>
      <c r="J3" s="13">
        <v>0.8</v>
      </c>
      <c r="K3" s="13">
        <v>0</v>
      </c>
      <c r="L3" s="13">
        <f t="shared" ref="L3:L4" si="2">F3+G3+H3+I3+J3</f>
        <v>5056.5281099999993</v>
      </c>
    </row>
    <row r="4" spans="1:29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 t="shared" si="0"/>
        <v>0.75625000000000009</v>
      </c>
      <c r="H4" s="13">
        <f t="shared" si="1"/>
        <v>0.19250000000000003</v>
      </c>
      <c r="I4" s="13">
        <v>15.99</v>
      </c>
      <c r="J4" s="13">
        <v>0.8</v>
      </c>
      <c r="K4" s="13">
        <v>0</v>
      </c>
      <c r="L4" s="13">
        <f t="shared" si="2"/>
        <v>2767.73875</v>
      </c>
    </row>
    <row r="5" spans="1:29" x14ac:dyDescent="0.25">
      <c r="A5" s="15"/>
      <c r="F5" s="13">
        <f t="shared" ref="F5:L5" si="3">SUM(F2:F4)</f>
        <v>9322</v>
      </c>
      <c r="G5" s="13">
        <f t="shared" si="3"/>
        <v>2.5635500000000002</v>
      </c>
      <c r="H5" s="13">
        <f t="shared" si="3"/>
        <v>0.65254000000000012</v>
      </c>
      <c r="I5" s="13">
        <f t="shared" si="3"/>
        <v>47.97</v>
      </c>
      <c r="J5" s="13">
        <f t="shared" si="3"/>
        <v>2.4000000000000004</v>
      </c>
      <c r="K5" s="13">
        <f t="shared" si="3"/>
        <v>0</v>
      </c>
      <c r="L5" s="13">
        <f t="shared" si="3"/>
        <v>9375.5860899999989</v>
      </c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2574-DA99-472C-9CA5-5D547CFEDE2C}">
  <dimension ref="A1:AC14"/>
  <sheetViews>
    <sheetView workbookViewId="0">
      <pane ySplit="1" topLeftCell="A2" activePane="bottomLeft" state="frozen"/>
      <selection activeCell="Q108" sqref="Q108"/>
      <selection pane="bottomLeft" activeCell="A2" sqref="A2:B1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3515-2383-42E9-8F47-B3DA9BDEB959}">
  <dimension ref="A1:AC11"/>
  <sheetViews>
    <sheetView workbookViewId="0">
      <pane ySplit="1" topLeftCell="A2" activePane="bottomLeft" state="frozen"/>
      <selection activeCell="Q108" sqref="Q108"/>
      <selection pane="bottomLeft" activeCell="A10" activeCellId="1" sqref="A5:XFD5 A10:XFD10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x14ac:dyDescent="0.25">
      <c r="A11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430EF-5A58-4F6E-9535-CEBB2732DF3C}">
  <dimension ref="A1:AC19"/>
  <sheetViews>
    <sheetView workbookViewId="0">
      <pane ySplit="1" topLeftCell="A2" activePane="bottomLeft" state="frozen"/>
      <selection activeCell="Q108" sqref="Q108"/>
      <selection pane="bottomLeft" activeCell="A12" activeCellId="1" sqref="A2:XFD2 A12:XFD1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1.7109375" style="1" bestFit="1" customWidth="1"/>
    <col min="13" max="13" width="3.140625" style="2" customWidth="1"/>
    <col min="14" max="14" width="4.42578125" bestFit="1" customWidth="1"/>
    <col min="15" max="15" width="8.14062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s="4" customFormat="1" x14ac:dyDescent="0.25">
      <c r="A11" s="5"/>
      <c r="E11" s="3"/>
      <c r="F11" s="7"/>
      <c r="G11" s="7"/>
      <c r="H11" s="7"/>
      <c r="I11" s="7"/>
      <c r="J11" s="7"/>
      <c r="K11" s="7"/>
      <c r="L11" s="7"/>
      <c r="M11" s="6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9" s="9" customFormat="1" x14ac:dyDescent="0.25">
      <c r="A12" s="10">
        <v>40073</v>
      </c>
      <c r="B12" s="9">
        <v>1462</v>
      </c>
      <c r="C12" s="9" t="s">
        <v>4</v>
      </c>
      <c r="D12" s="9">
        <v>200</v>
      </c>
      <c r="E12" s="8">
        <v>35.15</v>
      </c>
      <c r="F12" s="8">
        <f>D12*E12</f>
        <v>7030</v>
      </c>
      <c r="G12" s="8">
        <f>F12*0.0275%</f>
        <v>1.9332500000000001</v>
      </c>
      <c r="H12" s="8">
        <f>F12*0.007%</f>
        <v>0.49210000000000004</v>
      </c>
      <c r="I12" s="8">
        <v>15.99</v>
      </c>
      <c r="J12" s="8">
        <v>0.8</v>
      </c>
      <c r="K12" s="8">
        <f>((F12 - G12 - H12 - I12 - J12) - (30.88 * D12)) * 0.005%</f>
        <v>4.173923249999998E-2</v>
      </c>
      <c r="L12" s="8">
        <f>F12-G12-H12-I12-J12</f>
        <v>7010.7846499999996</v>
      </c>
      <c r="M12" s="6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9" s="9" customFormat="1" x14ac:dyDescent="0.25">
      <c r="A13" s="10">
        <v>40073</v>
      </c>
      <c r="B13" s="9">
        <v>1462</v>
      </c>
      <c r="C13" s="9" t="s">
        <v>4</v>
      </c>
      <c r="D13" s="9">
        <v>200</v>
      </c>
      <c r="E13" s="8">
        <v>34.479999999999997</v>
      </c>
      <c r="F13" s="8">
        <f>D13*E13</f>
        <v>6895.9999999999991</v>
      </c>
      <c r="G13" s="8">
        <f t="shared" ref="G13:G14" si="6">F13*0.0275%</f>
        <v>1.8963999999999999</v>
      </c>
      <c r="H13" s="8">
        <f t="shared" ref="H13:H14" si="7">F13*0.007%</f>
        <v>0.48271999999999998</v>
      </c>
      <c r="I13" s="8">
        <v>15.99</v>
      </c>
      <c r="J13" s="8">
        <v>0.8</v>
      </c>
      <c r="K13" s="8">
        <f>((F13 - G13 - H13 - I13 - J13) - (30.88 * D13)) * 0.005%</f>
        <v>3.504154399999998E-2</v>
      </c>
      <c r="L13" s="8">
        <f t="shared" ref="L13:L14" si="8">F13-G13-H13-I13-J13</f>
        <v>6876.8308799999995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s="9" customFormat="1" x14ac:dyDescent="0.25">
      <c r="A14" s="10">
        <v>40073</v>
      </c>
      <c r="B14" s="9">
        <v>1462</v>
      </c>
      <c r="C14" s="9" t="s">
        <v>4</v>
      </c>
      <c r="D14" s="9">
        <v>200</v>
      </c>
      <c r="E14" s="8">
        <v>31</v>
      </c>
      <c r="F14" s="8">
        <f>D14*E14</f>
        <v>6200</v>
      </c>
      <c r="G14" s="8">
        <f t="shared" si="6"/>
        <v>1.7050000000000001</v>
      </c>
      <c r="H14" s="8">
        <f t="shared" si="7"/>
        <v>0.43400000000000005</v>
      </c>
      <c r="I14" s="8">
        <v>15.99</v>
      </c>
      <c r="J14" s="8">
        <v>0.8</v>
      </c>
      <c r="K14" s="8">
        <f>((F14 - G14 - H14 - I14 - J14) - (30.88 * D14)) * 0.005%</f>
        <v>2.5354999999999567E-4</v>
      </c>
      <c r="L14" s="8">
        <f t="shared" si="8"/>
        <v>6181.0709999999999</v>
      </c>
      <c r="M14" s="6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9" s="9" customFormat="1" x14ac:dyDescent="0.25">
      <c r="A15" s="10"/>
      <c r="E15" s="8"/>
      <c r="F15" s="11">
        <f t="shared" ref="F15:L15" si="9">SUM(F12:F14)</f>
        <v>20126</v>
      </c>
      <c r="G15" s="11">
        <f t="shared" si="9"/>
        <v>5.5346500000000001</v>
      </c>
      <c r="H15" s="11">
        <f t="shared" si="9"/>
        <v>1.40882</v>
      </c>
      <c r="I15" s="11">
        <f t="shared" si="9"/>
        <v>47.97</v>
      </c>
      <c r="J15" s="11">
        <f t="shared" si="9"/>
        <v>2.4000000000000004</v>
      </c>
      <c r="K15" s="11">
        <f t="shared" si="9"/>
        <v>7.7034326499999944E-2</v>
      </c>
      <c r="L15" s="11">
        <f t="shared" si="9"/>
        <v>20068.686529999999</v>
      </c>
      <c r="M15" s="6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7" spans="1:28" s="9" customFormat="1" x14ac:dyDescent="0.25">
      <c r="A17" s="10">
        <v>40158</v>
      </c>
      <c r="B17" s="9">
        <v>1171</v>
      </c>
      <c r="C17" s="9" t="s">
        <v>4</v>
      </c>
      <c r="D17" s="9">
        <v>500</v>
      </c>
      <c r="E17" s="8">
        <v>31</v>
      </c>
      <c r="F17" s="8">
        <f>D17*E17</f>
        <v>15500</v>
      </c>
      <c r="G17" s="8">
        <f>F17*0.0275%</f>
        <v>4.2625000000000002</v>
      </c>
      <c r="H17" s="8">
        <f>F17*0.007%</f>
        <v>1.0850000000000002</v>
      </c>
      <c r="I17" s="8">
        <v>15.99</v>
      </c>
      <c r="J17" s="8">
        <v>0.8</v>
      </c>
      <c r="K17" s="8">
        <f>((F17 - G17 - H17 - I17 - J17) - (30.88 * D17)) * 0.005%</f>
        <v>1.8931250000000547E-3</v>
      </c>
      <c r="L17" s="8">
        <f>F17-G17-H17-I17-J17</f>
        <v>15477.862500000001</v>
      </c>
      <c r="M17" s="6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s="9" customFormat="1" x14ac:dyDescent="0.25">
      <c r="A18" s="10">
        <v>40158</v>
      </c>
      <c r="B18" s="9">
        <v>1171</v>
      </c>
      <c r="C18" s="9" t="s">
        <v>4</v>
      </c>
      <c r="D18" s="9">
        <v>1000</v>
      </c>
      <c r="E18" s="8">
        <v>31</v>
      </c>
      <c r="F18" s="8">
        <f>D18*E18</f>
        <v>31000</v>
      </c>
      <c r="G18" s="8">
        <f>F18*0.0275%</f>
        <v>8.5250000000000004</v>
      </c>
      <c r="H18" s="8">
        <f>F18*0.007%</f>
        <v>2.1700000000000004</v>
      </c>
      <c r="I18" s="8">
        <v>15.99</v>
      </c>
      <c r="J18" s="8">
        <v>0.8</v>
      </c>
      <c r="K18" s="8">
        <f>((F18 - G18 - H18 - I18 - J18) - (30.88 * D18)) * 0.005%</f>
        <v>4.625749999999971E-3</v>
      </c>
      <c r="L18" s="8">
        <f>F18-G18-H18-I18-J18</f>
        <v>30972.514999999999</v>
      </c>
      <c r="M18" s="6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s="9" customFormat="1" x14ac:dyDescent="0.25">
      <c r="A19" s="10"/>
      <c r="E19" s="8"/>
      <c r="F19" s="11">
        <f t="shared" ref="F19:L19" si="10">SUM(F17:F18)</f>
        <v>46500</v>
      </c>
      <c r="G19" s="11">
        <f t="shared" si="10"/>
        <v>12.787500000000001</v>
      </c>
      <c r="H19" s="11">
        <f t="shared" si="10"/>
        <v>3.2550000000000008</v>
      </c>
      <c r="I19" s="11">
        <f t="shared" si="10"/>
        <v>31.98</v>
      </c>
      <c r="J19" s="11">
        <f t="shared" si="10"/>
        <v>1.6</v>
      </c>
      <c r="K19" s="11">
        <f t="shared" si="10"/>
        <v>6.5188750000000255E-3</v>
      </c>
      <c r="L19" s="11">
        <f t="shared" si="10"/>
        <v>46450.377500000002</v>
      </c>
      <c r="M19" s="6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</sheetData>
  <phoneticPr fontId="10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BE703-EA17-4053-8FF6-597C4A72A15B}">
  <dimension ref="A1:AC6"/>
  <sheetViews>
    <sheetView workbookViewId="0">
      <pane ySplit="1" topLeftCell="A2" activePane="bottomLeft" state="frozen"/>
      <selection activeCell="Q108" sqref="Q108"/>
      <selection pane="bottomLeft" activeCell="A6" activeCellId="2" sqref="A2:XFD2 A4:XFD4 A6:XFD6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39959</v>
      </c>
      <c r="B2" s="9">
        <v>1430</v>
      </c>
      <c r="C2" s="9" t="s">
        <v>8</v>
      </c>
      <c r="D2" s="9">
        <v>200</v>
      </c>
      <c r="E2" s="8">
        <v>23.4</v>
      </c>
      <c r="F2" s="8">
        <f>D2*E2</f>
        <v>4680</v>
      </c>
      <c r="G2" s="8">
        <f>F2*0.0275%</f>
        <v>1.2870000000000001</v>
      </c>
      <c r="H2" s="8">
        <f>F2*0.007%</f>
        <v>0.32760000000000006</v>
      </c>
      <c r="I2" s="8">
        <v>15.99</v>
      </c>
      <c r="J2" s="8">
        <v>0.8</v>
      </c>
      <c r="K2" s="8">
        <v>0.23</v>
      </c>
      <c r="L2" s="8">
        <f>F2-G2-H2-I2-J2</f>
        <v>4661.5954000000002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x14ac:dyDescent="0.25">
      <c r="A3" s="14"/>
      <c r="M3" s="6"/>
    </row>
    <row r="4" spans="1:29" s="9" customFormat="1" x14ac:dyDescent="0.25">
      <c r="A4" s="10">
        <v>39960</v>
      </c>
      <c r="B4" s="9">
        <v>1681</v>
      </c>
      <c r="C4" s="9" t="s">
        <v>1</v>
      </c>
      <c r="D4" s="9">
        <v>200</v>
      </c>
      <c r="E4" s="8">
        <v>34.04</v>
      </c>
      <c r="F4" s="8">
        <f>D4*E4</f>
        <v>6808</v>
      </c>
      <c r="G4" s="8">
        <f>F4*0.0275%</f>
        <v>1.8722000000000001</v>
      </c>
      <c r="H4" s="8">
        <f>F4*0.007%</f>
        <v>0.47656000000000004</v>
      </c>
      <c r="I4" s="8">
        <v>15.99</v>
      </c>
      <c r="J4" s="8">
        <v>0.8</v>
      </c>
      <c r="K4" s="8">
        <v>0.34</v>
      </c>
      <c r="L4" s="8">
        <f>F4-G4-H4-I4-J4</f>
        <v>6788.8612400000002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x14ac:dyDescent="0.25">
      <c r="A5" s="14"/>
      <c r="M5" s="6"/>
    </row>
    <row r="6" spans="1:29" s="4" customFormat="1" x14ac:dyDescent="0.25">
      <c r="A6" s="5">
        <v>39961</v>
      </c>
      <c r="B6" s="4">
        <v>1246</v>
      </c>
      <c r="C6" s="4" t="s">
        <v>5</v>
      </c>
      <c r="D6" s="4">
        <v>1000</v>
      </c>
      <c r="E6" s="3">
        <v>3.31</v>
      </c>
      <c r="F6" s="3">
        <f>D6*E6</f>
        <v>3310</v>
      </c>
      <c r="G6" s="3">
        <f>F6*0.0275%</f>
        <v>0.91025</v>
      </c>
      <c r="H6" s="3">
        <f>F6*0.007%</f>
        <v>0.23170000000000002</v>
      </c>
      <c r="I6" s="3">
        <v>15.99</v>
      </c>
      <c r="J6" s="3">
        <v>0.8</v>
      </c>
      <c r="K6" s="3"/>
      <c r="L6" s="3">
        <f>F6+G6+H6+I6+J6</f>
        <v>3327.9319499999997</v>
      </c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8D34E-0B33-4181-8E63-6765777C5B7E}">
  <dimension ref="A1:AC5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v>7030.01</v>
      </c>
      <c r="G2" s="8">
        <f>1.16*(F2/SUM(F2:F4))</f>
        <v>0.42000450143979118</v>
      </c>
      <c r="H2" s="8">
        <f>5.53*(F2/SUM(F2:F4))</f>
        <v>2.0022628387603842</v>
      </c>
      <c r="I2" s="8">
        <v>15.99</v>
      </c>
      <c r="J2" s="8">
        <v>0.8</v>
      </c>
      <c r="K2" s="8">
        <v>0</v>
      </c>
      <c r="L2" s="8">
        <f>F2-G2-H2-I2-K2</f>
        <v>7011.5977326598004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>1.16*(F3/SUM(F2:F4))</f>
        <v>0.41199813967957366</v>
      </c>
      <c r="H3" s="8">
        <f>5.53*(F3/SUM(F2:F4))</f>
        <v>1.9640945796793472</v>
      </c>
      <c r="I3" s="8">
        <v>15.99</v>
      </c>
      <c r="J3" s="8">
        <v>0.8</v>
      </c>
      <c r="K3" s="8">
        <v>0</v>
      </c>
      <c r="L3" s="8">
        <f>F3-G3-H3-I3-K3</f>
        <v>6877.6339072806404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>1.16*(F4/SUM(F2:F4))</f>
        <v>0.32799735888063514</v>
      </c>
      <c r="H4" s="8">
        <f>5.53*(F4/SUM(F2:F4))</f>
        <v>1.5636425815602693</v>
      </c>
      <c r="I4" s="8">
        <v>15.99</v>
      </c>
      <c r="J4" s="8">
        <v>0.8</v>
      </c>
      <c r="K4" s="8">
        <v>0</v>
      </c>
      <c r="L4" s="8">
        <f>F4-G4-H4-I4-K4</f>
        <v>5472.1183600595596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0">SUM(F2:F4)</f>
        <v>19416.009999999998</v>
      </c>
      <c r="G5" s="11">
        <f t="shared" si="0"/>
        <v>1.1599999999999999</v>
      </c>
      <c r="H5" s="11">
        <f t="shared" si="0"/>
        <v>5.53</v>
      </c>
      <c r="I5" s="11">
        <f t="shared" si="0"/>
        <v>47.97</v>
      </c>
      <c r="J5" s="11">
        <f t="shared" si="0"/>
        <v>2.4000000000000004</v>
      </c>
      <c r="K5" s="11">
        <f t="shared" si="0"/>
        <v>0</v>
      </c>
      <c r="L5" s="11">
        <f t="shared" si="0"/>
        <v>19361.349999999999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EF43A-AB48-4760-8CB3-D62FBA7ABFD8}">
  <dimension ref="A1:AC4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v>2.76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5.66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C7D75-65E8-45D7-9B4A-EEFFE176C4A2}">
  <dimension ref="A1:AC4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v>0.56000000000000005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1.1400000000000001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83F5-F968-4E69-BCCF-4B8530FA0CCB}">
  <dimension ref="A1:AC4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v>0.12</v>
      </c>
      <c r="K2" s="3">
        <v>0</v>
      </c>
      <c r="L2" s="3">
        <f>F2+G2+H2+I2+J2</f>
        <v>11005.41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ref="J3" si="1">I3*6.5%</f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0.24934999999999999</v>
      </c>
      <c r="K4" s="7">
        <f t="shared" si="2"/>
        <v>0</v>
      </c>
      <c r="L4" s="7">
        <f>-SUM(L2:L3)</f>
        <v>-22611.00935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B6EC-CCEF-49B4-8315-42E7841BC89B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1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5B8EB-77D4-4A9D-ADC2-145B24A5415F}">
  <dimension ref="A1:AC6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9" x14ac:dyDescent="0.25">
      <c r="E6" s="2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3E40E-BCAE-41DB-80FC-C74D9CCDCD28}">
  <dimension ref="A1:AC1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L8" s="1">
        <v>0</v>
      </c>
      <c r="N8">
        <v>0</v>
      </c>
    </row>
    <row r="9" spans="1:29" x14ac:dyDescent="0.25">
      <c r="E9" s="19">
        <v>100</v>
      </c>
      <c r="F9" s="1">
        <v>2750</v>
      </c>
      <c r="G9" s="1">
        <v>0.22</v>
      </c>
      <c r="H9" s="1">
        <v>0.74</v>
      </c>
      <c r="I9" s="1">
        <v>15.99</v>
      </c>
      <c r="J9" s="1">
        <v>0.8</v>
      </c>
      <c r="K9" s="1">
        <f>F9-G9-H9-I9-J9</f>
        <v>2732.2500000000005</v>
      </c>
      <c r="L9" s="1">
        <f>L8+K9</f>
        <v>2732.2500000000005</v>
      </c>
      <c r="N9" s="19">
        <f>N8+E9</f>
        <v>100</v>
      </c>
    </row>
    <row r="10" spans="1:29" x14ac:dyDescent="0.25">
      <c r="E10" s="19">
        <v>200</v>
      </c>
      <c r="F10" s="1">
        <v>5940</v>
      </c>
      <c r="G10" s="1">
        <v>0.47</v>
      </c>
      <c r="H10" s="1">
        <v>1.6</v>
      </c>
      <c r="I10" s="1">
        <v>15.99</v>
      </c>
      <c r="J10" s="1">
        <v>0.8</v>
      </c>
      <c r="K10" s="1">
        <f t="shared" ref="K10:K12" si="3">F10-G10-H10-I10-J10</f>
        <v>5921.1399999999994</v>
      </c>
      <c r="L10" s="1">
        <f>L9+K10</f>
        <v>8653.39</v>
      </c>
      <c r="N10" s="19">
        <f>N9+E10</f>
        <v>300</v>
      </c>
    </row>
    <row r="11" spans="1:29" x14ac:dyDescent="0.25">
      <c r="E11" s="19">
        <v>-200</v>
      </c>
      <c r="F11" s="1">
        <v>6630</v>
      </c>
      <c r="G11" s="1">
        <v>0.39</v>
      </c>
      <c r="H11" s="1">
        <v>1.89</v>
      </c>
      <c r="I11" s="1">
        <v>15.99</v>
      </c>
      <c r="J11" s="1">
        <v>0.8</v>
      </c>
      <c r="K11" s="1">
        <f t="shared" si="3"/>
        <v>6610.9299999999994</v>
      </c>
      <c r="L11" s="1">
        <f>L10+((L10/N10)*E11)</f>
        <v>2884.4633333333331</v>
      </c>
      <c r="N11" s="19">
        <f>N10+E11</f>
        <v>100</v>
      </c>
    </row>
    <row r="12" spans="1:29" x14ac:dyDescent="0.25">
      <c r="E12" s="19">
        <v>200</v>
      </c>
      <c r="F12" s="1">
        <v>6400</v>
      </c>
      <c r="G12" s="1">
        <v>0.38</v>
      </c>
      <c r="H12" s="1">
        <v>1.82</v>
      </c>
      <c r="I12" s="1">
        <v>15.99</v>
      </c>
      <c r="J12" s="1">
        <v>0.8</v>
      </c>
      <c r="K12" s="1">
        <f t="shared" si="3"/>
        <v>6381.01</v>
      </c>
      <c r="L12" s="20">
        <f>L11+K12</f>
        <v>9265.4733333333334</v>
      </c>
      <c r="N12" s="21">
        <f>N11+E12</f>
        <v>300</v>
      </c>
      <c r="O12" s="1">
        <f>L12/N12</f>
        <v>30.884911111111112</v>
      </c>
    </row>
    <row r="13" spans="1:29" x14ac:dyDescent="0.25">
      <c r="E13" s="2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02F95-319A-4797-B7E1-F3EB07A82FDD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2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0E594-CB91-4439-95F2-7F159495761F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0.01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0.01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F43A8-C89C-44C0-BF29-1F8134A0151F}">
  <dimension ref="A1:AC8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v>7010.81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ref="L3:L4" si="2">F3-G3-H3-I3-J3</f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0"/>
        <v>1.7050000000000001</v>
      </c>
      <c r="H4" s="8">
        <f t="shared" si="1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2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 t="shared" si="3"/>
        <v>7.7034326499999944E-2</v>
      </c>
      <c r="L5" s="11">
        <f t="shared" si="3"/>
        <v>20068.711879999999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5AE87-00E8-4CF9-A517-EB6C0CA40610}">
  <dimension ref="A1:AC4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v>11005.45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-22611.049350000001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BEB4-905E-4036-959A-F9A0226AF070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>SUM(G2:G3) + 0.03</f>
        <v>5.6800000000000006</v>
      </c>
      <c r="H4" s="7">
        <f t="shared" ref="H4:K4" si="2">SUM(H2:H3)</f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7349E-D984-4817-800E-2EB4836D5B5D}">
  <dimension ref="A1:AC4"/>
  <sheetViews>
    <sheetView workbookViewId="0">
      <pane ySplit="1" topLeftCell="A2" activePane="bottomLeft" state="frozen"/>
      <selection activeCell="Q108" sqref="Q108"/>
      <selection pane="bottomLeft" activeCell="H4" sqref="H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 - 0.03</f>
        <v>1.1000000000000001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F892-A6B4-4288-ADB5-125D04E295EB}">
  <dimension ref="A1:AC4"/>
  <sheetViews>
    <sheetView workbookViewId="0">
      <pane ySplit="1" topLeftCell="A2" activePane="bottomLeft" state="frozen"/>
      <selection activeCell="Q108" sqref="Q108"/>
      <selection pane="bottomLeft" activeCell="I4" sqref="I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</f>
        <v>1.1300000000000001</v>
      </c>
      <c r="I4" s="7">
        <f>SUM(I2:I3) - 0.03</f>
        <v>3.95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F9D80-1D28-4F3C-95F7-8DE9883A26F0}">
  <dimension ref="A1:AC4"/>
  <sheetViews>
    <sheetView workbookViewId="0">
      <pane ySplit="1" topLeftCell="A2" activePane="bottomLeft" state="frozen"/>
      <selection activeCell="Q108" sqref="Q108"/>
      <selection pane="bottomLeft" activeCell="J4" sqref="J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</f>
        <v>1.1300000000000001</v>
      </c>
      <c r="I4" s="7">
        <f>SUM(I2:I3)</f>
        <v>3.98</v>
      </c>
      <c r="J4" s="7">
        <f>SUM(J2:J3) + 0.03</f>
        <v>0.28869999999999996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4C79-E6C9-44CE-9F1A-DAEDD0DC1366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BF0F-8645-49A4-A6C8-BE755BFA7BE7}">
  <dimension ref="A1:AC8"/>
  <sheetViews>
    <sheetView workbookViewId="0">
      <pane ySplit="1" topLeftCell="A2" activePane="bottomLeft" state="frozen"/>
      <selection activeCell="Q108" sqref="Q108"/>
      <selection pane="bottomLeft" sqref="A1:XFD1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f t="shared" ref="L2:L4" si="0">F2-G2-H2-I2-J2</f>
        <v>7010.7846499999996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1">F3*0.0275%</f>
        <v>1.8963999999999999</v>
      </c>
      <c r="H3" s="8">
        <f t="shared" ref="H3:H4" si="2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si="0"/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1"/>
        <v>1.7050000000000001</v>
      </c>
      <c r="H4" s="8">
        <f t="shared" si="2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0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>SUM(K2:K4) - 0.03</f>
        <v>4.7034326499999946E-2</v>
      </c>
      <c r="L5" s="11">
        <f t="shared" si="3"/>
        <v>20068.686529999999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21B46-AB87-4CAA-ABF7-E48CFDA36C4A}">
  <dimension ref="A1:AC4"/>
  <sheetViews>
    <sheetView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6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10">
        <v>42996</v>
      </c>
      <c r="B3" s="9">
        <v>168102</v>
      </c>
      <c r="C3" s="9" t="s">
        <v>24</v>
      </c>
      <c r="D3" s="9">
        <v>700</v>
      </c>
      <c r="E3" s="8">
        <v>10.5</v>
      </c>
      <c r="F3" s="8">
        <f>D3*E3</f>
        <v>7350</v>
      </c>
      <c r="G3" s="8">
        <f t="shared" si="0"/>
        <v>2.0212500000000002</v>
      </c>
      <c r="H3" s="8">
        <f>F3*0.005%</f>
        <v>0.36749999999999999</v>
      </c>
      <c r="I3" s="8">
        <v>2.4900000000000002</v>
      </c>
      <c r="J3" s="8">
        <f>I3*5%</f>
        <v>0.12450000000000001</v>
      </c>
      <c r="K3" s="8">
        <v>0</v>
      </c>
      <c r="L3" s="8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 t="shared" ref="F4:K4" si="1">SUM(F2:F3)</f>
        <v>16810</v>
      </c>
      <c r="G4" s="7">
        <f t="shared" si="1"/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>L3-L2</f>
        <v>-2110.6857500000006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39107-DEBE-454A-A911-9FAC6360BB3B}">
  <dimension ref="A1:AC4"/>
  <sheetViews>
    <sheetView workbookViewId="0">
      <pane ySplit="1" topLeftCell="A2" activePane="bottomLeft" state="frozen"/>
      <selection pane="bottomLeft" activeCell="L4" sqref="L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6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10">
        <v>42996</v>
      </c>
      <c r="B3" s="9">
        <v>168102</v>
      </c>
      <c r="C3" s="9" t="s">
        <v>24</v>
      </c>
      <c r="D3" s="9">
        <v>700</v>
      </c>
      <c r="E3" s="8">
        <v>10.5</v>
      </c>
      <c r="F3" s="8">
        <f>D3*E3</f>
        <v>7350</v>
      </c>
      <c r="G3" s="8">
        <f t="shared" si="0"/>
        <v>2.0212500000000002</v>
      </c>
      <c r="H3" s="8">
        <f>F3*0.005%</f>
        <v>0.36749999999999999</v>
      </c>
      <c r="I3" s="8">
        <v>2.4900000000000002</v>
      </c>
      <c r="J3" s="8">
        <f>I3*5%</f>
        <v>0.12450000000000001</v>
      </c>
      <c r="K3" s="8">
        <v>0</v>
      </c>
      <c r="L3" s="8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>F3-F2</f>
        <v>-2110</v>
      </c>
      <c r="G4" s="7">
        <f t="shared" ref="G4:L4" si="1">SUM(G2:G3)</f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 t="shared" si="1"/>
        <v>16820.69225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237FC-86A6-42F5-B3CD-F725B4DFF9E2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-1662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FF2F8-FD89-4B31-BC92-2C175C3A29E3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 t="s">
        <v>25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51868-72C8-4230-87D6-AB4CCC735441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18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DE2F6-22BE-4056-9BC8-1D497B09969E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D998F-F972-4A55-98C2-51ABEC82B597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18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NotUsed</vt:lpstr>
      <vt:lpstr>TradingDateMissing</vt:lpstr>
      <vt:lpstr>TradingDateBlack</vt:lpstr>
      <vt:lpstr>NoteNumberMissing</vt:lpstr>
      <vt:lpstr>NoteNumberNegative</vt:lpstr>
      <vt:lpstr>NoteNumberExtraneousCharacters</vt:lpstr>
      <vt:lpstr>NoteNumberBlack</vt:lpstr>
      <vt:lpstr>TickerMissing</vt:lpstr>
      <vt:lpstr>TickerBlack</vt:lpstr>
      <vt:lpstr>QtyMissing</vt:lpstr>
      <vt:lpstr>QtyNegative</vt:lpstr>
      <vt:lpstr>QtyExtraneousCharacters</vt:lpstr>
      <vt:lpstr>QtyBlack</vt:lpstr>
      <vt:lpstr>PriceMissing</vt:lpstr>
      <vt:lpstr>PriceNegative</vt:lpstr>
      <vt:lpstr>GroupWithDifferentTradingDates</vt:lpstr>
      <vt:lpstr>GroupWithDifferentNoteNumbers</vt:lpstr>
      <vt:lpstr>MultiLineGroupWithNoSummary</vt:lpstr>
      <vt:lpstr>GroupWithInvalidSummary</vt:lpstr>
      <vt:lpstr>LineWithDifferentFontColors</vt:lpstr>
      <vt:lpstr>LineWithBlackFontColor</vt:lpstr>
      <vt:lpstr>GroupsWithSameTradingDate&amp;Note</vt:lpstr>
      <vt:lpstr>GroupsWithSummary</vt:lpstr>
      <vt:lpstr>BuyingAndSellingOperations</vt:lpstr>
      <vt:lpstr>SingleLineGroups</vt:lpstr>
      <vt:lpstr>VolumeDoesNotMatchQtyTimesPrice</vt:lpstr>
      <vt:lpstr>SettlementFeeNotVolumeTimesRate</vt:lpstr>
      <vt:lpstr>InvalidNegotiationsFee</vt:lpstr>
      <vt:lpstr>InvalidServiceTax</vt:lpstr>
      <vt:lpstr>InvalidIncomeTaxAtSource</vt:lpstr>
      <vt:lpstr>_BugInGroupFormation_</vt:lpstr>
      <vt:lpstr>IncomeTaxAtSourceNot$OnBuying</vt:lpstr>
      <vt:lpstr>NonZeroIncomeTaxAtSourceBuying</vt:lpstr>
      <vt:lpstr>InvalidTotalForSelling</vt:lpstr>
      <vt:lpstr>InvalidTotalForBuying</vt:lpstr>
      <vt:lpstr>InvalidSettlementFeeSummary</vt:lpstr>
      <vt:lpstr>InvalidNegotiationFeesSummary</vt:lpstr>
      <vt:lpstr>InvalidBrokerageSummary</vt:lpstr>
      <vt:lpstr>InvalidServiceTaxSummary</vt:lpstr>
      <vt:lpstr>InvalidIncomeTaxAtSourceSummary</vt:lpstr>
      <vt:lpstr>InvalidVolumeSummaryMixedOps</vt:lpstr>
      <vt:lpstr>InvalidTotalSummaryMixedOps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Diego Cardoso</dc:creator>
  <cp:lastModifiedBy>Andrei Diego Cardoso</cp:lastModifiedBy>
  <dcterms:created xsi:type="dcterms:W3CDTF">2022-03-15T21:37:30Z</dcterms:created>
  <dcterms:modified xsi:type="dcterms:W3CDTF">2022-05-19T17:32:36Z</dcterms:modified>
</cp:coreProperties>
</file>