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67ACFB32-CFFC-45B1-A9C2-DC199AEB0737}" xr6:coauthVersionLast="47" xr6:coauthVersionMax="47" xr10:uidLastSave="{00000000-0000-0000-0000-000000000000}"/>
  <bookViews>
    <workbookView xWindow="28800" yWindow="12600" windowWidth="15750" windowHeight="12600" firstSheet="20" activeTab="21" xr2:uid="{51326E95-EE54-495F-AB8A-B57AD14A8498}"/>
  </bookViews>
  <sheets>
    <sheet name="1" sheetId="2" r:id="rId1"/>
    <sheet name="GroupWithDifferentTradingDates" sheetId="11" r:id="rId2"/>
    <sheet name="GroupWithDifferentNoteNumbers" sheetId="12" r:id="rId3"/>
    <sheet name="MultiLineGroupWithNoSummary" sheetId="25" r:id="rId4"/>
    <sheet name="GroupWithInvalidSummary" sheetId="26" r:id="rId5"/>
    <sheet name="LineWithDifferentFontColors" sheetId="13" r:id="rId6"/>
    <sheet name="LineWithBlackFontColor" sheetId="14" r:id="rId7"/>
    <sheet name="GroupsWithSameTradingDate&amp;Note" sheetId="7" r:id="rId8"/>
    <sheet name="GroupsWithSummary" sheetId="8" r:id="rId9"/>
    <sheet name="BuyingAndSellingOperations" sheetId="9" r:id="rId10"/>
    <sheet name="SingleLineGroups" sheetId="10" r:id="rId11"/>
    <sheet name="VolumeDoesNotMatchQtyTimesPrice" sheetId="15" r:id="rId12"/>
    <sheet name="SettlementFeeNotVolumeTimesRate" sheetId="16" r:id="rId13"/>
    <sheet name="InvalidNegotiationsFee" sheetId="17" r:id="rId14"/>
    <sheet name="InvalidServiceTax" sheetId="18" r:id="rId15"/>
    <sheet name="InvalidIncomeTaxAtSource" sheetId="19" r:id="rId16"/>
    <sheet name="IncomeTaxAtSourceNot$OnBuying" sheetId="20" r:id="rId17"/>
    <sheet name="NonZeroIncomeTaxAtSourceBuying" sheetId="21" r:id="rId18"/>
    <sheet name="InvalidTotalForSelling" sheetId="22" r:id="rId19"/>
    <sheet name="InvalidTotalForBuying" sheetId="23" r:id="rId20"/>
    <sheet name="InvalidSettlementFeeSummary" sheetId="24" r:id="rId21"/>
    <sheet name="InvalidNegotiationFeesSummary" sheetId="27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27" l="1"/>
  <c r="G4" i="27"/>
  <c r="K4" i="27"/>
  <c r="I4" i="27"/>
  <c r="J3" i="27"/>
  <c r="H3" i="27"/>
  <c r="G3" i="27"/>
  <c r="F3" i="27"/>
  <c r="L3" i="27" s="1"/>
  <c r="J2" i="27"/>
  <c r="J4" i="27" s="1"/>
  <c r="F2" i="27"/>
  <c r="H2" i="27" s="1"/>
  <c r="L4" i="26"/>
  <c r="J4" i="26"/>
  <c r="I4" i="26"/>
  <c r="H4" i="26"/>
  <c r="F4" i="26"/>
  <c r="J3" i="26"/>
  <c r="F3" i="26"/>
  <c r="J2" i="26"/>
  <c r="H2" i="26"/>
  <c r="G2" i="26"/>
  <c r="L2" i="26" s="1"/>
  <c r="F2" i="26"/>
  <c r="J3" i="25"/>
  <c r="F3" i="25"/>
  <c r="H3" i="25" s="1"/>
  <c r="J2" i="25"/>
  <c r="F2" i="25"/>
  <c r="G4" i="24"/>
  <c r="L2" i="24"/>
  <c r="K4" i="24"/>
  <c r="I4" i="24"/>
  <c r="F4" i="24"/>
  <c r="J3" i="24"/>
  <c r="H3" i="24"/>
  <c r="G3" i="24"/>
  <c r="F3" i="24"/>
  <c r="L3" i="24" s="1"/>
  <c r="J2" i="24"/>
  <c r="J4" i="24" s="1"/>
  <c r="G2" i="24"/>
  <c r="F2" i="24"/>
  <c r="H2" i="24" s="1"/>
  <c r="H4" i="24" s="1"/>
  <c r="L9" i="9"/>
  <c r="L8" i="9"/>
  <c r="L7" i="9"/>
  <c r="L4" i="9"/>
  <c r="L3" i="9"/>
  <c r="L2" i="9"/>
  <c r="L9" i="8"/>
  <c r="L8" i="8"/>
  <c r="L7" i="8"/>
  <c r="L4" i="8"/>
  <c r="L3" i="8"/>
  <c r="L2" i="8"/>
  <c r="L8" i="7"/>
  <c r="L7" i="7"/>
  <c r="L3" i="7"/>
  <c r="L4" i="7"/>
  <c r="L2" i="7"/>
  <c r="L4" i="13"/>
  <c r="L3" i="13"/>
  <c r="L2" i="13"/>
  <c r="K4" i="23"/>
  <c r="I4" i="23"/>
  <c r="J3" i="23"/>
  <c r="H3" i="23"/>
  <c r="G3" i="23"/>
  <c r="F3" i="23"/>
  <c r="L3" i="23" s="1"/>
  <c r="J2" i="23"/>
  <c r="J4" i="23" s="1"/>
  <c r="F2" i="23"/>
  <c r="L18" i="9"/>
  <c r="L17" i="9"/>
  <c r="L13" i="9"/>
  <c r="L14" i="9"/>
  <c r="L12" i="9"/>
  <c r="L3" i="22"/>
  <c r="L4" i="22"/>
  <c r="J5" i="22"/>
  <c r="I5" i="22"/>
  <c r="F5" i="22"/>
  <c r="F4" i="22"/>
  <c r="H3" i="22"/>
  <c r="G3" i="22"/>
  <c r="K3" i="22" s="1"/>
  <c r="F3" i="22"/>
  <c r="F2" i="22"/>
  <c r="G2" i="22" s="1"/>
  <c r="K4" i="21"/>
  <c r="I4" i="21"/>
  <c r="F4" i="21"/>
  <c r="L3" i="21"/>
  <c r="J3" i="21"/>
  <c r="H3" i="21"/>
  <c r="G3" i="21"/>
  <c r="F3" i="21"/>
  <c r="J2" i="21"/>
  <c r="J4" i="21" s="1"/>
  <c r="H2" i="21"/>
  <c r="H4" i="21" s="1"/>
  <c r="G2" i="21"/>
  <c r="G4" i="21" s="1"/>
  <c r="F2" i="21"/>
  <c r="L2" i="21" s="1"/>
  <c r="L4" i="21" s="1"/>
  <c r="J2" i="20"/>
  <c r="K4" i="20"/>
  <c r="I4" i="20"/>
  <c r="J3" i="20"/>
  <c r="J4" i="20" s="1"/>
  <c r="G3" i="20"/>
  <c r="F3" i="20"/>
  <c r="H3" i="20" s="1"/>
  <c r="F2" i="20"/>
  <c r="K18" i="9"/>
  <c r="N9" i="19"/>
  <c r="N10" i="19" s="1"/>
  <c r="N11" i="19" s="1"/>
  <c r="N12" i="19" s="1"/>
  <c r="L9" i="19"/>
  <c r="L10" i="19" s="1"/>
  <c r="K10" i="19"/>
  <c r="K11" i="19"/>
  <c r="K12" i="19"/>
  <c r="K9" i="19"/>
  <c r="H3" i="19"/>
  <c r="K3" i="19" s="1"/>
  <c r="H4" i="19"/>
  <c r="H2" i="19"/>
  <c r="G3" i="19"/>
  <c r="G4" i="19"/>
  <c r="G2" i="19"/>
  <c r="K4" i="19"/>
  <c r="F2" i="19"/>
  <c r="J5" i="19"/>
  <c r="I5" i="19"/>
  <c r="F4" i="19"/>
  <c r="F3" i="19"/>
  <c r="H2" i="18"/>
  <c r="K4" i="18"/>
  <c r="I4" i="18"/>
  <c r="J3" i="18"/>
  <c r="H3" i="18"/>
  <c r="H4" i="18" s="1"/>
  <c r="G3" i="18"/>
  <c r="F3" i="18"/>
  <c r="L3" i="18" s="1"/>
  <c r="J4" i="18"/>
  <c r="F2" i="18"/>
  <c r="G2" i="18" s="1"/>
  <c r="G4" i="18" s="1"/>
  <c r="H8" i="8"/>
  <c r="H9" i="8"/>
  <c r="H7" i="8"/>
  <c r="H3" i="8"/>
  <c r="H4" i="8"/>
  <c r="H2" i="8"/>
  <c r="H13" i="7"/>
  <c r="H11" i="7"/>
  <c r="H8" i="7"/>
  <c r="H7" i="7"/>
  <c r="H3" i="7"/>
  <c r="H4" i="7"/>
  <c r="H2" i="7"/>
  <c r="H3" i="13"/>
  <c r="H4" i="13"/>
  <c r="H2" i="13"/>
  <c r="G2" i="17"/>
  <c r="K4" i="17"/>
  <c r="I4" i="17"/>
  <c r="G4" i="17"/>
  <c r="J3" i="17"/>
  <c r="H3" i="17"/>
  <c r="L3" i="17" s="1"/>
  <c r="G3" i="17"/>
  <c r="F3" i="17"/>
  <c r="J2" i="17"/>
  <c r="J4" i="17" s="1"/>
  <c r="F2" i="17"/>
  <c r="H4" i="17" s="1"/>
  <c r="G8" i="8"/>
  <c r="G9" i="8"/>
  <c r="G7" i="8"/>
  <c r="G3" i="8"/>
  <c r="G4" i="8"/>
  <c r="G2" i="8"/>
  <c r="G13" i="7"/>
  <c r="G11" i="7"/>
  <c r="G8" i="7"/>
  <c r="G7" i="7"/>
  <c r="G3" i="7"/>
  <c r="G4" i="7"/>
  <c r="G2" i="7"/>
  <c r="G3" i="13"/>
  <c r="G4" i="13"/>
  <c r="G2" i="13"/>
  <c r="K4" i="16"/>
  <c r="I4" i="16"/>
  <c r="J3" i="16"/>
  <c r="F3" i="16"/>
  <c r="H3" i="16" s="1"/>
  <c r="J2" i="16"/>
  <c r="J4" i="16" s="1"/>
  <c r="F2" i="16"/>
  <c r="G2" i="27" l="1"/>
  <c r="F4" i="27"/>
  <c r="L2" i="27"/>
  <c r="L4" i="27" s="1"/>
  <c r="G3" i="26"/>
  <c r="L3" i="26" s="1"/>
  <c r="H3" i="26"/>
  <c r="G3" i="25"/>
  <c r="L3" i="25"/>
  <c r="H2" i="25"/>
  <c r="G2" i="25"/>
  <c r="L4" i="24"/>
  <c r="G2" i="23"/>
  <c r="G4" i="23" s="1"/>
  <c r="F4" i="23"/>
  <c r="H2" i="23"/>
  <c r="H4" i="23" s="1"/>
  <c r="H2" i="22"/>
  <c r="K2" i="22"/>
  <c r="G4" i="22"/>
  <c r="H4" i="22"/>
  <c r="L3" i="20"/>
  <c r="F4" i="20"/>
  <c r="G2" i="20"/>
  <c r="G4" i="20" s="1"/>
  <c r="H2" i="20"/>
  <c r="H4" i="20" s="1"/>
  <c r="K5" i="19"/>
  <c r="L11" i="19"/>
  <c r="L12" i="19" s="1"/>
  <c r="O12" i="19" s="1"/>
  <c r="L4" i="19"/>
  <c r="L2" i="19"/>
  <c r="F5" i="19"/>
  <c r="H5" i="19"/>
  <c r="F4" i="18"/>
  <c r="L2" i="18"/>
  <c r="L4" i="18" s="1"/>
  <c r="H5" i="7"/>
  <c r="F4" i="17"/>
  <c r="L2" i="17"/>
  <c r="L4" i="17" s="1"/>
  <c r="H2" i="16"/>
  <c r="H4" i="16" s="1"/>
  <c r="F4" i="16"/>
  <c r="G3" i="16"/>
  <c r="L3" i="16" s="1"/>
  <c r="L2" i="25" l="1"/>
  <c r="L4" i="23"/>
  <c r="H5" i="22"/>
  <c r="K4" i="22"/>
  <c r="L5" i="22" s="1"/>
  <c r="G5" i="22"/>
  <c r="L2" i="20"/>
  <c r="L4" i="20" s="1"/>
  <c r="G5" i="19"/>
  <c r="L3" i="19"/>
  <c r="L5" i="19" s="1"/>
  <c r="G4" i="16"/>
  <c r="L2" i="16"/>
  <c r="L4" i="16" s="1"/>
  <c r="K5" i="22" l="1"/>
  <c r="J5" i="15"/>
  <c r="I5" i="15"/>
  <c r="F4" i="15"/>
  <c r="H4" i="15" s="1"/>
  <c r="F3" i="15"/>
  <c r="H2" i="15"/>
  <c r="J10" i="8"/>
  <c r="I10" i="8"/>
  <c r="F9" i="8"/>
  <c r="F8" i="8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L13" i="12"/>
  <c r="F13" i="12"/>
  <c r="L11" i="12"/>
  <c r="F11" i="12"/>
  <c r="J9" i="12"/>
  <c r="I9" i="12"/>
  <c r="F8" i="12"/>
  <c r="H8" i="12" s="1"/>
  <c r="F7" i="12"/>
  <c r="F9" i="12" s="1"/>
  <c r="J5" i="12"/>
  <c r="I5" i="12"/>
  <c r="F5" i="12"/>
  <c r="H4" i="12"/>
  <c r="L4" i="12" s="1"/>
  <c r="G4" i="12"/>
  <c r="F4" i="12"/>
  <c r="F3" i="12"/>
  <c r="H2" i="12"/>
  <c r="G2" i="12"/>
  <c r="F2" i="12"/>
  <c r="L13" i="11"/>
  <c r="F13" i="11"/>
  <c r="L11" i="11"/>
  <c r="F11" i="11"/>
  <c r="J9" i="11"/>
  <c r="I9" i="11"/>
  <c r="F8" i="11"/>
  <c r="G7" i="11"/>
  <c r="F7" i="11"/>
  <c r="F9" i="11" s="1"/>
  <c r="J5" i="11"/>
  <c r="I5" i="11"/>
  <c r="L4" i="11"/>
  <c r="H4" i="11"/>
  <c r="G4" i="11"/>
  <c r="F4" i="11"/>
  <c r="F3" i="11"/>
  <c r="H3" i="11" s="1"/>
  <c r="L2" i="11"/>
  <c r="H2" i="11"/>
  <c r="H5" i="11" s="1"/>
  <c r="G2" i="11"/>
  <c r="F2" i="11"/>
  <c r="F5" i="11" s="1"/>
  <c r="F2" i="10"/>
  <c r="L2" i="10" s="1"/>
  <c r="F4" i="10"/>
  <c r="L4" i="10" s="1"/>
  <c r="F6" i="10"/>
  <c r="L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L11" i="7" s="1"/>
  <c r="F13" i="7"/>
  <c r="L13" i="7" s="1"/>
  <c r="G12" i="9" l="1"/>
  <c r="H12" i="9"/>
  <c r="K12" i="9"/>
  <c r="H13" i="9"/>
  <c r="G13" i="9"/>
  <c r="G8" i="9"/>
  <c r="H8" i="9"/>
  <c r="G4" i="9"/>
  <c r="H4" i="9"/>
  <c r="G3" i="9"/>
  <c r="H3" i="9"/>
  <c r="H5" i="9" s="1"/>
  <c r="H2" i="9"/>
  <c r="G2" i="9"/>
  <c r="G5" i="9" s="1"/>
  <c r="H9" i="9"/>
  <c r="G9" i="9"/>
  <c r="H7" i="9"/>
  <c r="G7" i="9"/>
  <c r="G18" i="9"/>
  <c r="H18" i="9"/>
  <c r="G17" i="9"/>
  <c r="H17" i="9"/>
  <c r="K17" i="9" s="1"/>
  <c r="K19" i="9" s="1"/>
  <c r="H14" i="9"/>
  <c r="G14" i="9"/>
  <c r="G4" i="15"/>
  <c r="L4" i="15" s="1"/>
  <c r="F5" i="15"/>
  <c r="G3" i="15"/>
  <c r="L3" i="15" s="1"/>
  <c r="H3" i="15"/>
  <c r="H5" i="15" s="1"/>
  <c r="G2" i="15"/>
  <c r="G9" i="7"/>
  <c r="H10" i="8"/>
  <c r="F5" i="8"/>
  <c r="F10" i="8"/>
  <c r="G3" i="14"/>
  <c r="H3" i="14"/>
  <c r="L3" i="14" s="1"/>
  <c r="F5" i="14"/>
  <c r="G2" i="14"/>
  <c r="G4" i="14"/>
  <c r="H2" i="14"/>
  <c r="H4" i="14"/>
  <c r="F5" i="13"/>
  <c r="H5" i="13"/>
  <c r="L2" i="12"/>
  <c r="G7" i="12"/>
  <c r="G9" i="12" s="1"/>
  <c r="G3" i="12"/>
  <c r="L3" i="12" s="1"/>
  <c r="L7" i="12"/>
  <c r="L9" i="12" s="1"/>
  <c r="H3" i="12"/>
  <c r="H5" i="12" s="1"/>
  <c r="G8" i="12"/>
  <c r="L8" i="12" s="1"/>
  <c r="H7" i="12"/>
  <c r="H9" i="12" s="1"/>
  <c r="H7" i="11"/>
  <c r="G3" i="11"/>
  <c r="L3" i="11" s="1"/>
  <c r="L5" i="11" s="1"/>
  <c r="L7" i="11"/>
  <c r="G8" i="11"/>
  <c r="H8" i="11"/>
  <c r="H19" i="9"/>
  <c r="F10" i="9"/>
  <c r="F5" i="9"/>
  <c r="F15" i="9"/>
  <c r="H9" i="7"/>
  <c r="F5" i="7"/>
  <c r="F9" i="7"/>
  <c r="F2" i="2"/>
  <c r="G10" i="9" l="1"/>
  <c r="K13" i="9"/>
  <c r="K14" i="9"/>
  <c r="G15" i="9"/>
  <c r="L5" i="7"/>
  <c r="L2" i="15"/>
  <c r="L5" i="15" s="1"/>
  <c r="G5" i="15"/>
  <c r="G5" i="7"/>
  <c r="G5" i="8"/>
  <c r="L10" i="8"/>
  <c r="G10" i="8"/>
  <c r="H5" i="8"/>
  <c r="L5" i="8"/>
  <c r="L4" i="14"/>
  <c r="H5" i="14"/>
  <c r="L2" i="14"/>
  <c r="L5" i="14" s="1"/>
  <c r="G5" i="14"/>
  <c r="L5" i="13"/>
  <c r="G5" i="13"/>
  <c r="L5" i="12"/>
  <c r="G5" i="12"/>
  <c r="L8" i="11"/>
  <c r="L9" i="11" s="1"/>
  <c r="G9" i="11"/>
  <c r="H9" i="11"/>
  <c r="G5" i="11"/>
  <c r="H10" i="9"/>
  <c r="L10" i="9"/>
  <c r="G19" i="9"/>
  <c r="L19" i="9"/>
  <c r="L5" i="9"/>
  <c r="H15" i="9"/>
  <c r="L9" i="7"/>
  <c r="H2" i="2"/>
  <c r="G2" i="2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<sst xmlns="http://schemas.openxmlformats.org/spreadsheetml/2006/main" count="341" uniqueCount="23">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</sst>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164" formatCode="&quot;R$&quot;\ #,##0.00"/>
    <numFmt numFmtId="165" formatCode="#,##0_ ;[Red]\-#,##0\ "/>
    <numFmt numFmtId="166" formatCode="#,##0.00_ ;[Red]\-#,##0.00\ 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theme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164" fontId="0" fillId="0" borderId="0" xfId="0" applyNumberFormat="1"/>
    <xf numFmtId="0" fontId="5" fillId="2" borderId="0" xfId="0" applyFont="1" applyFill="1"/>
    <xf numFmtId="164" fontId="5" fillId="0" borderId="0" xfId="0" applyNumberFormat="1" applyFont="1"/>
    <xf numFmtId="0" fontId="8" fillId="0" borderId="0" xfId="0" applyFont="1"/>
    <xf numFmtId="165" fontId="0" fillId="0" borderId="0" xfId="0" applyNumberFormat="1"/>
    <xf numFmtId="8" fontId="9" fillId="0" borderId="0" xfId="0" applyNumberFormat="1" applyFont="1"/>
    <xf numFmtId="165" fontId="9" fillId="0" borderId="0" xfId="0" applyNumberFormat="1" applyFon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/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/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/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SUM(F2:F4)</f>
        <v>9322</v>
      </c>
      <c r="G5" s="7">
        <f>SUM(G2:G4)</f>
        <v>2.5635500000000002</v>
      </c>
      <c r="H5" s="7">
        <f>SUM(H2:H4)</f>
        <v>0.65254000000000012</v>
      </c>
      <c r="I5" s="7">
        <f>SUM(I2:I4)</f>
        <v>47.97</v>
      </c>
      <c r="J5" s="7">
        <f>SUM(J2:J4)</f>
        <v>2.4000000000000004</v>
      </c>
      <c r="K5" s="7"/>
      <c r="L5" s="7">
        <f>SUM(L2:L4)</f>
        <v>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/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2">F8*0.0275%</f>
        <v>0.41800000000000004</v>
      </c>
      <c r="H8" s="3">
        <f t="shared" ref="H8:H9" si="3">F8*0.007%</f>
        <v>0.10640000000000001</v>
      </c>
      <c r="I8" s="3">
        <v>15.99</v>
      </c>
      <c r="J8" s="3">
        <v>0.8</v>
      </c>
      <c r="K8" s="3"/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2"/>
        <v>0.21147500000000002</v>
      </c>
      <c r="H9" s="3">
        <f t="shared" si="3"/>
        <v>5.3830000000000003E-2</v>
      </c>
      <c r="I9" s="3">
        <v>15.99</v>
      </c>
      <c r="J9" s="3">
        <v>0.8</v>
      </c>
      <c r="K9" s="3"/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SUM(F7:F9)</f>
        <v>2557</v>
      </c>
      <c r="G10" s="7">
        <f>SUM(G7:G9)</f>
        <v>0.70317500000000011</v>
      </c>
      <c r="H10" s="7">
        <f>SUM(H7:H9)</f>
        <v>0.17899000000000004</v>
      </c>
      <c r="I10" s="7">
        <f>SUM(I7:I9)</f>
        <v>47.97</v>
      </c>
      <c r="J10" s="7">
        <f>SUM(J7:J9)</f>
        <v>2.4000000000000004</v>
      </c>
      <c r="K10" s="7"/>
      <c r="L10" s="7">
        <f>SUM(L7:L9)</f>
        <v>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F12*0.0275%</f>
        <v>1.9332500000000001</v>
      </c>
      <c r="H12" s="8">
        <f>F12*0.007%</f>
        <v>0.49210000000000004</v>
      </c>
      <c r="I12" s="8">
        <v>15.99</v>
      </c>
      <c r="J12" s="8">
        <v>0.8</v>
      </c>
      <c r="K12" s="8">
        <f>((F12 - G12 - H12 - I12 - J12) - (30.88 * D12)) * 0.005%</f>
        <v>4.173923249999998E-2</v>
      </c>
      <c r="L12" s="8">
        <f>F12-G12-H12-I12-J12</f>
        <v>7010.7846499999996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4</v>
      </c>
      <c r="D13" s="9">
        <v>200</v>
      </c>
      <c r="E13" s="8">
        <v>34.479999999999997</v>
      </c>
      <c r="F13" s="8">
        <f>D13*E13</f>
        <v>6895.9999999999991</v>
      </c>
      <c r="G13" s="8">
        <f t="shared" ref="G13:G14" si="4">F13*0.0275%</f>
        <v>1.8963999999999999</v>
      </c>
      <c r="H13" s="8">
        <f t="shared" ref="H13:H14" si="5">F13*0.007%</f>
        <v>0.48271999999999998</v>
      </c>
      <c r="I13" s="8">
        <v>15.99</v>
      </c>
      <c r="J13" s="8">
        <v>0.8</v>
      </c>
      <c r="K13" s="8">
        <f>((F13 - G13 - H13 - I13 - J13) - (30.88 * D13)) * 0.005%</f>
        <v>3.504154399999998E-2</v>
      </c>
      <c r="L13" s="8">
        <f t="shared" ref="L13:L14" si="6">F13-G13-H13-I13-J13</f>
        <v>6876.8308799999995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4</v>
      </c>
      <c r="D14" s="9">
        <v>200</v>
      </c>
      <c r="E14" s="8">
        <v>31</v>
      </c>
      <c r="F14" s="8">
        <f>D14*E14</f>
        <v>6200</v>
      </c>
      <c r="G14" s="8">
        <f t="shared" si="4"/>
        <v>1.7050000000000001</v>
      </c>
      <c r="H14" s="8">
        <f t="shared" si="5"/>
        <v>0.43400000000000005</v>
      </c>
      <c r="I14" s="8">
        <v>15.99</v>
      </c>
      <c r="J14" s="8">
        <v>0.8</v>
      </c>
      <c r="K14" s="8">
        <f>((F14 - G14 - H14 - I14 - J14) - (30.88 * D14)) * 0.005%</f>
        <v>2.5354999999999567E-4</v>
      </c>
      <c r="L14" s="8">
        <f t="shared" si="6"/>
        <v>6181.0709999999999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 t="shared" ref="F15:L15" si="7">SUM(F12:F14)</f>
        <v>20126</v>
      </c>
      <c r="G15" s="11">
        <f t="shared" si="7"/>
        <v>5.5346500000000001</v>
      </c>
      <c r="H15" s="11">
        <f t="shared" si="7"/>
        <v>1.40882</v>
      </c>
      <c r="I15" s="11">
        <f t="shared" si="7"/>
        <v>47.97</v>
      </c>
      <c r="J15" s="11">
        <f t="shared" si="7"/>
        <v>2.4000000000000004</v>
      </c>
      <c r="K15" s="11">
        <f t="shared" si="7"/>
        <v>7.7034326499999944E-2</v>
      </c>
      <c r="L15" s="11">
        <f t="shared" si="7"/>
        <v>20068.686529999999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4</v>
      </c>
      <c r="D17" s="9">
        <v>500</v>
      </c>
      <c r="E17" s="8">
        <v>31</v>
      </c>
      <c r="F17" s="8">
        <f>D17*E17</f>
        <v>15500</v>
      </c>
      <c r="G17" s="8">
        <f>F17*0.0275%</f>
        <v>4.2625000000000002</v>
      </c>
      <c r="H17" s="8">
        <f>F17*0.007%</f>
        <v>1.0850000000000002</v>
      </c>
      <c r="I17" s="8">
        <v>15.99</v>
      </c>
      <c r="J17" s="8">
        <v>0.8</v>
      </c>
      <c r="K17" s="8">
        <f>((F17 - G17 - H17 - I17 - J17) - (30.88 * D17)) * 0.005%</f>
        <v>1.8931250000000547E-3</v>
      </c>
      <c r="L17" s="8">
        <f>F17-G17-H17-I17-J17</f>
        <v>15477.862500000001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4</v>
      </c>
      <c r="D18" s="9">
        <v>1000</v>
      </c>
      <c r="E18" s="8">
        <v>31</v>
      </c>
      <c r="F18" s="8">
        <f>D18*E18</f>
        <v>31000</v>
      </c>
      <c r="G18" s="8">
        <f>F18*0.0275%</f>
        <v>8.5250000000000004</v>
      </c>
      <c r="H18" s="8">
        <f>F18*0.007%</f>
        <v>2.1700000000000004</v>
      </c>
      <c r="I18" s="8">
        <v>15.99</v>
      </c>
      <c r="J18" s="8">
        <v>0.8</v>
      </c>
      <c r="K18" s="8">
        <f>((F18 - G18 - H18 - I18 - J18) - (30.88 * D18)) * 0.005%</f>
        <v>4.625749999999971E-3</v>
      </c>
      <c r="L18" s="8">
        <f>F18-G18-H18-I18-J18</f>
        <v>30972.514999999999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 t="shared" ref="F19:L19" si="8">SUM(F17:F18)</f>
        <v>46500</v>
      </c>
      <c r="G19" s="11">
        <f t="shared" si="8"/>
        <v>12.787500000000001</v>
      </c>
      <c r="H19" s="11">
        <f t="shared" si="8"/>
        <v>3.2550000000000008</v>
      </c>
      <c r="I19" s="11">
        <f t="shared" si="8"/>
        <v>31.98</v>
      </c>
      <c r="J19" s="11">
        <f t="shared" si="8"/>
        <v>1.6</v>
      </c>
      <c r="K19" s="11">
        <f t="shared" si="8"/>
        <v>6.5188750000000255E-3</v>
      </c>
      <c r="L19" s="11">
        <f t="shared" si="8"/>
        <v>46450.377500000002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1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39959</v>
      </c>
      <c r="B2" s="9">
        <v>1430</v>
      </c>
      <c r="C2" s="9" t="s">
        <v>8</v>
      </c>
      <c r="D2" s="9">
        <v>200</v>
      </c>
      <c r="E2" s="8">
        <v>23.4</v>
      </c>
      <c r="F2" s="8">
        <f>D2*E2</f>
        <v>4680</v>
      </c>
      <c r="G2" s="8">
        <v>0.28000000000000003</v>
      </c>
      <c r="H2" s="8">
        <v>1.33</v>
      </c>
      <c r="I2" s="8">
        <v>15.99</v>
      </c>
      <c r="J2" s="8">
        <v>0.8</v>
      </c>
      <c r="K2" s="8">
        <v>0.23</v>
      </c>
      <c r="L2" s="8">
        <f>F2-G2-H2-I2</f>
        <v>4662.4000000000005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v>0.4</v>
      </c>
      <c r="H4" s="8">
        <v>1.94</v>
      </c>
      <c r="I4" s="8">
        <v>15.99</v>
      </c>
      <c r="J4" s="8">
        <v>0.8</v>
      </c>
      <c r="K4" s="8">
        <v>0.34</v>
      </c>
      <c r="L4" s="8">
        <f>F4-G4-H4-I4</f>
        <v>6789.670000000001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v>0.19</v>
      </c>
      <c r="H6" s="3">
        <v>0.94</v>
      </c>
      <c r="I6" s="3">
        <v>15.99</v>
      </c>
      <c r="J6" s="3">
        <v>0.8</v>
      </c>
      <c r="K6" s="3"/>
      <c r="L6" s="3">
        <f>F6+G6+H6+I6</f>
        <v>3327.12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v>7030.01</v>
      </c>
      <c r="G2" s="8">
        <f>1.16*(F2/SUM(F2:F4))</f>
        <v>0.42000450143979118</v>
      </c>
      <c r="H2" s="8">
        <f>5.53*(F2/SUM(F2:F4))</f>
        <v>2.0022628387603842</v>
      </c>
      <c r="I2" s="8">
        <v>15.99</v>
      </c>
      <c r="J2" s="8">
        <v>0.8</v>
      </c>
      <c r="K2" s="8">
        <v>0</v>
      </c>
      <c r="L2" s="8">
        <f>F2-G2-H2-I2-K2</f>
        <v>7011.5977326598004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>1.16*(F3/SUM(F2:F4))</f>
        <v>0.41199813967957366</v>
      </c>
      <c r="H3" s="8">
        <f>5.53*(F3/SUM(F2:F4))</f>
        <v>1.9640945796793472</v>
      </c>
      <c r="I3" s="8">
        <v>15.99</v>
      </c>
      <c r="J3" s="8">
        <v>0.8</v>
      </c>
      <c r="K3" s="8">
        <v>0</v>
      </c>
      <c r="L3" s="8">
        <f>F3-G3-H3-I3-K3</f>
        <v>6877.6339072806404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>1.16*(F4/SUM(F2:F4))</f>
        <v>0.32799735888063514</v>
      </c>
      <c r="H4" s="8">
        <f>5.53*(F4/SUM(F2:F4))</f>
        <v>1.5636425815602693</v>
      </c>
      <c r="I4" s="8">
        <v>15.99</v>
      </c>
      <c r="J4" s="8">
        <v>0.8</v>
      </c>
      <c r="K4" s="8">
        <v>0</v>
      </c>
      <c r="L4" s="8">
        <f>F4-G4-H4-I4-K4</f>
        <v>5472.1183600595596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>SUM(F2:F4)</f>
        <v>19416.009999999998</v>
      </c>
      <c r="G5" s="11">
        <f>SUM(G2:G4)</f>
        <v>1.1599999999999999</v>
      </c>
      <c r="H5" s="11">
        <f>SUM(H2:H4)</f>
        <v>5.53</v>
      </c>
      <c r="I5" s="11">
        <f>SUM(I2:I4)</f>
        <v>47.97</v>
      </c>
      <c r="J5" s="11">
        <f>SUM(J2:J4)</f>
        <v>2.4000000000000004</v>
      </c>
      <c r="K5" s="11"/>
      <c r="L5" s="11">
        <f>SUM(L2:L4)</f>
        <v>19361.349999999999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v>2.76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s="4" customFormat="1" x14ac:dyDescent="0.25">
      <c r="A4" s="5"/>
      <c r="E4" s="3"/>
      <c r="F4" s="7">
        <f>SUM(F2:F3)</f>
        <v>22600</v>
      </c>
      <c r="G4" s="7">
        <f t="shared" ref="G4:L4" si="2">SUM(G2:G3)</f>
        <v>5.66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 t="shared" si="2"/>
        <v>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v>0.56000000000000005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s="4" customFormat="1" x14ac:dyDescent="0.25">
      <c r="A4" s="5"/>
      <c r="E4" s="3"/>
      <c r="F4" s="7">
        <f>SUM(F2:F3)</f>
        <v>22600</v>
      </c>
      <c r="G4" s="7">
        <f t="shared" ref="G4:L4" si="2">SUM(G2:G3)</f>
        <v>5.65</v>
      </c>
      <c r="H4" s="7">
        <f t="shared" si="2"/>
        <v>1.1400000000000001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 t="shared" si="2"/>
        <v>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v>0.12</v>
      </c>
      <c r="K2" s="3"/>
      <c r="L2" s="3">
        <f>F2+G2+H2+I2+J2</f>
        <v>11005.41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ref="J3" si="1">I3*6.5%</f>
        <v>0.12934999999999999</v>
      </c>
      <c r="K3" s="3"/>
      <c r="L3" s="3">
        <f>F3+G3+H3+I3+J3</f>
        <v>11605.599349999999</v>
      </c>
    </row>
    <row r="4" spans="1:29" s="4" customFormat="1" x14ac:dyDescent="0.25">
      <c r="A4" s="5"/>
      <c r="E4" s="3"/>
      <c r="F4" s="7">
        <f>SUM(F2:F3)</f>
        <v>22600</v>
      </c>
      <c r="G4" s="7">
        <f t="shared" ref="G4:L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0.24934999999999999</v>
      </c>
      <c r="K4" s="7">
        <f t="shared" si="2"/>
        <v>0</v>
      </c>
      <c r="L4" s="7">
        <f t="shared" si="2"/>
        <v>22611.00935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1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20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20">
        <f>N8+E9</f>
        <v>100</v>
      </c>
    </row>
    <row r="10" spans="1:29" x14ac:dyDescent="0.25">
      <c r="E10" s="20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3">F10-G10-H10-I10-J10</f>
        <v>5921.1399999999994</v>
      </c>
      <c r="L10" s="1">
        <f>L9+K10</f>
        <v>8653.39</v>
      </c>
      <c r="N10" s="20">
        <f>N9+E10</f>
        <v>300</v>
      </c>
    </row>
    <row r="11" spans="1:29" x14ac:dyDescent="0.25">
      <c r="E11" s="20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3"/>
        <v>6610.9299999999994</v>
      </c>
      <c r="L11" s="1">
        <f>L10+((L10/N10)*E11)</f>
        <v>2884.4633333333331</v>
      </c>
      <c r="N11" s="20">
        <f>N10+E11</f>
        <v>100</v>
      </c>
    </row>
    <row r="12" spans="1:29" x14ac:dyDescent="0.25">
      <c r="E12" s="20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3"/>
        <v>6381.01</v>
      </c>
      <c r="L12" s="21">
        <f>L11+K12</f>
        <v>9265.4733333333334</v>
      </c>
      <c r="N12" s="22">
        <f>N11+E12</f>
        <v>300</v>
      </c>
      <c r="O12" s="1">
        <f>L12/N12</f>
        <v>30.884911111111112</v>
      </c>
    </row>
    <row r="13" spans="1:29" x14ac:dyDescent="0.25">
      <c r="E13" s="22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2F95-319A-4797-B7E1-F3EB07A82FDD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23">
        <v>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s="4" customFormat="1" x14ac:dyDescent="0.25">
      <c r="A4" s="5"/>
      <c r="E4" s="3"/>
      <c r="F4" s="7">
        <f>SUM(F2:F3)</f>
        <v>22600</v>
      </c>
      <c r="G4" s="7">
        <f t="shared" ref="G4:L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1</v>
      </c>
      <c r="L4" s="7">
        <f t="shared" si="2"/>
        <v>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0.01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s="4" customFormat="1" x14ac:dyDescent="0.25">
      <c r="A4" s="5"/>
      <c r="E4" s="3"/>
      <c r="F4" s="7">
        <f>SUM(F2:F3)</f>
        <v>22600</v>
      </c>
      <c r="G4" s="7">
        <f t="shared" ref="G4:L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0.01</v>
      </c>
      <c r="L4" s="7">
        <f t="shared" si="2"/>
        <v>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workbookViewId="0">
      <pane ySplit="1" topLeftCell="A2" activePane="bottomLeft" state="frozen"/>
      <selection activeCell="Q108" sqref="Q108"/>
      <selection pane="bottomLeft" activeCell="L4" sqref="L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v>7010.81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ref="L3:L4" si="2">F3-G3-H3-I3-J3</f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0"/>
        <v>1.7050000000000001</v>
      </c>
      <c r="H4" s="8">
        <f t="shared" si="1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2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 t="shared" si="3"/>
        <v>7.7034326499999944E-2</v>
      </c>
      <c r="L5" s="11">
        <f t="shared" si="3"/>
        <v>20068.711879999999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06DC6-EFFD-4226-8075-7FFC9D0F7B34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0.74*(F2/SUM(F2:F4))</f>
        <v>0.12177215189873417</v>
      </c>
      <c r="H2" s="13">
        <f>2.51*(F2/SUM(F2:F4))</f>
        <v>0.41303797468354425</v>
      </c>
      <c r="I2" s="13">
        <v>15.99</v>
      </c>
      <c r="J2" s="13">
        <v>0.8</v>
      </c>
      <c r="L2" s="13">
        <f>F2+G2+H2+I2</f>
        <v>1550.5248101265822</v>
      </c>
    </row>
    <row r="3" spans="1:29" x14ac:dyDescent="0.25">
      <c r="A3" s="15">
        <v>39758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>0.74*(F3/SUM(F2:F4))</f>
        <v>0.39992705428019737</v>
      </c>
      <c r="H3" s="13">
        <f>2.51*(F3/SUM(F2:F4))</f>
        <v>1.3565093327612099</v>
      </c>
      <c r="I3" s="13">
        <v>15.99</v>
      </c>
      <c r="J3" s="13">
        <v>0.8</v>
      </c>
      <c r="L3" s="13">
        <f>F3+G3+H3+I3</f>
        <v>5055.7464363870413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>0.74*(F4/SUM(F2:F4))</f>
        <v>0.21830079382106843</v>
      </c>
      <c r="H4" s="13">
        <f>2.51*(F4/SUM(F2:F4))</f>
        <v>0.74045269255524548</v>
      </c>
      <c r="I4" s="13">
        <v>15.99</v>
      </c>
      <c r="J4" s="13">
        <v>0.8</v>
      </c>
      <c r="L4" s="13">
        <f>F4+G4+H4+I4</f>
        <v>2766.9487534863761</v>
      </c>
    </row>
    <row r="5" spans="1:29" x14ac:dyDescent="0.25">
      <c r="A5" s="15"/>
      <c r="F5" s="13">
        <f>SUM(F2:F4)</f>
        <v>9322</v>
      </c>
      <c r="G5" s="13">
        <f>SUM(G2:G4)</f>
        <v>0.74</v>
      </c>
      <c r="H5" s="13">
        <f>SUM(H2:H4)</f>
        <v>2.5099999999999998</v>
      </c>
      <c r="I5" s="13">
        <f>SUM(I2:I4)</f>
        <v>47.97</v>
      </c>
      <c r="J5" s="13">
        <f>SUM(J2:J4)</f>
        <v>2.4000000000000004</v>
      </c>
      <c r="L5" s="13">
        <f>SUM(L2:L4)</f>
        <v>9373.2199999999993</v>
      </c>
    </row>
    <row r="6" spans="1:29" x14ac:dyDescent="0.25">
      <c r="A6" s="15"/>
    </row>
    <row r="7" spans="1:29" x14ac:dyDescent="0.25">
      <c r="A7" s="15">
        <v>39758</v>
      </c>
      <c r="B7" s="12">
        <v>1344</v>
      </c>
      <c r="C7" s="12" t="s">
        <v>0</v>
      </c>
      <c r="D7" s="12">
        <v>100</v>
      </c>
      <c r="E7" s="13">
        <v>15.2</v>
      </c>
      <c r="F7" s="13">
        <f>D7*E7</f>
        <v>1520</v>
      </c>
      <c r="G7" s="13">
        <f>0.2*(F7/SUM(F7:F8))</f>
        <v>0.13280908693752733</v>
      </c>
      <c r="H7" s="13">
        <f>0.69*(F7/SUM(F7:F8))</f>
        <v>0.45819134993446919</v>
      </c>
      <c r="I7" s="13">
        <v>15.99</v>
      </c>
      <c r="J7" s="13">
        <v>0.8</v>
      </c>
      <c r="L7" s="13">
        <f>F7+G7+H7+I7</f>
        <v>1536.5810004368718</v>
      </c>
    </row>
    <row r="8" spans="1:29" x14ac:dyDescent="0.25">
      <c r="A8" s="15">
        <v>39758</v>
      </c>
      <c r="B8" s="12">
        <v>1344</v>
      </c>
      <c r="C8" s="12" t="s">
        <v>3</v>
      </c>
      <c r="D8" s="12">
        <v>100</v>
      </c>
      <c r="E8" s="13">
        <v>7.69</v>
      </c>
      <c r="F8" s="13">
        <f>D8*E8</f>
        <v>769</v>
      </c>
      <c r="G8" s="13">
        <f>0.2*(F8/SUM(F7:F8))</f>
        <v>6.7190913062472699E-2</v>
      </c>
      <c r="H8" s="13">
        <f>0.69*(F8/SUM(F7:F8))</f>
        <v>0.23180865006553075</v>
      </c>
      <c r="I8" s="13">
        <v>15.99</v>
      </c>
      <c r="J8" s="13">
        <v>0.8</v>
      </c>
      <c r="L8" s="13">
        <f>F8+G8+H8+I8</f>
        <v>785.28899956312807</v>
      </c>
    </row>
    <row r="9" spans="1:29" x14ac:dyDescent="0.25">
      <c r="A9" s="15"/>
      <c r="F9" s="13">
        <f>SUM(F7:F8)</f>
        <v>2289</v>
      </c>
      <c r="G9" s="13">
        <f>SUM(G7:G8)</f>
        <v>0.2</v>
      </c>
      <c r="H9" s="13">
        <f>SUM(H7:H8)</f>
        <v>0.69</v>
      </c>
      <c r="I9" s="13">
        <f>SUM(I7:I8)</f>
        <v>31.98</v>
      </c>
      <c r="J9" s="13">
        <f>SUM(J7:J8)</f>
        <v>1.6</v>
      </c>
      <c r="L9" s="13">
        <f>SUM(L7:L8)</f>
        <v>2321.87</v>
      </c>
    </row>
    <row r="10" spans="1:29" x14ac:dyDescent="0.25">
      <c r="A10" s="15"/>
    </row>
    <row r="11" spans="1:29" x14ac:dyDescent="0.25">
      <c r="A11" s="15">
        <v>39849</v>
      </c>
      <c r="B11" s="12">
        <v>1319</v>
      </c>
      <c r="C11" s="12" t="s">
        <v>4</v>
      </c>
      <c r="D11" s="12">
        <v>100</v>
      </c>
      <c r="E11" s="13">
        <v>31.5</v>
      </c>
      <c r="F11" s="13">
        <f>D11*E11</f>
        <v>3150</v>
      </c>
      <c r="G11" s="13">
        <v>0.25</v>
      </c>
      <c r="H11" s="13">
        <v>0.85</v>
      </c>
      <c r="I11" s="13">
        <v>15.99</v>
      </c>
      <c r="J11" s="13">
        <v>0.8</v>
      </c>
      <c r="K11" s="13">
        <v>0</v>
      </c>
      <c r="L11" s="13">
        <f>F11-G11-H11-I11-K11</f>
        <v>3132.9100000000003</v>
      </c>
    </row>
    <row r="12" spans="1:29" x14ac:dyDescent="0.25">
      <c r="A12" s="15"/>
    </row>
    <row r="13" spans="1:29" x14ac:dyDescent="0.25">
      <c r="A13" s="15">
        <v>39853</v>
      </c>
      <c r="B13" s="12">
        <v>1362</v>
      </c>
      <c r="C13" s="12" t="s">
        <v>2</v>
      </c>
      <c r="D13" s="12">
        <v>100</v>
      </c>
      <c r="E13" s="13">
        <v>17.7</v>
      </c>
      <c r="F13" s="13">
        <f>D13*E13</f>
        <v>1770</v>
      </c>
      <c r="G13" s="13">
        <v>0.14000000000000001</v>
      </c>
      <c r="H13" s="13">
        <v>0.47</v>
      </c>
      <c r="I13" s="13">
        <v>15.99</v>
      </c>
      <c r="J13" s="13">
        <v>0.8</v>
      </c>
      <c r="K13" s="13">
        <v>0</v>
      </c>
      <c r="L13" s="13">
        <f>F13-G13-H13-I13-K13</f>
        <v>1753.3999999999999</v>
      </c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E87-00E8-4CF9-A517-EB6C0CA40610}">
  <dimension ref="A1:AC4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v>11005.45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s="4" customFormat="1" x14ac:dyDescent="0.25">
      <c r="A4" s="5"/>
      <c r="E4" s="3"/>
      <c r="F4" s="7">
        <f>SUM(F2:F3)</f>
        <v>22600</v>
      </c>
      <c r="G4" s="7">
        <f t="shared" ref="G4:L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 t="shared" si="2"/>
        <v>22611.049350000001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BEB4-905E-4036-959A-F9A0226AF070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s="4" customFormat="1" x14ac:dyDescent="0.25">
      <c r="A4" s="5"/>
      <c r="E4" s="3"/>
      <c r="F4" s="7">
        <f>SUM(F2:F3)</f>
        <v>22600</v>
      </c>
      <c r="G4" s="7">
        <f>SUM(G2:G3) + 0.03</f>
        <v>5.6800000000000006</v>
      </c>
      <c r="H4" s="7">
        <f t="shared" ref="H4:L4" si="2">SUM(H2:H3)</f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 t="shared" si="2"/>
        <v>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349E-D984-4817-800E-2EB4836D5B5D}">
  <dimension ref="A1:AC4"/>
  <sheetViews>
    <sheetView tabSelected="1" workbookViewId="0">
      <pane ySplit="1" topLeftCell="A2" activePane="bottomLeft" state="frozen"/>
      <selection activeCell="Q108" sqref="Q108"/>
      <selection pane="bottomLeft" activeCell="H4" sqref="H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s="4" customFormat="1" x14ac:dyDescent="0.25">
      <c r="A4" s="5"/>
      <c r="E4" s="3"/>
      <c r="F4" s="7">
        <f>SUM(F2:F3)</f>
        <v>22600</v>
      </c>
      <c r="G4" s="7">
        <f t="shared" ref="G4:L4" si="2">SUM(G2:G3)</f>
        <v>5.65</v>
      </c>
      <c r="H4" s="7">
        <f>SUM(H2:H3) - 0.03</f>
        <v>1.1000000000000001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 t="shared" si="2"/>
        <v>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0.74*(F2/SUM(F2:F4))</f>
        <v>0.12177215189873417</v>
      </c>
      <c r="H2" s="13">
        <f>2.51*(F2/SUM(F2:F4))</f>
        <v>0.41303797468354425</v>
      </c>
      <c r="I2" s="13">
        <v>15.99</v>
      </c>
      <c r="J2" s="13">
        <v>0.8</v>
      </c>
      <c r="L2" s="13">
        <f>F2+G2+H2+I2</f>
        <v>1550.5248101265822</v>
      </c>
    </row>
    <row r="3" spans="1:29" x14ac:dyDescent="0.25">
      <c r="A3" s="15">
        <v>39757</v>
      </c>
      <c r="B3" s="12">
        <v>1663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>0.74*(F3/SUM(F2:F4))</f>
        <v>0.39992705428019737</v>
      </c>
      <c r="H3" s="13">
        <f>2.51*(F3/SUM(F2:F4))</f>
        <v>1.3565093327612099</v>
      </c>
      <c r="I3" s="13">
        <v>15.99</v>
      </c>
      <c r="J3" s="13">
        <v>0.8</v>
      </c>
      <c r="L3" s="13">
        <f>F3+G3+H3+I3</f>
        <v>5055.7464363870413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>0.74*(F4/SUM(F2:F4))</f>
        <v>0.21830079382106843</v>
      </c>
      <c r="H4" s="13">
        <f>2.51*(F4/SUM(F2:F4))</f>
        <v>0.74045269255524548</v>
      </c>
      <c r="I4" s="13">
        <v>15.99</v>
      </c>
      <c r="J4" s="13">
        <v>0.8</v>
      </c>
      <c r="L4" s="13">
        <f>F4+G4+H4+I4</f>
        <v>2766.9487534863761</v>
      </c>
    </row>
    <row r="5" spans="1:29" x14ac:dyDescent="0.25">
      <c r="A5" s="15"/>
      <c r="F5" s="13">
        <f>SUM(F2:F4)</f>
        <v>9322</v>
      </c>
      <c r="G5" s="13">
        <f>SUM(G2:G4)</f>
        <v>0.74</v>
      </c>
      <c r="H5" s="13">
        <f>SUM(H2:H4)</f>
        <v>2.5099999999999998</v>
      </c>
      <c r="I5" s="13">
        <f>SUM(I2:I4)</f>
        <v>47.97</v>
      </c>
      <c r="J5" s="13">
        <f>SUM(J2:J4)</f>
        <v>2.4000000000000004</v>
      </c>
      <c r="L5" s="13">
        <f>SUM(L2:L4)</f>
        <v>9373.2199999999993</v>
      </c>
    </row>
    <row r="6" spans="1:29" x14ac:dyDescent="0.25">
      <c r="A6" s="15"/>
    </row>
    <row r="7" spans="1:29" x14ac:dyDescent="0.25">
      <c r="A7" s="15">
        <v>39758</v>
      </c>
      <c r="B7" s="12">
        <v>1344</v>
      </c>
      <c r="C7" s="12" t="s">
        <v>0</v>
      </c>
      <c r="D7" s="12">
        <v>100</v>
      </c>
      <c r="E7" s="13">
        <v>15.2</v>
      </c>
      <c r="F7" s="13">
        <f>D7*E7</f>
        <v>1520</v>
      </c>
      <c r="G7" s="13">
        <f>0.2*(F7/SUM(F7:F8))</f>
        <v>0.13280908693752733</v>
      </c>
      <c r="H7" s="13">
        <f>0.69*(F7/SUM(F7:F8))</f>
        <v>0.45819134993446919</v>
      </c>
      <c r="I7" s="13">
        <v>15.99</v>
      </c>
      <c r="J7" s="13">
        <v>0.8</v>
      </c>
      <c r="L7" s="13">
        <f>F7+G7+H7+I7</f>
        <v>1536.5810004368718</v>
      </c>
    </row>
    <row r="8" spans="1:29" x14ac:dyDescent="0.25">
      <c r="A8" s="15">
        <v>39758</v>
      </c>
      <c r="B8" s="12">
        <v>1344</v>
      </c>
      <c r="C8" s="12" t="s">
        <v>3</v>
      </c>
      <c r="D8" s="12">
        <v>100</v>
      </c>
      <c r="E8" s="13">
        <v>7.69</v>
      </c>
      <c r="F8" s="13">
        <f>D8*E8</f>
        <v>769</v>
      </c>
      <c r="G8" s="13">
        <f>0.2*(F8/SUM(F7:F8))</f>
        <v>6.7190913062472699E-2</v>
      </c>
      <c r="H8" s="13">
        <f>0.69*(F8/SUM(F7:F8))</f>
        <v>0.23180865006553075</v>
      </c>
      <c r="I8" s="13">
        <v>15.99</v>
      </c>
      <c r="J8" s="13">
        <v>0.8</v>
      </c>
      <c r="L8" s="13">
        <f>F8+G8+H8+I8</f>
        <v>785.28899956312807</v>
      </c>
    </row>
    <row r="9" spans="1:29" x14ac:dyDescent="0.25">
      <c r="A9" s="15"/>
      <c r="F9" s="13">
        <f>SUM(F7:F8)</f>
        <v>2289</v>
      </c>
      <c r="G9" s="13">
        <f>SUM(G7:G8)</f>
        <v>0.2</v>
      </c>
      <c r="H9" s="13">
        <f>SUM(H7:H8)</f>
        <v>0.69</v>
      </c>
      <c r="I9" s="13">
        <f>SUM(I7:I8)</f>
        <v>31.98</v>
      </c>
      <c r="J9" s="13">
        <f>SUM(J7:J8)</f>
        <v>1.6</v>
      </c>
      <c r="L9" s="13">
        <f>SUM(L7:L8)</f>
        <v>2321.87</v>
      </c>
    </row>
    <row r="10" spans="1:29" x14ac:dyDescent="0.25">
      <c r="A10" s="15"/>
    </row>
    <row r="11" spans="1:29" x14ac:dyDescent="0.25">
      <c r="A11" s="15">
        <v>39849</v>
      </c>
      <c r="B11" s="12">
        <v>1319</v>
      </c>
      <c r="C11" s="12" t="s">
        <v>4</v>
      </c>
      <c r="D11" s="12">
        <v>100</v>
      </c>
      <c r="E11" s="13">
        <v>31.5</v>
      </c>
      <c r="F11" s="13">
        <f>D11*E11</f>
        <v>3150</v>
      </c>
      <c r="G11" s="13">
        <v>0.25</v>
      </c>
      <c r="H11" s="13">
        <v>0.85</v>
      </c>
      <c r="I11" s="13">
        <v>15.99</v>
      </c>
      <c r="J11" s="13">
        <v>0.8</v>
      </c>
      <c r="K11" s="13">
        <v>0</v>
      </c>
      <c r="L11" s="13">
        <f>F11-G11-H11-I11-K11</f>
        <v>3132.9100000000003</v>
      </c>
    </row>
    <row r="12" spans="1:29" x14ac:dyDescent="0.25">
      <c r="A12" s="15"/>
    </row>
    <row r="13" spans="1:29" x14ac:dyDescent="0.25">
      <c r="A13" s="15">
        <v>39853</v>
      </c>
      <c r="B13" s="12">
        <v>1362</v>
      </c>
      <c r="C13" s="12" t="s">
        <v>2</v>
      </c>
      <c r="D13" s="12">
        <v>100</v>
      </c>
      <c r="E13" s="13">
        <v>17.7</v>
      </c>
      <c r="F13" s="13">
        <f>D13*E13</f>
        <v>1770</v>
      </c>
      <c r="G13" s="13">
        <v>0.14000000000000001</v>
      </c>
      <c r="H13" s="13">
        <v>0.47</v>
      </c>
      <c r="I13" s="13">
        <v>15.99</v>
      </c>
      <c r="J13" s="13">
        <v>0.8</v>
      </c>
      <c r="K13" s="13">
        <v>0</v>
      </c>
      <c r="L13" s="13">
        <f>F13-G13-H13-I13-K13</f>
        <v>1753.3999999999999</v>
      </c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D22B-36B9-402D-A19C-031FF2332945}">
  <dimension ref="A1:AC3"/>
  <sheetViews>
    <sheetView workbookViewId="0">
      <pane ySplit="1" topLeftCell="A2" activePane="bottomLeft" state="frozen"/>
      <selection activeCell="Q108" sqref="Q108"/>
      <selection pane="bottomLeft" activeCell="A2" sqref="A2:XFD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9CBF-C87A-40BF-91B5-CE83CDC20ECE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x14ac:dyDescent="0.25">
      <c r="F4" s="7">
        <f>SUM(F1:F3)</f>
        <v>22600</v>
      </c>
      <c r="G4" s="7">
        <v>5.65</v>
      </c>
      <c r="H4" s="7">
        <f>SUM(H1:H3)</f>
        <v>1.1300000000000001</v>
      </c>
      <c r="I4" s="7">
        <f>SUM(I1:I3)</f>
        <v>3.98</v>
      </c>
      <c r="J4" s="7">
        <f>SUM(J1:J3)</f>
        <v>0.25869999999999999</v>
      </c>
      <c r="K4" s="7"/>
      <c r="L4" s="7">
        <f>SUM(L1:L3)</f>
        <v>22611.018699999997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B3" activeCellId="1" sqref="A3 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/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19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/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/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SUM(F2:F4)</f>
        <v>9322</v>
      </c>
      <c r="G5" s="7">
        <f>SUM(G2:G4)</f>
        <v>2.5635500000000002</v>
      </c>
      <c r="H5" s="7">
        <f>SUM(H2:H4)</f>
        <v>0.65254000000000012</v>
      </c>
      <c r="I5" s="7">
        <f>SUM(I2:I4)</f>
        <v>47.97</v>
      </c>
      <c r="J5" s="7">
        <f>SUM(J2:J4)</f>
        <v>2.4000000000000004</v>
      </c>
      <c r="K5" s="7"/>
      <c r="L5" s="7">
        <f>SUM(L2:L4)</f>
        <v>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:XFD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0.74*(F2/SUM(F2:F4))</f>
        <v>0.12177215189873417</v>
      </c>
      <c r="H2" s="13">
        <f>2.51*(F2/SUM(F2:F4))</f>
        <v>0.41303797468354425</v>
      </c>
      <c r="I2" s="13">
        <v>15.99</v>
      </c>
      <c r="J2" s="13">
        <v>0.8</v>
      </c>
      <c r="L2" s="13">
        <f>F2+G2+H2+I2</f>
        <v>1550.5248101265822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>0.74*(F3/SUM(F2:F4))</f>
        <v>0.39992705428019737</v>
      </c>
      <c r="H3" s="13">
        <f>2.51*(F3/SUM(F2:F4))</f>
        <v>1.3565093327612099</v>
      </c>
      <c r="I3" s="13">
        <v>15.99</v>
      </c>
      <c r="J3" s="13">
        <v>0.8</v>
      </c>
      <c r="L3" s="13">
        <f>F3+G3+H3+I3</f>
        <v>5055.7464363870413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>0.74*(F4/SUM(F2:F4))</f>
        <v>0.21830079382106843</v>
      </c>
      <c r="H4" s="13">
        <f>2.51*(F4/SUM(F2:F4))</f>
        <v>0.74045269255524548</v>
      </c>
      <c r="I4" s="13">
        <v>15.99</v>
      </c>
      <c r="J4" s="13">
        <v>0.8</v>
      </c>
      <c r="L4" s="13">
        <f>F4+G4+H4+I4</f>
        <v>2766.9487534863761</v>
      </c>
    </row>
    <row r="5" spans="1:29" x14ac:dyDescent="0.25">
      <c r="A5" s="15"/>
      <c r="F5" s="13">
        <f>SUM(F2:F4)</f>
        <v>9322</v>
      </c>
      <c r="G5" s="13">
        <f>SUM(G2:G4)</f>
        <v>0.74</v>
      </c>
      <c r="H5" s="13">
        <f>SUM(H2:H4)</f>
        <v>2.5099999999999998</v>
      </c>
      <c r="I5" s="13">
        <f>SUM(I2:I4)</f>
        <v>47.97</v>
      </c>
      <c r="J5" s="13">
        <f>SUM(J2:J4)</f>
        <v>2.4000000000000004</v>
      </c>
      <c r="L5" s="13">
        <f>SUM(L2:L4)</f>
        <v>9373.2199999999993</v>
      </c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/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/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/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SUM(F2:F4)</f>
        <v>9322</v>
      </c>
      <c r="G5" s="3">
        <f>SUM(G2:G4)</f>
        <v>2.5635500000000002</v>
      </c>
      <c r="H5" s="3">
        <f>SUM(H2:H4)</f>
        <v>0.65254000000000012</v>
      </c>
      <c r="I5" s="3">
        <f>SUM(I2:I4)</f>
        <v>47.97</v>
      </c>
      <c r="J5" s="3">
        <f>SUM(J2:J4)</f>
        <v>2.4000000000000004</v>
      </c>
      <c r="K5" s="3"/>
      <c r="L5" s="3">
        <f>SUM(L2:L4)</f>
        <v>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/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/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SUM(F7:F8)</f>
        <v>2289</v>
      </c>
      <c r="G9" s="3">
        <f>SUM(G7:G8)</f>
        <v>0.62947500000000001</v>
      </c>
      <c r="H9" s="3">
        <f>SUM(H7:H8)</f>
        <v>0.16023000000000001</v>
      </c>
      <c r="I9" s="3">
        <f>SUM(I7:I8)</f>
        <v>31.98</v>
      </c>
      <c r="J9" s="3">
        <f>SUM(J7:J8)</f>
        <v>1.6</v>
      </c>
      <c r="K9" s="3"/>
      <c r="L9" s="3">
        <f>SUM(L7:L8)</f>
        <v>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F11-G11-H11-I11-K11</f>
        <v>3132.9232500000003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2</v>
      </c>
      <c r="D13" s="9">
        <v>100</v>
      </c>
      <c r="E13" s="8">
        <v>17.7</v>
      </c>
      <c r="F13" s="8">
        <f>D13*E13</f>
        <v>1770</v>
      </c>
      <c r="G13" s="8">
        <f>F13*0.0275%</f>
        <v>0.48675000000000002</v>
      </c>
      <c r="H13" s="8">
        <f>F13*0.007%</f>
        <v>0.12390000000000001</v>
      </c>
      <c r="I13" s="8">
        <v>15.99</v>
      </c>
      <c r="J13" s="8">
        <v>0.8</v>
      </c>
      <c r="K13" s="8">
        <v>0</v>
      </c>
      <c r="L13" s="8">
        <f>F13-G13-H13-I13-K13</f>
        <v>1753.3993499999999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/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/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/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SUM(F2:F4)</f>
        <v>9322</v>
      </c>
      <c r="G5" s="7">
        <f>SUM(G2:G4)</f>
        <v>2.5635500000000002</v>
      </c>
      <c r="H5" s="7">
        <f>SUM(H2:H4)</f>
        <v>0.65254000000000012</v>
      </c>
      <c r="I5" s="7">
        <f>SUM(I2:I4)</f>
        <v>47.97</v>
      </c>
      <c r="J5" s="7">
        <f>SUM(J2:J4)</f>
        <v>2.4000000000000004</v>
      </c>
      <c r="K5" s="7"/>
      <c r="L5" s="7">
        <f>SUM(L2:L4)</f>
        <v>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/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2">F8*0.0275%</f>
        <v>0.41800000000000004</v>
      </c>
      <c r="H8" s="3">
        <f t="shared" ref="H8:H9" si="3">F8*0.007%</f>
        <v>0.10640000000000001</v>
      </c>
      <c r="I8" s="3">
        <v>15.99</v>
      </c>
      <c r="J8" s="3">
        <v>0.8</v>
      </c>
      <c r="K8" s="3"/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2"/>
        <v>0.21147500000000002</v>
      </c>
      <c r="H9" s="3">
        <f t="shared" si="3"/>
        <v>5.3830000000000003E-2</v>
      </c>
      <c r="I9" s="3">
        <v>15.99</v>
      </c>
      <c r="J9" s="3">
        <v>0.8</v>
      </c>
      <c r="K9" s="3"/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SUM(F7:F9)</f>
        <v>2557</v>
      </c>
      <c r="G10" s="7">
        <f>SUM(G7:G9)</f>
        <v>0.70317500000000011</v>
      </c>
      <c r="H10" s="7">
        <f>SUM(H7:H9)</f>
        <v>0.17899000000000004</v>
      </c>
      <c r="I10" s="7">
        <f>SUM(I7:I9)</f>
        <v>47.97</v>
      </c>
      <c r="J10" s="7">
        <f>SUM(J7:J9)</f>
        <v>2.4000000000000004</v>
      </c>
      <c r="K10" s="7"/>
      <c r="L10" s="7">
        <f>SUM(L7:L9)</f>
        <v>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1</vt:lpstr>
      <vt:lpstr>GroupWithDifferentTradingDates</vt:lpstr>
      <vt:lpstr>GroupWithDifferentNoteNumbers</vt:lpstr>
      <vt:lpstr>MultiLineGroupWithNoSummary</vt:lpstr>
      <vt:lpstr>GroupWithInvalidSummary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SettlementFeeNotVolumeTimesRate</vt:lpstr>
      <vt:lpstr>InvalidNegotiationsFee</vt:lpstr>
      <vt:lpstr>InvalidServiceTax</vt:lpstr>
      <vt:lpstr>InvalidIncomeTaxAtSource</vt:lpstr>
      <vt:lpstr>IncomeTaxAtSourceNot$OnBuying</vt:lpstr>
      <vt:lpstr>NonZeroIncomeTaxAtSourceBuying</vt:lpstr>
      <vt:lpstr>InvalidTotalForSelling</vt:lpstr>
      <vt:lpstr>InvalidTotalForBuying</vt:lpstr>
      <vt:lpstr>InvalidSettlementFeeSummary</vt:lpstr>
      <vt:lpstr>InvalidNegotiationFeesSummary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2022-04-02T14:26:26Z</dcterms:modified>
</cp:coreProperties>
</file>