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rojects\Personal\MPFi\code\stocks\src\test\resources\com\andreidiego\mpfi\stocks\adapter\spreadsheets\"/>
    </mc:Choice>
  </mc:AlternateContent>
  <xr:revisionPtr revIDLastSave="0" documentId="13_ncr:1_{EE8AF168-6A5B-48BF-A942-AE50A85B36C1}" xr6:coauthVersionLast="47" xr6:coauthVersionMax="47" xr10:uidLastSave="{00000000-0000-0000-0000-000000000000}"/>
  <bookViews>
    <workbookView xWindow="-120" yWindow="-120" windowWidth="29040" windowHeight="15525" tabRatio="851" firstSheet="66" activeTab="69" xr2:uid="{51326E95-EE54-495F-AB8A-B57AD14A8498}"/>
  </bookViews>
  <sheets>
    <sheet name="NotUsed" sheetId="2" r:id="rId1"/>
    <sheet name="TradingDateMissing" sheetId="35" r:id="rId2"/>
    <sheet name="TradingDateNegative" sheetId="73" r:id="rId3"/>
    <sheet name="TradingDateExtraneousCharacters" sheetId="74" r:id="rId4"/>
    <sheet name="TradingDateInvalidDate" sheetId="75" r:id="rId5"/>
    <sheet name="TradingDateBlack" sheetId="36" r:id="rId6"/>
    <sheet name="TradingDateRedForSelling" sheetId="78" r:id="rId7"/>
    <sheet name="TradingDateBlueForBuying" sheetId="79" r:id="rId8"/>
    <sheet name="NoteNumberMissing" sheetId="37" r:id="rId9"/>
    <sheet name="NoteNumberNegative" sheetId="38" r:id="rId10"/>
    <sheet name="NoteNumberExtraneousCharacters" sheetId="39" r:id="rId11"/>
    <sheet name="NoteNumberBlack" sheetId="40" r:id="rId12"/>
    <sheet name="NoteNumberRedForSelling" sheetId="80" r:id="rId13"/>
    <sheet name="NoteNumberBlueForBuying" sheetId="81" r:id="rId14"/>
    <sheet name="TickerMissing" sheetId="41" r:id="rId15"/>
    <sheet name="TickerBlack" sheetId="42" r:id="rId16"/>
    <sheet name="TickerRedForSelling" sheetId="82" r:id="rId17"/>
    <sheet name="TickerBlueForBuying" sheetId="83" r:id="rId18"/>
    <sheet name="QtyMissing" sheetId="43" r:id="rId19"/>
    <sheet name="QtyNegative" sheetId="44" r:id="rId20"/>
    <sheet name="QtyExtraneousCharacters" sheetId="45" r:id="rId21"/>
    <sheet name="QtyBlack" sheetId="46" r:id="rId22"/>
    <sheet name="QtyRedForSelling" sheetId="84" r:id="rId23"/>
    <sheet name="QtyBlueForBuying" sheetId="85" r:id="rId24"/>
    <sheet name="PriceMissing" sheetId="47" r:id="rId25"/>
    <sheet name="PriceNegative" sheetId="48" r:id="rId26"/>
    <sheet name="PriceExtraneousCharacters" sheetId="49" r:id="rId27"/>
    <sheet name="PriceBlack" sheetId="50" r:id="rId28"/>
    <sheet name="PriceRedForSelling" sheetId="86" r:id="rId29"/>
    <sheet name="PriceBlueForBuying" sheetId="87" r:id="rId30"/>
    <sheet name="VolumeMissing" sheetId="51" r:id="rId31"/>
    <sheet name="VolumeExtraneousCharacters" sheetId="52" r:id="rId32"/>
    <sheet name="VolumeBlack" sheetId="53" r:id="rId33"/>
    <sheet name="VolumeRedForSelling" sheetId="88" r:id="rId34"/>
    <sheet name="VolumeBlueForBuying" sheetId="89" r:id="rId35"/>
    <sheet name="SettlementFeeMissing" sheetId="54" r:id="rId36"/>
    <sheet name="SettlementFeeExtraneousChars" sheetId="55" r:id="rId37"/>
    <sheet name="SettlementFeeBlack" sheetId="56" r:id="rId38"/>
    <sheet name="SettlementFeeRedForSelling" sheetId="90" r:id="rId39"/>
    <sheet name="SettlementFeeBlueForBuying" sheetId="91" r:id="rId40"/>
    <sheet name="TradingFeesMissing" sheetId="57" r:id="rId41"/>
    <sheet name="TradingFeesExtraneousCharacters" sheetId="58" r:id="rId42"/>
    <sheet name="TradingFeesBlack" sheetId="59" r:id="rId43"/>
    <sheet name="TradingFeesRedForSelling" sheetId="92" r:id="rId44"/>
    <sheet name="TradingFeesBlueForBuying" sheetId="93" r:id="rId45"/>
    <sheet name="BrokerageMissing" sheetId="60" r:id="rId46"/>
    <sheet name="BrokerageNegative" sheetId="63" r:id="rId47"/>
    <sheet name="BrokerageExtraneousCharacters" sheetId="61" r:id="rId48"/>
    <sheet name="BrokerageBlack" sheetId="62" r:id="rId49"/>
    <sheet name="BrokerageRedForSelling" sheetId="94" r:id="rId50"/>
    <sheet name="BrokerageBlueForBuying" sheetId="95" r:id="rId51"/>
    <sheet name="ServiceTaxMissing" sheetId="64" r:id="rId52"/>
    <sheet name="ServiceTaxNegative" sheetId="65" r:id="rId53"/>
    <sheet name="ServiceTaxExtraneousCharacters" sheetId="66" r:id="rId54"/>
    <sheet name="ServiceTaxBlack" sheetId="67" r:id="rId55"/>
    <sheet name="ServiceTaxRedForSelling" sheetId="96" r:id="rId56"/>
    <sheet name="ServiceTaxBlueForBuying" sheetId="97" r:id="rId57"/>
    <sheet name="IncomeTaxAtSourceExtraneousChar" sheetId="68" r:id="rId58"/>
    <sheet name="IncomeTaxAtSourceBlack" sheetId="69" r:id="rId59"/>
    <sheet name="IncomeTaxAtSourceRedForSelling" sheetId="98" r:id="rId60"/>
    <sheet name="IncomeTaxAtSourceBlueForBuying" sheetId="99" r:id="rId61"/>
    <sheet name="TotalMissing" sheetId="70" r:id="rId62"/>
    <sheet name="TotalExtraneousCharacters" sheetId="71" r:id="rId63"/>
    <sheet name="TotalBlack" sheetId="72" r:id="rId64"/>
    <sheet name="TotalRedForSelling" sheetId="100" r:id="rId65"/>
    <sheet name="TotalBlueForBuying" sheetId="101" r:id="rId66"/>
    <sheet name="NoEmptyAttributeHalfOfEachColor" sheetId="76" r:id="rId67"/>
    <sheet name="NonEmptyAttribsHalfOfEachColor" sheetId="118" r:id="rId68"/>
    <sheet name="ValidColoredAttribHalfEachColor" sheetId="117" r:id="rId69"/>
    <sheet name="NEValidColorAttrHalfEachColor" sheetId="119" r:id="rId70"/>
    <sheet name="VolumeSummaryMissing" sheetId="102" r:id="rId71"/>
    <sheet name="VolumeSummaryExtraneousChars" sheetId="108" r:id="rId72"/>
    <sheet name="SettlementFeeSummaryMissing" sheetId="103" r:id="rId73"/>
    <sheet name="SettlementFeeSummaryExtrChars" sheetId="109" r:id="rId74"/>
    <sheet name="TradingFeesSummaryMissing" sheetId="104" r:id="rId75"/>
    <sheet name="TradingFeesSummaryExtrChars" sheetId="110" r:id="rId76"/>
    <sheet name="BrokerageSummaryMissing" sheetId="105" r:id="rId77"/>
    <sheet name="BrokerageSummaryExtraneousChars" sheetId="111" r:id="rId78"/>
    <sheet name="ServiceTaxSummaryMissing" sheetId="106" r:id="rId79"/>
    <sheet name="ServiceTaxSummaryExtrChars" sheetId="112" r:id="rId80"/>
    <sheet name="IncomeTaxAtSourceSummExtrChars" sheetId="113" r:id="rId81"/>
    <sheet name="TotalSummaryMissing" sheetId="107" r:id="rId82"/>
    <sheet name="TotalSummaryExtraneousChars" sheetId="114" r:id="rId83"/>
    <sheet name="GroupWithDifferentTradingDates" sheetId="34" r:id="rId84"/>
    <sheet name="GroupWithDifferentNoteNumbers" sheetId="12" r:id="rId85"/>
    <sheet name="MultiLineGroupWithNoSummary" sheetId="25" r:id="rId86"/>
    <sheet name="GroupWithInvalidSummary" sheetId="26" r:id="rId87"/>
    <sheet name="LineWithDifferentFontColors" sheetId="13" r:id="rId88"/>
    <sheet name="LineWithBlackFontColor" sheetId="14" r:id="rId89"/>
    <sheet name="GroupsWithSameTradingDate&amp;Note" sheetId="7" r:id="rId90"/>
    <sheet name="GroupsWithSummary" sheetId="8" r:id="rId91"/>
    <sheet name="BuyingAndSellingOperations" sheetId="9" r:id="rId92"/>
    <sheet name="SingleLineGroups" sheetId="10" r:id="rId93"/>
    <sheet name="VolumeDoesNotMatchQtyTimesPrice" sheetId="15" r:id="rId94"/>
    <sheet name="SettlementFeeNotVolumeTimesRate" sheetId="16" r:id="rId95"/>
    <sheet name="InvalidTradingFees" sheetId="17" r:id="rId96"/>
    <sheet name="InvalidServiceTax" sheetId="18" r:id="rId97"/>
    <sheet name="InvalidIncomeTaxAtSource" sheetId="19" r:id="rId98"/>
    <sheet name="_BugInGroupFormation_" sheetId="33" r:id="rId99"/>
    <sheet name="NonZeroIncomeTaxAtSourceBuying" sheetId="21" r:id="rId100"/>
    <sheet name="InvalidTotalForSelling" sheetId="22" r:id="rId101"/>
    <sheet name="InvalidTotalForBuying" sheetId="23" r:id="rId102"/>
    <sheet name="InvalidSettlementFeeSummary" sheetId="24" r:id="rId103"/>
    <sheet name="InvalidTradingFeesSummary" sheetId="27" r:id="rId104"/>
    <sheet name="InvalidBrokerageSummary" sheetId="28" r:id="rId105"/>
    <sheet name="InvalidServiceTaxSummary" sheetId="29" r:id="rId106"/>
    <sheet name="InvalidIncomeTaxAtSourceSummary" sheetId="30" r:id="rId107"/>
    <sheet name="InvalidVolumeSummaryHomogGroups" sheetId="115" r:id="rId108"/>
    <sheet name="InvalidVolumeSummaryMixedGroups" sheetId="31" r:id="rId109"/>
    <sheet name="InvalidTotalSummaryHomogGroups" sheetId="116" r:id="rId110"/>
    <sheet name="InvalidTotalSummaryMixedGroups" sheetId="32" r:id="rId1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19" l="1"/>
  <c r="G2" i="119"/>
  <c r="F2" i="119"/>
  <c r="L2" i="119" s="1"/>
  <c r="F2" i="118"/>
  <c r="F2" i="117"/>
  <c r="H2" i="117" s="1"/>
  <c r="F4" i="116"/>
  <c r="L4" i="116"/>
  <c r="K4" i="116"/>
  <c r="J4" i="116"/>
  <c r="I4" i="116"/>
  <c r="J3" i="116"/>
  <c r="H3" i="116"/>
  <c r="G3" i="116"/>
  <c r="L3" i="116" s="1"/>
  <c r="F3" i="116"/>
  <c r="J2" i="116"/>
  <c r="F2" i="116"/>
  <c r="G2" i="116" s="1"/>
  <c r="G4" i="116" s="1"/>
  <c r="L4" i="115"/>
  <c r="F4" i="115"/>
  <c r="K4" i="115"/>
  <c r="I4" i="115"/>
  <c r="J3" i="115"/>
  <c r="F3" i="115"/>
  <c r="H3" i="115" s="1"/>
  <c r="J2" i="115"/>
  <c r="J4" i="115" s="1"/>
  <c r="G2" i="115"/>
  <c r="F2" i="115"/>
  <c r="F5" i="114"/>
  <c r="F5" i="112"/>
  <c r="I5" i="112"/>
  <c r="F5" i="113"/>
  <c r="F5" i="111"/>
  <c r="H5" i="111"/>
  <c r="F5" i="110"/>
  <c r="F5" i="109"/>
  <c r="K5" i="114"/>
  <c r="J5" i="114"/>
  <c r="I5" i="114"/>
  <c r="H4" i="114"/>
  <c r="F4" i="114"/>
  <c r="G4" i="114" s="1"/>
  <c r="L4" i="114" s="1"/>
  <c r="F3" i="114"/>
  <c r="H2" i="114"/>
  <c r="F2" i="114"/>
  <c r="G2" i="114" s="1"/>
  <c r="J5" i="113"/>
  <c r="I5" i="113"/>
  <c r="H4" i="113"/>
  <c r="F4" i="113"/>
  <c r="G4" i="113" s="1"/>
  <c r="L4" i="113" s="1"/>
  <c r="F3" i="113"/>
  <c r="H2" i="113"/>
  <c r="F2" i="113"/>
  <c r="G2" i="113" s="1"/>
  <c r="H5" i="112"/>
  <c r="K5" i="112"/>
  <c r="H4" i="112"/>
  <c r="F4" i="112"/>
  <c r="G4" i="112" s="1"/>
  <c r="L4" i="112" s="1"/>
  <c r="F3" i="112"/>
  <c r="H2" i="112"/>
  <c r="F2" i="112"/>
  <c r="G2" i="112" s="1"/>
  <c r="K5" i="111"/>
  <c r="J5" i="111"/>
  <c r="F4" i="111"/>
  <c r="F3" i="111"/>
  <c r="F2" i="111"/>
  <c r="G5" i="110"/>
  <c r="G3" i="110"/>
  <c r="G4" i="110"/>
  <c r="K5" i="110"/>
  <c r="J5" i="110"/>
  <c r="I5" i="110"/>
  <c r="L4" i="110"/>
  <c r="H4" i="110"/>
  <c r="F4" i="110"/>
  <c r="F3" i="110"/>
  <c r="L2" i="110"/>
  <c r="H2" i="110"/>
  <c r="G2" i="110"/>
  <c r="F2" i="110"/>
  <c r="K5" i="109"/>
  <c r="J5" i="109"/>
  <c r="I5" i="109"/>
  <c r="H4" i="109"/>
  <c r="G4" i="109"/>
  <c r="L4" i="109" s="1"/>
  <c r="F4" i="109"/>
  <c r="F3" i="109"/>
  <c r="H2" i="109"/>
  <c r="G2" i="109"/>
  <c r="L2" i="109" s="1"/>
  <c r="F2" i="109"/>
  <c r="K5" i="108"/>
  <c r="J5" i="108"/>
  <c r="I5" i="108"/>
  <c r="H4" i="108"/>
  <c r="G4" i="108"/>
  <c r="F4" i="108"/>
  <c r="L4" i="108" s="1"/>
  <c r="F3" i="108"/>
  <c r="G3" i="108" s="1"/>
  <c r="H2" i="108"/>
  <c r="G2" i="108"/>
  <c r="L2" i="108" s="1"/>
  <c r="F2" i="108"/>
  <c r="G2" i="118" l="1"/>
  <c r="L2" i="118" s="1"/>
  <c r="H2" i="118"/>
  <c r="G2" i="117"/>
  <c r="L2" i="117" s="1"/>
  <c r="H2" i="116"/>
  <c r="H4" i="116" s="1"/>
  <c r="H2" i="115"/>
  <c r="H4" i="115" s="1"/>
  <c r="G3" i="115"/>
  <c r="L3" i="115" s="1"/>
  <c r="L2" i="114"/>
  <c r="H3" i="114"/>
  <c r="H5" i="114" s="1"/>
  <c r="G3" i="114"/>
  <c r="L3" i="114" s="1"/>
  <c r="L2" i="113"/>
  <c r="H3" i="113"/>
  <c r="H5" i="113" s="1"/>
  <c r="G3" i="113"/>
  <c r="G5" i="113" s="1"/>
  <c r="L2" i="112"/>
  <c r="H3" i="112"/>
  <c r="G3" i="112"/>
  <c r="L3" i="112" s="1"/>
  <c r="G4" i="111"/>
  <c r="L4" i="111" s="1"/>
  <c r="H2" i="111"/>
  <c r="G2" i="111"/>
  <c r="G5" i="111" s="1"/>
  <c r="H4" i="111"/>
  <c r="G3" i="111"/>
  <c r="L3" i="111" s="1"/>
  <c r="H3" i="111"/>
  <c r="L3" i="110"/>
  <c r="L5" i="110" s="1"/>
  <c r="H3" i="110"/>
  <c r="H3" i="109"/>
  <c r="H5" i="109" s="1"/>
  <c r="G3" i="109"/>
  <c r="L3" i="109" s="1"/>
  <c r="L5" i="109" s="1"/>
  <c r="G5" i="108"/>
  <c r="H3" i="108"/>
  <c r="H5" i="108" s="1"/>
  <c r="L3" i="108"/>
  <c r="L5" i="108" s="1"/>
  <c r="L2" i="116" l="1"/>
  <c r="L2" i="115"/>
  <c r="G4" i="115"/>
  <c r="G5" i="114"/>
  <c r="L3" i="113"/>
  <c r="L5" i="113"/>
  <c r="G5" i="112"/>
  <c r="L5" i="112"/>
  <c r="L2" i="111"/>
  <c r="L5" i="111" s="1"/>
  <c r="F5" i="103" l="1"/>
  <c r="F5" i="104"/>
  <c r="F5" i="105"/>
  <c r="F5" i="106"/>
  <c r="F5" i="107"/>
  <c r="K5" i="107"/>
  <c r="J5" i="107"/>
  <c r="I5" i="107"/>
  <c r="F4" i="107"/>
  <c r="G4" i="107" s="1"/>
  <c r="F3" i="107"/>
  <c r="F2" i="107"/>
  <c r="K5" i="106"/>
  <c r="I5" i="106"/>
  <c r="H4" i="106"/>
  <c r="F4" i="106"/>
  <c r="G4" i="106" s="1"/>
  <c r="L4" i="106" s="1"/>
  <c r="F3" i="106"/>
  <c r="H2" i="106"/>
  <c r="F2" i="106"/>
  <c r="G2" i="106" s="1"/>
  <c r="K5" i="105"/>
  <c r="J5" i="105"/>
  <c r="H4" i="105"/>
  <c r="F4" i="105"/>
  <c r="G4" i="105" s="1"/>
  <c r="L4" i="105" s="1"/>
  <c r="F3" i="105"/>
  <c r="H2" i="105"/>
  <c r="F2" i="105"/>
  <c r="G2" i="105" s="1"/>
  <c r="K5" i="104"/>
  <c r="J5" i="104"/>
  <c r="I5" i="104"/>
  <c r="H4" i="104"/>
  <c r="F4" i="104"/>
  <c r="G4" i="104" s="1"/>
  <c r="L4" i="104" s="1"/>
  <c r="F3" i="104"/>
  <c r="H3" i="104" s="1"/>
  <c r="H2" i="104"/>
  <c r="F2" i="104"/>
  <c r="G2" i="104" s="1"/>
  <c r="K5" i="103"/>
  <c r="J5" i="103"/>
  <c r="I5" i="103"/>
  <c r="F4" i="103"/>
  <c r="H3" i="103"/>
  <c r="F3" i="103"/>
  <c r="G3" i="103" s="1"/>
  <c r="L3" i="103" s="1"/>
  <c r="F2" i="103"/>
  <c r="G2" i="107" l="1"/>
  <c r="H2" i="107"/>
  <c r="H4" i="107"/>
  <c r="L4" i="107" s="1"/>
  <c r="G3" i="107"/>
  <c r="L3" i="107" s="1"/>
  <c r="H3" i="107"/>
  <c r="G5" i="106"/>
  <c r="L2" i="106"/>
  <c r="H3" i="106"/>
  <c r="H5" i="106" s="1"/>
  <c r="G3" i="106"/>
  <c r="L3" i="106" s="1"/>
  <c r="L3" i="105"/>
  <c r="G5" i="105"/>
  <c r="L2" i="105"/>
  <c r="G3" i="105"/>
  <c r="H3" i="105"/>
  <c r="H5" i="105" s="1"/>
  <c r="L2" i="104"/>
  <c r="L5" i="104" s="1"/>
  <c r="G5" i="104"/>
  <c r="G3" i="104"/>
  <c r="L3" i="104"/>
  <c r="L2" i="103"/>
  <c r="G2" i="103"/>
  <c r="G4" i="103"/>
  <c r="H2" i="103"/>
  <c r="H4" i="103"/>
  <c r="L4" i="103" s="1"/>
  <c r="K5" i="102"/>
  <c r="J5" i="102"/>
  <c r="I5" i="102"/>
  <c r="H4" i="102"/>
  <c r="L4" i="102" s="1"/>
  <c r="G4" i="102"/>
  <c r="F4" i="102"/>
  <c r="F3" i="102"/>
  <c r="G3" i="102" s="1"/>
  <c r="F2" i="102"/>
  <c r="G2" i="102" s="1"/>
  <c r="G5" i="102" s="1"/>
  <c r="F2" i="101"/>
  <c r="F2" i="100"/>
  <c r="F2" i="99"/>
  <c r="F2" i="98"/>
  <c r="F2" i="97"/>
  <c r="F2" i="96"/>
  <c r="F2" i="95"/>
  <c r="F2" i="94"/>
  <c r="F2" i="93"/>
  <c r="F2" i="92"/>
  <c r="F2" i="91"/>
  <c r="F2" i="90"/>
  <c r="F2" i="89"/>
  <c r="F2" i="88"/>
  <c r="F2" i="87"/>
  <c r="F2" i="86"/>
  <c r="H2" i="85"/>
  <c r="F2" i="85"/>
  <c r="F2" i="84"/>
  <c r="F2" i="83"/>
  <c r="L2" i="82"/>
  <c r="H2" i="82"/>
  <c r="G2" i="82"/>
  <c r="F2" i="82"/>
  <c r="L2" i="78"/>
  <c r="L2" i="80"/>
  <c r="G2" i="81"/>
  <c r="F2" i="81"/>
  <c r="F2" i="80"/>
  <c r="G2" i="80" s="1"/>
  <c r="F2" i="79"/>
  <c r="F2" i="78"/>
  <c r="H2" i="78" s="1"/>
  <c r="F2" i="76"/>
  <c r="H2" i="76" s="1"/>
  <c r="F2" i="75"/>
  <c r="G2" i="75" s="1"/>
  <c r="F2" i="74"/>
  <c r="H2" i="74" s="1"/>
  <c r="F2" i="73"/>
  <c r="H2" i="73" s="1"/>
  <c r="F2" i="72"/>
  <c r="H2" i="72" s="1"/>
  <c r="H2" i="71"/>
  <c r="F2" i="71"/>
  <c r="G2" i="71" s="1"/>
  <c r="H2" i="70"/>
  <c r="G2" i="70"/>
  <c r="F2" i="70"/>
  <c r="F2" i="69"/>
  <c r="G2" i="69" s="1"/>
  <c r="F2" i="68"/>
  <c r="F2" i="67"/>
  <c r="H2" i="67" s="1"/>
  <c r="F2" i="66"/>
  <c r="H2" i="66" s="1"/>
  <c r="H2" i="65"/>
  <c r="F2" i="65"/>
  <c r="G2" i="65" s="1"/>
  <c r="L2" i="65" s="1"/>
  <c r="H2" i="64"/>
  <c r="F2" i="64"/>
  <c r="G2" i="64" s="1"/>
  <c r="L2" i="64" s="1"/>
  <c r="F2" i="63"/>
  <c r="H2" i="63" s="1"/>
  <c r="H2" i="62"/>
  <c r="F2" i="62"/>
  <c r="G2" i="62" s="1"/>
  <c r="L2" i="62" s="1"/>
  <c r="H2" i="61"/>
  <c r="F2" i="61"/>
  <c r="G2" i="61" s="1"/>
  <c r="L2" i="61" s="1"/>
  <c r="H2" i="60"/>
  <c r="F2" i="60"/>
  <c r="G2" i="60" s="1"/>
  <c r="L2" i="60" s="1"/>
  <c r="H2" i="59"/>
  <c r="F2" i="59"/>
  <c r="F2" i="58"/>
  <c r="G2" i="58" s="1"/>
  <c r="L2" i="58" s="1"/>
  <c r="G2" i="57"/>
  <c r="F2" i="57"/>
  <c r="H5" i="107" l="1"/>
  <c r="G5" i="107"/>
  <c r="L2" i="107"/>
  <c r="L5" i="106"/>
  <c r="L5" i="105"/>
  <c r="L5" i="103"/>
  <c r="H5" i="103"/>
  <c r="H2" i="102"/>
  <c r="L2" i="102"/>
  <c r="H3" i="102"/>
  <c r="L3" i="102"/>
  <c r="G2" i="101"/>
  <c r="L2" i="101" s="1"/>
  <c r="H2" i="101"/>
  <c r="G2" i="100"/>
  <c r="L2" i="100" s="1"/>
  <c r="H2" i="100"/>
  <c r="G2" i="99"/>
  <c r="L2" i="99" s="1"/>
  <c r="H2" i="99"/>
  <c r="G2" i="98"/>
  <c r="L2" i="98" s="1"/>
  <c r="H2" i="98"/>
  <c r="L2" i="97"/>
  <c r="G2" i="97"/>
  <c r="H2" i="97"/>
  <c r="G2" i="96"/>
  <c r="L2" i="96" s="1"/>
  <c r="H2" i="96"/>
  <c r="G2" i="95"/>
  <c r="L2" i="95" s="1"/>
  <c r="H2" i="95"/>
  <c r="G2" i="94"/>
  <c r="H2" i="94"/>
  <c r="L2" i="94" s="1"/>
  <c r="G2" i="93"/>
  <c r="L2" i="93" s="1"/>
  <c r="H2" i="93"/>
  <c r="G2" i="92"/>
  <c r="L2" i="92" s="1"/>
  <c r="H2" i="92"/>
  <c r="G2" i="91"/>
  <c r="L2" i="91" s="1"/>
  <c r="H2" i="91"/>
  <c r="G2" i="90"/>
  <c r="H2" i="90"/>
  <c r="L2" i="90" s="1"/>
  <c r="L2" i="89"/>
  <c r="G2" i="89"/>
  <c r="H2" i="89"/>
  <c r="G2" i="88"/>
  <c r="L2" i="88" s="1"/>
  <c r="H2" i="88"/>
  <c r="L2" i="87"/>
  <c r="G2" i="87"/>
  <c r="H2" i="87"/>
  <c r="G2" i="86"/>
  <c r="L2" i="86" s="1"/>
  <c r="H2" i="86"/>
  <c r="G2" i="85"/>
  <c r="L2" i="85" s="1"/>
  <c r="G2" i="84"/>
  <c r="L2" i="84" s="1"/>
  <c r="H2" i="84"/>
  <c r="G2" i="83"/>
  <c r="L2" i="83" s="1"/>
  <c r="H2" i="83"/>
  <c r="H2" i="81"/>
  <c r="L2" i="81" s="1"/>
  <c r="H2" i="80"/>
  <c r="G2" i="79"/>
  <c r="L2" i="79" s="1"/>
  <c r="H2" i="79"/>
  <c r="G2" i="78"/>
  <c r="G2" i="76"/>
  <c r="L2" i="76" s="1"/>
  <c r="L2" i="75"/>
  <c r="H2" i="75"/>
  <c r="G2" i="74"/>
  <c r="L2" i="74" s="1"/>
  <c r="L2" i="73"/>
  <c r="G2" i="73"/>
  <c r="G2" i="72"/>
  <c r="L2" i="72" s="1"/>
  <c r="H2" i="69"/>
  <c r="L2" i="69"/>
  <c r="G2" i="68"/>
  <c r="L2" i="68" s="1"/>
  <c r="H2" i="68"/>
  <c r="G2" i="67"/>
  <c r="L2" i="67" s="1"/>
  <c r="G2" i="66"/>
  <c r="L2" i="66"/>
  <c r="G2" i="63"/>
  <c r="L2" i="63"/>
  <c r="G2" i="59"/>
  <c r="L2" i="59" s="1"/>
  <c r="L2" i="57"/>
  <c r="G2" i="56"/>
  <c r="F2" i="56"/>
  <c r="F2" i="55"/>
  <c r="F2" i="54"/>
  <c r="F2" i="53"/>
  <c r="H2" i="53" s="1"/>
  <c r="G2" i="53"/>
  <c r="G2" i="52"/>
  <c r="G2" i="51"/>
  <c r="F2" i="50"/>
  <c r="F2" i="49"/>
  <c r="F2" i="48"/>
  <c r="G2" i="48" s="1"/>
  <c r="F2" i="47"/>
  <c r="H2" i="47" s="1"/>
  <c r="F2" i="46"/>
  <c r="G2" i="46" s="1"/>
  <c r="F2" i="45"/>
  <c r="F2" i="44"/>
  <c r="G2" i="44" s="1"/>
  <c r="F2" i="43"/>
  <c r="H2" i="43" s="1"/>
  <c r="L2" i="42"/>
  <c r="H2" i="42"/>
  <c r="G2" i="42"/>
  <c r="F2" i="42"/>
  <c r="F2" i="41"/>
  <c r="H2" i="40"/>
  <c r="F2" i="40"/>
  <c r="G2" i="40" s="1"/>
  <c r="F2" i="39"/>
  <c r="G2" i="39" s="1"/>
  <c r="H2" i="38"/>
  <c r="F2" i="38"/>
  <c r="G2" i="38" s="1"/>
  <c r="L2" i="38" s="1"/>
  <c r="F2" i="37"/>
  <c r="G2" i="37" s="1"/>
  <c r="F2" i="36"/>
  <c r="F2" i="35"/>
  <c r="G2" i="35"/>
  <c r="H2" i="35"/>
  <c r="L2" i="35"/>
  <c r="F13" i="12"/>
  <c r="F11" i="12"/>
  <c r="K9" i="12"/>
  <c r="J9" i="12"/>
  <c r="I9" i="12"/>
  <c r="F8" i="12"/>
  <c r="H8" i="12" s="1"/>
  <c r="F7" i="12"/>
  <c r="K5" i="12"/>
  <c r="J5" i="12"/>
  <c r="I5" i="12"/>
  <c r="H4" i="12"/>
  <c r="F4" i="12"/>
  <c r="G4" i="12" s="1"/>
  <c r="L4" i="12" s="1"/>
  <c r="F3" i="12"/>
  <c r="G3" i="12" s="1"/>
  <c r="H2" i="12"/>
  <c r="F2" i="12"/>
  <c r="G2" i="12" s="1"/>
  <c r="H13" i="34"/>
  <c r="F13" i="34"/>
  <c r="F11" i="34"/>
  <c r="G11" i="34" s="1"/>
  <c r="K9" i="34"/>
  <c r="J9" i="34"/>
  <c r="I9" i="34"/>
  <c r="L8" i="34"/>
  <c r="H8" i="34"/>
  <c r="G8" i="34"/>
  <c r="F8" i="34"/>
  <c r="F7" i="34"/>
  <c r="H7" i="34" s="1"/>
  <c r="H9" i="34" s="1"/>
  <c r="K5" i="34"/>
  <c r="J5" i="34"/>
  <c r="I5" i="34"/>
  <c r="H4" i="34"/>
  <c r="F4" i="34"/>
  <c r="G4" i="34" s="1"/>
  <c r="L4" i="34" s="1"/>
  <c r="F3" i="34"/>
  <c r="H2" i="34"/>
  <c r="F2" i="34"/>
  <c r="G2" i="34" s="1"/>
  <c r="L3" i="14"/>
  <c r="L4" i="14"/>
  <c r="L2" i="14"/>
  <c r="L11" i="7"/>
  <c r="L6" i="10"/>
  <c r="L4" i="10"/>
  <c r="L2" i="10"/>
  <c r="H3" i="14"/>
  <c r="H4" i="14"/>
  <c r="H2" i="14"/>
  <c r="G3" i="14"/>
  <c r="G4" i="14"/>
  <c r="G2" i="14"/>
  <c r="H6" i="10"/>
  <c r="H4" i="10"/>
  <c r="H2" i="10"/>
  <c r="G6" i="10"/>
  <c r="G4" i="10"/>
  <c r="G2" i="10"/>
  <c r="K12" i="33"/>
  <c r="K11" i="33"/>
  <c r="N10" i="33"/>
  <c r="N11" i="33" s="1"/>
  <c r="N12" i="33" s="1"/>
  <c r="K10" i="33"/>
  <c r="N9" i="33"/>
  <c r="L9" i="33"/>
  <c r="L10" i="33" s="1"/>
  <c r="L11" i="33" s="1"/>
  <c r="L12" i="33" s="1"/>
  <c r="O12" i="33" s="1"/>
  <c r="K9" i="33"/>
  <c r="J5" i="33"/>
  <c r="I5" i="33"/>
  <c r="F5" i="33"/>
  <c r="H4" i="33"/>
  <c r="G4" i="33"/>
  <c r="F4" i="33"/>
  <c r="H3" i="33"/>
  <c r="G3" i="33"/>
  <c r="F3" i="33"/>
  <c r="H2" i="33"/>
  <c r="H5" i="33" s="1"/>
  <c r="F2" i="33"/>
  <c r="G2" i="33" s="1"/>
  <c r="F4" i="32"/>
  <c r="L4" i="31"/>
  <c r="K4" i="32"/>
  <c r="I4" i="32"/>
  <c r="J3" i="32"/>
  <c r="F3" i="32"/>
  <c r="H3" i="32" s="1"/>
  <c r="H4" i="32" s="1"/>
  <c r="J2" i="32"/>
  <c r="J4" i="32" s="1"/>
  <c r="H2" i="32"/>
  <c r="G2" i="32"/>
  <c r="L2" i="32" s="1"/>
  <c r="F2" i="32"/>
  <c r="L10" i="9"/>
  <c r="L5" i="9"/>
  <c r="F10" i="9"/>
  <c r="F5" i="9"/>
  <c r="L10" i="8"/>
  <c r="L5" i="8"/>
  <c r="F10" i="8"/>
  <c r="F5" i="8"/>
  <c r="L9" i="7"/>
  <c r="L5" i="7"/>
  <c r="F9" i="7"/>
  <c r="F5" i="7"/>
  <c r="L4" i="29"/>
  <c r="F4" i="29"/>
  <c r="L4" i="28"/>
  <c r="F4" i="28"/>
  <c r="L4" i="27"/>
  <c r="F4" i="27"/>
  <c r="L4" i="24"/>
  <c r="F4" i="24"/>
  <c r="L4" i="23"/>
  <c r="F4" i="23"/>
  <c r="L4" i="21"/>
  <c r="F4" i="21"/>
  <c r="L4" i="18"/>
  <c r="F4" i="18"/>
  <c r="L4" i="17"/>
  <c r="F4" i="17"/>
  <c r="L4" i="16"/>
  <c r="F4" i="16"/>
  <c r="L5" i="13"/>
  <c r="F5" i="13"/>
  <c r="H5" i="102" l="1"/>
  <c r="L5" i="102"/>
  <c r="H2" i="56"/>
  <c r="L2" i="56" s="1"/>
  <c r="L2" i="55"/>
  <c r="H2" i="55"/>
  <c r="H2" i="54"/>
  <c r="L2" i="53"/>
  <c r="H2" i="52"/>
  <c r="L2" i="52" s="1"/>
  <c r="H2" i="51"/>
  <c r="L2" i="51"/>
  <c r="G2" i="50"/>
  <c r="L2" i="50" s="1"/>
  <c r="H2" i="50"/>
  <c r="G2" i="49"/>
  <c r="H2" i="49"/>
  <c r="H2" i="48"/>
  <c r="L2" i="48" s="1"/>
  <c r="G2" i="47"/>
  <c r="L2" i="47" s="1"/>
  <c r="H2" i="46"/>
  <c r="L2" i="46" s="1"/>
  <c r="G2" i="45"/>
  <c r="H2" i="45"/>
  <c r="L2" i="45" s="1"/>
  <c r="H2" i="44"/>
  <c r="L2" i="44"/>
  <c r="G2" i="43"/>
  <c r="L2" i="43" s="1"/>
  <c r="G2" i="41"/>
  <c r="L2" i="41" s="1"/>
  <c r="H2" i="41"/>
  <c r="L2" i="40"/>
  <c r="H2" i="39"/>
  <c r="L2" i="39" s="1"/>
  <c r="H2" i="37"/>
  <c r="L2" i="37" s="1"/>
  <c r="H2" i="36"/>
  <c r="G2" i="36"/>
  <c r="L2" i="36" s="1"/>
  <c r="G5" i="12"/>
  <c r="L2" i="12"/>
  <c r="F9" i="12"/>
  <c r="G11" i="12"/>
  <c r="L11" i="12" s="1"/>
  <c r="F5" i="12"/>
  <c r="G7" i="12"/>
  <c r="H11" i="12"/>
  <c r="H3" i="12"/>
  <c r="H5" i="12" s="1"/>
  <c r="L3" i="12"/>
  <c r="G13" i="12"/>
  <c r="L13" i="12" s="1"/>
  <c r="H7" i="12"/>
  <c r="H9" i="12" s="1"/>
  <c r="G8" i="12"/>
  <c r="L8" i="12" s="1"/>
  <c r="H13" i="12"/>
  <c r="L2" i="34"/>
  <c r="L7" i="34"/>
  <c r="L9" i="34" s="1"/>
  <c r="F9" i="34"/>
  <c r="F5" i="34"/>
  <c r="G7" i="34"/>
  <c r="G9" i="34" s="1"/>
  <c r="H11" i="34"/>
  <c r="G3" i="34"/>
  <c r="G5" i="34" s="1"/>
  <c r="L11" i="34"/>
  <c r="H3" i="34"/>
  <c r="H5" i="34" s="1"/>
  <c r="G13" i="34"/>
  <c r="L13" i="34" s="1"/>
  <c r="L2" i="33"/>
  <c r="G5" i="33"/>
  <c r="K4" i="33"/>
  <c r="L4" i="33" s="1"/>
  <c r="K3" i="33"/>
  <c r="K5" i="33" s="1"/>
  <c r="G3" i="32"/>
  <c r="L3" i="32" s="1"/>
  <c r="L4" i="32" s="1"/>
  <c r="L2" i="54" l="1"/>
  <c r="L2" i="49"/>
  <c r="L7" i="12"/>
  <c r="L9" i="12" s="1"/>
  <c r="L5" i="12"/>
  <c r="G9" i="12"/>
  <c r="L3" i="34"/>
  <c r="L5" i="34" s="1"/>
  <c r="L3" i="33"/>
  <c r="L5" i="33" s="1"/>
  <c r="G4" i="32"/>
  <c r="F4" i="31" l="1"/>
  <c r="L3" i="31"/>
  <c r="L2" i="31"/>
  <c r="K4" i="31"/>
  <c r="I4" i="31"/>
  <c r="J3" i="31"/>
  <c r="F3" i="31"/>
  <c r="H3" i="31" s="1"/>
  <c r="J2" i="31"/>
  <c r="F2" i="31"/>
  <c r="J4" i="31" l="1"/>
  <c r="G3" i="31"/>
  <c r="G2" i="31"/>
  <c r="H2" i="31"/>
  <c r="H4" i="31" s="1"/>
  <c r="G4" i="31" l="1"/>
  <c r="K10" i="9" l="1"/>
  <c r="K5" i="9"/>
  <c r="K10" i="8"/>
  <c r="K5" i="8"/>
  <c r="K9" i="7"/>
  <c r="K5" i="7"/>
  <c r="K5" i="15"/>
  <c r="K5" i="14"/>
  <c r="K5" i="13"/>
  <c r="K5" i="30"/>
  <c r="L2" i="30"/>
  <c r="J5" i="30"/>
  <c r="I5" i="30"/>
  <c r="L4" i="30"/>
  <c r="H4" i="30"/>
  <c r="G4" i="30"/>
  <c r="K4" i="30" s="1"/>
  <c r="F4" i="30"/>
  <c r="G3" i="30"/>
  <c r="F3" i="30"/>
  <c r="H2" i="30"/>
  <c r="F2" i="30"/>
  <c r="G2" i="30" s="1"/>
  <c r="J4" i="29"/>
  <c r="I4" i="29"/>
  <c r="K4" i="29"/>
  <c r="J3" i="29"/>
  <c r="G3" i="29"/>
  <c r="F3" i="29"/>
  <c r="H3" i="29" s="1"/>
  <c r="L3" i="29" s="1"/>
  <c r="J2" i="29"/>
  <c r="F2" i="29"/>
  <c r="I4" i="28"/>
  <c r="H4" i="28"/>
  <c r="K4" i="28"/>
  <c r="L3" i="28"/>
  <c r="J3" i="28"/>
  <c r="H3" i="28"/>
  <c r="G3" i="28"/>
  <c r="F3" i="28"/>
  <c r="J2" i="28"/>
  <c r="J4" i="28" s="1"/>
  <c r="G2" i="28"/>
  <c r="G4" i="28" s="1"/>
  <c r="F2" i="28"/>
  <c r="H4" i="27"/>
  <c r="G4" i="27"/>
  <c r="K4" i="27"/>
  <c r="I4" i="27"/>
  <c r="J3" i="27"/>
  <c r="H3" i="27"/>
  <c r="G3" i="27"/>
  <c r="F3" i="27"/>
  <c r="L3" i="27" s="1"/>
  <c r="J2" i="27"/>
  <c r="J4" i="27" s="1"/>
  <c r="F2" i="27"/>
  <c r="H2" i="27" s="1"/>
  <c r="L4" i="26"/>
  <c r="J4" i="26"/>
  <c r="I4" i="26"/>
  <c r="H4" i="26"/>
  <c r="F4" i="26"/>
  <c r="J3" i="26"/>
  <c r="F3" i="26"/>
  <c r="J2" i="26"/>
  <c r="H2" i="26"/>
  <c r="G2" i="26"/>
  <c r="L2" i="26" s="1"/>
  <c r="F2" i="26"/>
  <c r="J3" i="25"/>
  <c r="F3" i="25"/>
  <c r="H3" i="25" s="1"/>
  <c r="J2" i="25"/>
  <c r="F2" i="25"/>
  <c r="G4" i="24"/>
  <c r="L2" i="24"/>
  <c r="K4" i="24"/>
  <c r="I4" i="24"/>
  <c r="J3" i="24"/>
  <c r="H3" i="24"/>
  <c r="G3" i="24"/>
  <c r="F3" i="24"/>
  <c r="L3" i="24" s="1"/>
  <c r="J2" i="24"/>
  <c r="J4" i="24" s="1"/>
  <c r="G2" i="24"/>
  <c r="F2" i="24"/>
  <c r="H2" i="24" s="1"/>
  <c r="H4" i="24" s="1"/>
  <c r="L9" i="9"/>
  <c r="L8" i="9"/>
  <c r="L7" i="9"/>
  <c r="L4" i="9"/>
  <c r="L3" i="9"/>
  <c r="L2" i="9"/>
  <c r="L9" i="8"/>
  <c r="L8" i="8"/>
  <c r="L7" i="8"/>
  <c r="L4" i="8"/>
  <c r="L3" i="8"/>
  <c r="L2" i="8"/>
  <c r="L8" i="7"/>
  <c r="L7" i="7"/>
  <c r="L3" i="7"/>
  <c r="L4" i="7"/>
  <c r="L2" i="7"/>
  <c r="L4" i="13"/>
  <c r="L3" i="13"/>
  <c r="L2" i="13"/>
  <c r="K4" i="23"/>
  <c r="I4" i="23"/>
  <c r="J3" i="23"/>
  <c r="H3" i="23"/>
  <c r="G3" i="23"/>
  <c r="F3" i="23"/>
  <c r="L3" i="23" s="1"/>
  <c r="J2" i="23"/>
  <c r="J4" i="23" s="1"/>
  <c r="F2" i="23"/>
  <c r="L18" i="9"/>
  <c r="L17" i="9"/>
  <c r="L13" i="9"/>
  <c r="L14" i="9"/>
  <c r="L12" i="9"/>
  <c r="L3" i="22"/>
  <c r="L4" i="22"/>
  <c r="J5" i="22"/>
  <c r="I5" i="22"/>
  <c r="F5" i="22"/>
  <c r="F4" i="22"/>
  <c r="H3" i="22"/>
  <c r="G3" i="22"/>
  <c r="K3" i="22" s="1"/>
  <c r="F3" i="22"/>
  <c r="F2" i="22"/>
  <c r="G2" i="22" s="1"/>
  <c r="K4" i="21"/>
  <c r="I4" i="21"/>
  <c r="L3" i="21"/>
  <c r="J3" i="21"/>
  <c r="H3" i="21"/>
  <c r="G3" i="21"/>
  <c r="F3" i="21"/>
  <c r="J2" i="21"/>
  <c r="J4" i="21" s="1"/>
  <c r="H2" i="21"/>
  <c r="H4" i="21" s="1"/>
  <c r="G2" i="21"/>
  <c r="G4" i="21" s="1"/>
  <c r="F2" i="21"/>
  <c r="L2" i="21" s="1"/>
  <c r="K18" i="9"/>
  <c r="H3" i="19"/>
  <c r="H4" i="19"/>
  <c r="K4" i="19" s="1"/>
  <c r="G4" i="19"/>
  <c r="F2" i="19"/>
  <c r="H2" i="19" s="1"/>
  <c r="J5" i="19"/>
  <c r="I5" i="19"/>
  <c r="F4" i="19"/>
  <c r="F3" i="19"/>
  <c r="G3" i="19" s="1"/>
  <c r="H2" i="18"/>
  <c r="K4" i="18"/>
  <c r="I4" i="18"/>
  <c r="J3" i="18"/>
  <c r="H3" i="18"/>
  <c r="H4" i="18" s="1"/>
  <c r="G3" i="18"/>
  <c r="F3" i="18"/>
  <c r="L3" i="18" s="1"/>
  <c r="J4" i="18"/>
  <c r="F2" i="18"/>
  <c r="G2" i="18" s="1"/>
  <c r="G4" i="18" s="1"/>
  <c r="H8" i="8"/>
  <c r="H9" i="8"/>
  <c r="H7" i="8"/>
  <c r="H3" i="8"/>
  <c r="H4" i="8"/>
  <c r="H2" i="8"/>
  <c r="H11" i="7"/>
  <c r="H8" i="7"/>
  <c r="H7" i="7"/>
  <c r="H3" i="7"/>
  <c r="H4" i="7"/>
  <c r="H2" i="7"/>
  <c r="H3" i="13"/>
  <c r="H4" i="13"/>
  <c r="H2" i="13"/>
  <c r="G2" i="17"/>
  <c r="K4" i="17"/>
  <c r="I4" i="17"/>
  <c r="G4" i="17"/>
  <c r="J3" i="17"/>
  <c r="H3" i="17"/>
  <c r="L3" i="17" s="1"/>
  <c r="G3" i="17"/>
  <c r="F3" i="17"/>
  <c r="J2" i="17"/>
  <c r="J4" i="17" s="1"/>
  <c r="F2" i="17"/>
  <c r="H4" i="17" s="1"/>
  <c r="G8" i="8"/>
  <c r="G9" i="8"/>
  <c r="G7" i="8"/>
  <c r="G3" i="8"/>
  <c r="G4" i="8"/>
  <c r="G2" i="8"/>
  <c r="G11" i="7"/>
  <c r="G8" i="7"/>
  <c r="G7" i="7"/>
  <c r="G3" i="7"/>
  <c r="G4" i="7"/>
  <c r="G2" i="7"/>
  <c r="G3" i="13"/>
  <c r="G4" i="13"/>
  <c r="G2" i="13"/>
  <c r="K4" i="16"/>
  <c r="I4" i="16"/>
  <c r="J3" i="16"/>
  <c r="F3" i="16"/>
  <c r="H3" i="16" s="1"/>
  <c r="J2" i="16"/>
  <c r="J4" i="16" s="1"/>
  <c r="F2" i="16"/>
  <c r="G2" i="19" l="1"/>
  <c r="K3" i="19"/>
  <c r="K2" i="30"/>
  <c r="G5" i="30"/>
  <c r="H3" i="30"/>
  <c r="H5" i="30" s="1"/>
  <c r="F5" i="30"/>
  <c r="K3" i="30"/>
  <c r="G2" i="29"/>
  <c r="G4" i="29" s="1"/>
  <c r="H2" i="29"/>
  <c r="H4" i="29" s="1"/>
  <c r="L2" i="29"/>
  <c r="H2" i="28"/>
  <c r="G2" i="27"/>
  <c r="L2" i="27"/>
  <c r="G3" i="26"/>
  <c r="L3" i="26" s="1"/>
  <c r="H3" i="26"/>
  <c r="G3" i="25"/>
  <c r="L3" i="25"/>
  <c r="H2" i="25"/>
  <c r="G2" i="25"/>
  <c r="G2" i="23"/>
  <c r="G4" i="23" s="1"/>
  <c r="H2" i="23"/>
  <c r="H4" i="23" s="1"/>
  <c r="H2" i="22"/>
  <c r="K2" i="22"/>
  <c r="G4" i="22"/>
  <c r="H4" i="22"/>
  <c r="K5" i="19"/>
  <c r="L4" i="19"/>
  <c r="L2" i="19"/>
  <c r="F5" i="19"/>
  <c r="H5" i="19"/>
  <c r="L2" i="18"/>
  <c r="H5" i="7"/>
  <c r="L2" i="17"/>
  <c r="H2" i="16"/>
  <c r="H4" i="16" s="1"/>
  <c r="G3" i="16"/>
  <c r="L3" i="16" s="1"/>
  <c r="L3" i="30" l="1"/>
  <c r="L5" i="30" s="1"/>
  <c r="L2" i="28"/>
  <c r="L2" i="25"/>
  <c r="H5" i="22"/>
  <c r="K4" i="22"/>
  <c r="L5" i="22" s="1"/>
  <c r="G5" i="22"/>
  <c r="G5" i="19"/>
  <c r="L3" i="19"/>
  <c r="L5" i="19" s="1"/>
  <c r="G4" i="16"/>
  <c r="L2" i="16"/>
  <c r="K5" i="22" l="1"/>
  <c r="J5" i="15"/>
  <c r="I5" i="15"/>
  <c r="F4" i="15"/>
  <c r="H4" i="15" s="1"/>
  <c r="F3" i="15"/>
  <c r="H2" i="15"/>
  <c r="J10" i="8"/>
  <c r="I10" i="8"/>
  <c r="F9" i="8"/>
  <c r="F8" i="8"/>
  <c r="F7" i="8"/>
  <c r="J5" i="8"/>
  <c r="I5" i="8"/>
  <c r="F4" i="8"/>
  <c r="F3" i="8"/>
  <c r="F2" i="8"/>
  <c r="J5" i="14"/>
  <c r="I5" i="14"/>
  <c r="F4" i="14"/>
  <c r="F3" i="14"/>
  <c r="F2" i="14"/>
  <c r="J5" i="13"/>
  <c r="I5" i="13"/>
  <c r="F4" i="13"/>
  <c r="F3" i="13"/>
  <c r="F2" i="13"/>
  <c r="F2" i="10"/>
  <c r="F4" i="10"/>
  <c r="F6" i="10"/>
  <c r="F2" i="9"/>
  <c r="F3" i="9"/>
  <c r="F4" i="9"/>
  <c r="I5" i="9"/>
  <c r="J5" i="9"/>
  <c r="F7" i="9"/>
  <c r="F8" i="9"/>
  <c r="F9" i="9"/>
  <c r="I10" i="9"/>
  <c r="J10" i="9"/>
  <c r="F12" i="9"/>
  <c r="F13" i="9"/>
  <c r="F14" i="9"/>
  <c r="I15" i="9"/>
  <c r="J15" i="9"/>
  <c r="F17" i="9"/>
  <c r="F18" i="9"/>
  <c r="F19" i="9"/>
  <c r="I19" i="9"/>
  <c r="J19" i="9"/>
  <c r="F2" i="7"/>
  <c r="F3" i="7"/>
  <c r="F4" i="7"/>
  <c r="I5" i="7"/>
  <c r="J5" i="7"/>
  <c r="F7" i="7"/>
  <c r="F8" i="7"/>
  <c r="I9" i="7"/>
  <c r="J9" i="7"/>
  <c r="F11" i="7"/>
  <c r="F13" i="7"/>
  <c r="H13" i="7" l="1"/>
  <c r="G13" i="7"/>
  <c r="L13" i="7" s="1"/>
  <c r="G12" i="9"/>
  <c r="H12" i="9"/>
  <c r="K12" i="9"/>
  <c r="H13" i="9"/>
  <c r="G13" i="9"/>
  <c r="G8" i="9"/>
  <c r="H8" i="9"/>
  <c r="G4" i="9"/>
  <c r="H4" i="9"/>
  <c r="G3" i="9"/>
  <c r="H3" i="9"/>
  <c r="H5" i="9" s="1"/>
  <c r="H2" i="9"/>
  <c r="G2" i="9"/>
  <c r="G5" i="9" s="1"/>
  <c r="H9" i="9"/>
  <c r="G9" i="9"/>
  <c r="H7" i="9"/>
  <c r="G7" i="9"/>
  <c r="G18" i="9"/>
  <c r="H18" i="9"/>
  <c r="G17" i="9"/>
  <c r="H17" i="9"/>
  <c r="K17" i="9" s="1"/>
  <c r="K19" i="9" s="1"/>
  <c r="H14" i="9"/>
  <c r="G14" i="9"/>
  <c r="G4" i="15"/>
  <c r="L4" i="15" s="1"/>
  <c r="F5" i="15"/>
  <c r="G3" i="15"/>
  <c r="L3" i="15" s="1"/>
  <c r="H3" i="15"/>
  <c r="H5" i="15" s="1"/>
  <c r="G2" i="15"/>
  <c r="G9" i="7"/>
  <c r="H10" i="8"/>
  <c r="F5" i="14"/>
  <c r="H5" i="13"/>
  <c r="H19" i="9"/>
  <c r="F15" i="9"/>
  <c r="H9" i="7"/>
  <c r="F2" i="2"/>
  <c r="G10" i="9" l="1"/>
  <c r="K13" i="9"/>
  <c r="K14" i="9"/>
  <c r="G15" i="9"/>
  <c r="L2" i="15"/>
  <c r="L5" i="15" s="1"/>
  <c r="G5" i="15"/>
  <c r="G5" i="7"/>
  <c r="G5" i="8"/>
  <c r="G10" i="8"/>
  <c r="H5" i="8"/>
  <c r="H5" i="14"/>
  <c r="L5" i="14"/>
  <c r="G5" i="14"/>
  <c r="G5" i="13"/>
  <c r="H10" i="9"/>
  <c r="G19" i="9"/>
  <c r="L19" i="9"/>
  <c r="H15" i="9"/>
  <c r="H2" i="2"/>
  <c r="G2" i="2"/>
  <c r="L15" i="9" l="1"/>
  <c r="K15" i="9"/>
  <c r="L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Avell</author>
  </authors>
  <commentList>
    <comment ref="K2" authorId="0" shapeId="0" xr:uid="{6F3110C4-1405-4638-8B6C-6C5B4E20B248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  <comment ref="K4" authorId="0" shapeId="0" xr:uid="{1C2F5EF2-608C-48D4-BF2E-277E20FC5F8D}">
      <text>
        <r>
          <rPr>
            <b/>
            <sz val="9"/>
            <color indexed="81"/>
            <rFont val="Segoe UI"/>
            <family val="2"/>
          </rPr>
          <t>Avell:</t>
        </r>
        <r>
          <rPr>
            <sz val="9"/>
            <color indexed="81"/>
            <rFont val="Segoe UI"/>
            <family val="2"/>
          </rPr>
          <t xml:space="preserve">
Encontrado no extrato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Diego Cardoso</author>
  </authors>
  <commentList>
    <comment ref="K2" authorId="0" shapeId="0" xr:uid="{D2A4F95B-CDBE-432B-B036-B0291D562E73}">
      <text>
        <r>
          <rPr>
            <sz val="9"/>
            <color indexed="81"/>
            <rFont val="Tahoma"/>
            <family val="2"/>
          </rPr>
          <t>=((F2 - G2 - H2 - I2 - J2) - (O12 * D2)) * 0,005%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Andrei Diego Cardoso</author>
  </authors>
  <commentList>
    <comment ref="K2" authorId="0" shapeId="0" xr:uid="{A816318B-6C6C-417A-82FC-56C33FF54C9F}">
      <text>
        <r>
          <rPr>
            <sz val="9"/>
            <color indexed="81"/>
            <rFont val="Tahoma"/>
            <family val="2"/>
          </rPr>
          <t>=((F2 - G2 - H2 - I2 - J2) - (O12 * D2)) * 0,005%</t>
        </r>
      </text>
    </comment>
  </commentList>
</comments>
</file>

<file path=xl/sharedStrings.xml><?xml version="1.0" encoding="utf-8"?>
<sst xmlns="http://schemas.openxmlformats.org/spreadsheetml/2006/main" count="1551" uniqueCount="43">
  <si>
    <t>BBAS3</t>
  </si>
  <si>
    <t>PETR4</t>
  </si>
  <si>
    <t>GGBR4</t>
  </si>
  <si>
    <t>ITSA4</t>
  </si>
  <si>
    <t>VALE5</t>
  </si>
  <si>
    <t>KLBN4</t>
  </si>
  <si>
    <t>RDCD3</t>
  </si>
  <si>
    <t>ARCZ6</t>
  </si>
  <si>
    <t>VCPA4</t>
  </si>
  <si>
    <t>Total</t>
  </si>
  <si>
    <t>IRRF</t>
  </si>
  <si>
    <t>ISS</t>
  </si>
  <si>
    <t>Corretagem</t>
  </si>
  <si>
    <t>Emolumentos</t>
  </si>
  <si>
    <t>Taxa de Liquidação</t>
  </si>
  <si>
    <t>Volume</t>
  </si>
  <si>
    <t>Preço</t>
  </si>
  <si>
    <t>Qtde</t>
  </si>
  <si>
    <t>Papel</t>
  </si>
  <si>
    <t>Nota</t>
  </si>
  <si>
    <t>Data Pregão</t>
  </si>
  <si>
    <t>AZUL4</t>
  </si>
  <si>
    <t>EMBR3</t>
  </si>
  <si>
    <t>SLCE3</t>
  </si>
  <si>
    <t>RAIL3</t>
  </si>
  <si>
    <t>I662</t>
  </si>
  <si>
    <t>l00</t>
  </si>
  <si>
    <t>R$ l5,34</t>
  </si>
  <si>
    <t>R$ l534,00</t>
  </si>
  <si>
    <t>R$ O,42</t>
  </si>
  <si>
    <t>R$ O,11</t>
  </si>
  <si>
    <t>R$ l5,99</t>
  </si>
  <si>
    <t>R$ O,8O</t>
  </si>
  <si>
    <t>R$ O,OO</t>
  </si>
  <si>
    <t>R$ l551,32</t>
  </si>
  <si>
    <t>O5/11/2008</t>
  </si>
  <si>
    <t>05/13/2008</t>
  </si>
  <si>
    <t>-R$ 9.322,OO</t>
  </si>
  <si>
    <t>R$ 2,S6</t>
  </si>
  <si>
    <t>R$ O,65</t>
  </si>
  <si>
    <t>R$ 4T,97</t>
  </si>
  <si>
    <t>R$ 2,4O</t>
  </si>
  <si>
    <t>-R$ 9.37S,S9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</si>
</sst>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8" fontId="0" fillId="0" borderId="0" xfId="0" applyNumberFormat="1"/>
    <xf numFmtId="0" fontId="0" fillId="2" borderId="0" xfId="0" applyFill="1"/>
    <xf numFmtId="8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8" fontId="2" fillId="0" borderId="0" xfId="0" applyNumberFormat="1" applyFont="1"/>
    <xf numFmtId="8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8" fontId="4" fillId="0" borderId="0" xfId="0" applyNumberFormat="1" applyFont="1"/>
    <xf numFmtId="0" fontId="5" fillId="0" borderId="0" xfId="0" applyFont="1"/>
    <xf numFmtId="8" fontId="5" fillId="0" borderId="0" xfId="0" applyNumberFormat="1" applyFont="1"/>
    <xf numFmtId="14" fontId="0" fillId="0" borderId="0" xfId="0" applyNumberFormat="1"/>
    <xf numFmtId="14" fontId="5" fillId="0" borderId="0" xfId="0" applyNumberFormat="1" applyFont="1"/>
    <xf numFmtId="0" fontId="0" fillId="0" borderId="0" xfId="0"/>
    <xf numFmtId="0" fontId="5" fillId="2" borderId="0" xfId="0" applyFont="1" applyFill="1"/>
    <xf numFmtId="0" fontId="5" fillId="0" borderId="0" xfId="0" applyFont="1"/>
    <xf numFmtId="0" fontId="0" fillId="0" borderId="0" xfId="0"/>
    <xf numFmtId="8" fontId="8" fillId="0" borderId="0" xfId="0" applyNumberFormat="1" applyFont="1"/>
    <xf numFmtId="0" fontId="8" fillId="0" borderId="0" xfId="0" applyFont="1"/>
    <xf numFmtId="0" fontId="3" fillId="0" borderId="0" xfId="0" applyNumberFormat="1" applyFont="1"/>
    <xf numFmtId="164" fontId="5" fillId="0" borderId="0" xfId="0" applyNumberFormat="1" applyFont="1"/>
    <xf numFmtId="8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B250-0980-498E-BE81-900F19EFBBA1}">
  <dimension ref="A1:AC3"/>
  <sheetViews>
    <sheetView workbookViewId="0">
      <pane ySplit="1" topLeftCell="A2" activePane="bottomLeft" state="frozen"/>
      <selection activeCell="Q108" sqref="Q108"/>
      <selection pane="bottomLeft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0.74*(F2/SUM(F2:F2))</f>
        <v>0.74</v>
      </c>
      <c r="H2" s="13">
        <f>2.51*(F2/SUM(F2:F2))</f>
        <v>2.5099999999999998</v>
      </c>
      <c r="I2" s="13">
        <v>15.99</v>
      </c>
      <c r="J2" s="13">
        <v>0.8</v>
      </c>
      <c r="L2" s="13">
        <f>F2+G2+H2+I2</f>
        <v>1553.24</v>
      </c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129C-DE38-4D63-8AAB-D3D0535C8E35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/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2606-9353-4C06-9CF7-E0C1229D1BA7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-39757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51E-4E55-4BDD-8E6C-8655238F2CA6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 t="s">
        <v>35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118D-2210-4102-B7DE-C55C7A286004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 t="s">
        <v>36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B6EC-CCEF-49B4-8315-42E7841BC89B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44BC-44C8-48D1-AD0D-83BB22D5E60B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9">
        <v>1662</v>
      </c>
      <c r="C2" s="9" t="s">
        <v>2</v>
      </c>
      <c r="D2" s="9">
        <v>100</v>
      </c>
      <c r="E2" s="8">
        <v>15.34</v>
      </c>
      <c r="F2" s="8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3BF5-B584-4052-8B56-F935CDD787A0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4C79-E6C9-44CE-9F1A-DAEDD0DC1366}">
  <dimension ref="A1:AC3"/>
  <sheetViews>
    <sheetView workbookViewId="0">
      <pane ySplit="1" topLeftCell="A2" activePane="bottomLeft" state="frozen"/>
      <selection activeCell="Q108" sqref="Q108"/>
      <selection pane="bottomLeft" activeCell="B2" sqref="B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37FC-86A6-42F5-B3CD-F725B4DFF9E2}">
  <dimension ref="A1:AC3"/>
  <sheetViews>
    <sheetView workbookViewId="0">
      <pane ySplit="1" topLeftCell="A2" activePane="bottomLeft" state="frozen"/>
      <selection activeCell="Q108" sqref="Q108"/>
      <selection pane="bottomLeft" activeCell="B2" sqref="B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-1662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F2F8-FD89-4B31-BC92-2C175C3A29E3}">
  <dimension ref="A1:AC3"/>
  <sheetViews>
    <sheetView workbookViewId="0">
      <pane ySplit="1" topLeftCell="A2" activePane="bottomLeft" state="frozen"/>
      <selection activeCell="Q108" sqref="Q108"/>
      <selection pane="bottomLeft" activeCell="B2" sqref="B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 t="s">
        <v>25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1868-72C8-4230-87D6-AB4CCC735441}">
  <dimension ref="A1:AC3"/>
  <sheetViews>
    <sheetView workbookViewId="0">
      <pane ySplit="1" topLeftCell="A2" activePane="bottomLeft" state="frozen"/>
      <selection activeCell="Q108" sqref="Q108"/>
      <selection pane="bottomLeft" activeCell="B2" sqref="B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18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311F-93C3-4C5A-972D-23BA14DAC57B}">
  <dimension ref="A1:AC3"/>
  <sheetViews>
    <sheetView workbookViewId="0">
      <pane ySplit="1" topLeftCell="A2" activePane="bottomLeft" state="frozen"/>
      <selection activeCell="Q108" sqref="Q108"/>
      <selection pane="bottomLeft" activeCell="B2" sqref="B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4">
        <v>1662</v>
      </c>
      <c r="C2" s="9" t="s">
        <v>2</v>
      </c>
      <c r="D2" s="9">
        <v>100</v>
      </c>
      <c r="E2" s="8">
        <v>15.34</v>
      </c>
      <c r="F2" s="8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AE44-BCE4-4219-87E5-5D6DCD46A737}">
  <dimension ref="A1:AC3"/>
  <sheetViews>
    <sheetView workbookViewId="0">
      <pane ySplit="1" topLeftCell="A2" activePane="bottomLeft" state="frozen"/>
      <selection activeCell="Q108" sqref="Q108"/>
      <selection pane="bottomLeft" activeCell="B2" sqref="B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9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E2F6-22BE-4056-9BC8-1D497B09969E}">
  <dimension ref="A1:AC3"/>
  <sheetViews>
    <sheetView workbookViewId="0">
      <pane ySplit="1" topLeftCell="A2" activePane="bottomLeft" state="frozen"/>
      <selection activeCell="Q108" sqref="Q108"/>
      <selection pane="bottomLeft" activeCell="C2" sqref="C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998F-F972-4A55-98C2-51ABEC82B597}">
  <dimension ref="A1:AC3"/>
  <sheetViews>
    <sheetView workbookViewId="0">
      <pane ySplit="1" topLeftCell="A2" activePane="bottomLeft" state="frozen"/>
      <selection activeCell="Q108" sqref="Q108"/>
      <selection pane="bottomLeft" activeCell="C2" sqref="C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18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2717-B485-4BE7-AD9E-9E452570CEBB}">
  <dimension ref="A1:AC3"/>
  <sheetViews>
    <sheetView workbookViewId="0">
      <pane ySplit="1" topLeftCell="A2" activePane="bottomLeft" state="frozen"/>
      <selection activeCell="Q108" sqref="Q108"/>
      <selection pane="bottomLeft" activeCell="C2" sqref="C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9">
        <v>1662</v>
      </c>
      <c r="C2" s="4" t="s">
        <v>2</v>
      </c>
      <c r="D2" s="9">
        <v>100</v>
      </c>
      <c r="E2" s="8">
        <v>15.34</v>
      </c>
      <c r="F2" s="8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6C14-476C-49A3-B877-F18EF892615E}">
  <dimension ref="A1:AC3"/>
  <sheetViews>
    <sheetView workbookViewId="0">
      <pane ySplit="1" topLeftCell="A2" activePane="bottomLeft" state="frozen"/>
      <selection activeCell="Q108" sqref="Q108"/>
      <selection pane="bottomLeft" activeCell="C2" sqref="C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9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2B83-4946-4BE6-BF65-B7005D7A9C90}">
  <dimension ref="A1:AC3"/>
  <sheetViews>
    <sheetView workbookViewId="0">
      <pane ySplit="1" topLeftCell="A2" activePane="bottomLeft" state="frozen"/>
      <selection activeCell="Q108" sqref="Q108"/>
      <selection pane="bottomLeft" activeCell="D2" sqref="D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E2" s="3">
        <v>15.34</v>
      </c>
      <c r="F2" s="3">
        <f>D2*E2</f>
        <v>0</v>
      </c>
      <c r="G2" s="3">
        <f>F2*0.0275%</f>
        <v>0</v>
      </c>
      <c r="H2" s="3">
        <f>F2*0.007%</f>
        <v>0</v>
      </c>
      <c r="I2" s="3">
        <v>15.99</v>
      </c>
      <c r="J2" s="3">
        <v>0.8</v>
      </c>
      <c r="K2" s="3">
        <v>0</v>
      </c>
      <c r="L2" s="3">
        <f>F2+G2+H2+I2+J2</f>
        <v>16.79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0233-E9C7-4B69-BCD8-56729CA32643}">
  <dimension ref="A1:AC3"/>
  <sheetViews>
    <sheetView workbookViewId="0">
      <pane ySplit="1" topLeftCell="A2" activePane="bottomLeft" state="frozen"/>
      <selection activeCell="Q108" sqref="Q108"/>
      <selection pane="bottomLeft" activeCell="D2" sqref="D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-100</v>
      </c>
      <c r="E2" s="3">
        <v>15.34</v>
      </c>
      <c r="F2" s="3">
        <f>D2*E2</f>
        <v>-1534</v>
      </c>
      <c r="G2" s="3">
        <f>F2*0.0275%</f>
        <v>-0.42185</v>
      </c>
      <c r="H2" s="3">
        <f>F2*0.007%</f>
        <v>-0.10738000000000002</v>
      </c>
      <c r="I2" s="3">
        <v>15.99</v>
      </c>
      <c r="J2" s="3">
        <v>0.8</v>
      </c>
      <c r="K2" s="3">
        <v>0</v>
      </c>
      <c r="L2" s="3">
        <f>F2+G2+H2+I2+J2</f>
        <v>-1517.7392299999999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5EB7-321C-4C2E-93B6-FB82C1A7BA88}">
  <dimension ref="A1:AC3"/>
  <sheetViews>
    <sheetView workbookViewId="0">
      <pane ySplit="1" topLeftCell="A2" activePane="bottomLeft" state="frozen"/>
      <selection activeCell="Q108" sqref="Q108"/>
      <selection pane="bottomLeft" activeCell="D2" sqref="D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 t="s">
        <v>26</v>
      </c>
      <c r="E2" s="3">
        <v>15.34</v>
      </c>
      <c r="F2" s="3" t="e">
        <f>D2*E2</f>
        <v>#VALUE!</v>
      </c>
      <c r="G2" s="3" t="e">
        <f>F2*0.0275%</f>
        <v>#VALUE!</v>
      </c>
      <c r="H2" s="3" t="e">
        <f>F2*0.007%</f>
        <v>#VALUE!</v>
      </c>
      <c r="I2" s="3">
        <v>15.99</v>
      </c>
      <c r="J2" s="3">
        <v>0.8</v>
      </c>
      <c r="K2" s="3">
        <v>0</v>
      </c>
      <c r="L2" s="3" t="e">
        <f>F2+G2+H2+I2+J2</f>
        <v>#VALUE!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E2BD-7789-484D-9349-B1B4575C7D73}">
  <dimension ref="A1:AC3"/>
  <sheetViews>
    <sheetView workbookViewId="0">
      <pane ySplit="1" topLeftCell="A2" activePane="bottomLeft" state="frozen"/>
      <selection activeCell="Q108" sqref="Q108"/>
      <selection pane="bottomLeft" activeCell="D2" sqref="D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18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8505-5828-4DB7-8F0F-D3E99594F5FE}">
  <dimension ref="A1:AC3"/>
  <sheetViews>
    <sheetView workbookViewId="0">
      <pane ySplit="1" topLeftCell="A2" activePane="bottomLeft" state="frozen"/>
      <selection activeCell="Q108" sqref="Q108"/>
      <selection pane="bottomLeft" activeCell="D2" sqref="D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9">
        <v>1662</v>
      </c>
      <c r="C2" s="9" t="s">
        <v>2</v>
      </c>
      <c r="D2" s="4">
        <v>100</v>
      </c>
      <c r="E2" s="8">
        <v>15.34</v>
      </c>
      <c r="F2" s="8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A6B1-6211-4465-8C87-4214D717FF82}">
  <dimension ref="A1:AC3"/>
  <sheetViews>
    <sheetView workbookViewId="0">
      <pane ySplit="1" topLeftCell="A2" activePane="bottomLeft" state="frozen"/>
      <selection activeCell="Q108" sqref="Q108"/>
      <selection pane="bottomLeft" activeCell="D2" sqref="D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9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37C1-DC87-4BE0-9B0C-DB97F9056CC1}">
  <dimension ref="A1:AC3"/>
  <sheetViews>
    <sheetView workbookViewId="0">
      <pane ySplit="1" topLeftCell="A2" activePane="bottomLeft" state="frozen"/>
      <selection activeCell="Q108" sqref="Q108"/>
      <selection pane="bottomLeft" activeCell="E2" sqref="E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/>
      <c r="F2" s="3">
        <f>D2*E2</f>
        <v>0</v>
      </c>
      <c r="G2" s="3">
        <f>F2*0.0275%</f>
        <v>0</v>
      </c>
      <c r="H2" s="3">
        <f>F2*0.007%</f>
        <v>0</v>
      </c>
      <c r="I2" s="3">
        <v>15.99</v>
      </c>
      <c r="J2" s="3">
        <v>0.8</v>
      </c>
      <c r="K2" s="3">
        <v>0</v>
      </c>
      <c r="L2" s="3">
        <f>F2+G2+H2+I2+J2</f>
        <v>16.79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533D-F42E-4015-8648-EEB2343B1768}">
  <dimension ref="A1:AC3"/>
  <sheetViews>
    <sheetView workbookViewId="0">
      <pane ySplit="1" topLeftCell="A2" activePane="bottomLeft" state="frozen"/>
      <selection activeCell="Q108" sqref="Q108"/>
      <selection pane="bottomLeft" activeCell="E2" sqref="E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-15.34</v>
      </c>
      <c r="F2" s="3">
        <f>D2*E2</f>
        <v>-1534</v>
      </c>
      <c r="G2" s="3">
        <f>F2*0.0275%</f>
        <v>-0.42185</v>
      </c>
      <c r="H2" s="3">
        <f>F2*0.007%</f>
        <v>-0.10738000000000002</v>
      </c>
      <c r="I2" s="3">
        <v>15.99</v>
      </c>
      <c r="J2" s="3">
        <v>0.8</v>
      </c>
      <c r="K2" s="3">
        <v>0</v>
      </c>
      <c r="L2" s="3">
        <f>F2+G2+H2+I2+J2</f>
        <v>-1517.7392299999999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141B-6275-4BED-906A-014C761C4DEF}">
  <dimension ref="A1:AC3"/>
  <sheetViews>
    <sheetView workbookViewId="0">
      <pane ySplit="1" topLeftCell="A2" activePane="bottomLeft" state="frozen"/>
      <selection activeCell="Q108" sqref="Q108"/>
      <selection pane="bottomLeft" activeCell="E2" sqref="E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 t="s">
        <v>27</v>
      </c>
      <c r="F2" s="3" t="e">
        <f>D2*E2</f>
        <v>#VALUE!</v>
      </c>
      <c r="G2" s="3" t="e">
        <f>F2*0.0275%</f>
        <v>#VALUE!</v>
      </c>
      <c r="H2" s="3" t="e">
        <f>F2*0.007%</f>
        <v>#VALUE!</v>
      </c>
      <c r="I2" s="3">
        <v>15.99</v>
      </c>
      <c r="J2" s="3">
        <v>0.8</v>
      </c>
      <c r="K2" s="3">
        <v>0</v>
      </c>
      <c r="L2" s="3" t="e">
        <f>F2+G2+H2+I2+J2</f>
        <v>#VALUE!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EE6C-614E-4BC3-897D-82A4742A252F}">
  <dimension ref="A1:AC3"/>
  <sheetViews>
    <sheetView workbookViewId="0">
      <pane ySplit="1" topLeftCell="A2" activePane="bottomLeft" state="frozen"/>
      <selection activeCell="Q108" sqref="Q108"/>
      <selection pane="bottomLeft" activeCell="E2" sqref="E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1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F9EE-D379-456F-A9FA-EFDA415BF71E}">
  <dimension ref="A1:AC3"/>
  <sheetViews>
    <sheetView workbookViewId="0">
      <pane ySplit="1" topLeftCell="A2" activePane="bottomLeft" state="frozen"/>
      <selection activeCell="Q108" sqref="Q108"/>
      <selection pane="bottomLeft" activeCell="E2" sqref="E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9">
        <v>1662</v>
      </c>
      <c r="C2" s="9" t="s">
        <v>2</v>
      </c>
      <c r="D2" s="9">
        <v>100</v>
      </c>
      <c r="E2" s="3">
        <v>15.34</v>
      </c>
      <c r="F2" s="8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5950-2B67-4C35-8D15-EBA7BEBDBD8E}">
  <dimension ref="A1:AC3"/>
  <sheetViews>
    <sheetView workbookViewId="0">
      <pane ySplit="1" topLeftCell="A2" activePane="bottomLeft" state="frozen"/>
      <selection activeCell="Q108" sqref="Q108"/>
      <selection pane="bottomLeft" activeCell="E2" sqref="E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8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71A0-8299-4AE5-A539-1A7261885D0B}">
  <dimension ref="A1:AC3"/>
  <sheetViews>
    <sheetView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/>
      <c r="G2" s="3">
        <f>F2*0.0275%</f>
        <v>0</v>
      </c>
      <c r="H2" s="3">
        <f>F2*0.007%</f>
        <v>0</v>
      </c>
      <c r="I2" s="3">
        <v>15.99</v>
      </c>
      <c r="J2" s="3">
        <v>0.8</v>
      </c>
      <c r="K2" s="3">
        <v>0</v>
      </c>
      <c r="L2" s="3">
        <f>F2+G2+H2+I2+J2</f>
        <v>16.79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C9BA-86B8-40AE-90C2-603E8E297B7F}">
  <dimension ref="A1:AC3"/>
  <sheetViews>
    <sheetView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 t="s">
        <v>28</v>
      </c>
      <c r="G2" s="3" t="e">
        <f>F2*0.0275%</f>
        <v>#VALUE!</v>
      </c>
      <c r="H2" s="3" t="e">
        <f>F2*0.007%</f>
        <v>#VALUE!</v>
      </c>
      <c r="I2" s="3">
        <v>15.99</v>
      </c>
      <c r="J2" s="3">
        <v>0.8</v>
      </c>
      <c r="K2" s="3">
        <v>0</v>
      </c>
      <c r="L2" s="3" t="e">
        <f>F2+G2+H2+I2+J2</f>
        <v>#VALUE!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AC63-DF3C-43CE-8E92-7C1226E0D7A9}">
  <dimension ref="A1:AC3"/>
  <sheetViews>
    <sheetView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1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F5DD-D913-4D33-AD52-65A7FCC16ED7}">
  <dimension ref="A1:AC3"/>
  <sheetViews>
    <sheetView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9">
        <v>1662</v>
      </c>
      <c r="C2" s="9" t="s">
        <v>2</v>
      </c>
      <c r="D2" s="9">
        <v>100</v>
      </c>
      <c r="E2" s="8">
        <v>15.34</v>
      </c>
      <c r="F2" s="3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E617-F8F9-40E2-BF63-414E96A68192}">
  <dimension ref="A1:AC3"/>
  <sheetViews>
    <sheetView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8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2C7D-3261-4671-8EE3-920B3510413F}">
  <dimension ref="A1:AC3"/>
  <sheetViews>
    <sheetView workbookViewId="0">
      <pane ySplit="1" topLeftCell="A2" activePane="bottomLeft" state="frozen"/>
      <selection activeCell="Q108" sqref="Q108"/>
      <selection pane="bottomLeft" activeCell="G2" sqref="G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/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1550.8973799999999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457E-1A91-4C5A-BC8E-3364018DE2FB}">
  <dimension ref="A1:AC3"/>
  <sheetViews>
    <sheetView workbookViewId="0">
      <pane ySplit="1" topLeftCell="A2" activePane="bottomLeft" state="frozen"/>
      <selection activeCell="Q108" sqref="Q108"/>
      <selection pane="bottomLeft" activeCell="G2" sqref="G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 t="s">
        <v>29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 t="e">
        <f>F2+G2+H2+I2+J2</f>
        <v>#VALUE!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DA43-0951-4EFC-9199-9D0287AD3DE5}">
  <dimension ref="A1:AC3"/>
  <sheetViews>
    <sheetView workbookViewId="0">
      <pane ySplit="1" topLeftCell="A2" activePane="bottomLeft" state="frozen"/>
      <selection activeCell="Q108" sqref="Q108"/>
      <selection pane="bottomLeft" activeCell="H2" sqref="H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1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8659-34D5-4E5E-A58D-88448C473E7D}">
  <dimension ref="A1:AC3"/>
  <sheetViews>
    <sheetView workbookViewId="0">
      <pane ySplit="1" topLeftCell="A2" activePane="bottomLeft" state="frozen"/>
      <selection activeCell="Q108" sqref="Q108"/>
      <selection pane="bottomLeft" activeCell="G2" sqref="G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9">
        <v>1662</v>
      </c>
      <c r="C2" s="9" t="s">
        <v>2</v>
      </c>
      <c r="D2" s="9">
        <v>100</v>
      </c>
      <c r="E2" s="8">
        <v>15.34</v>
      </c>
      <c r="F2" s="8">
        <f>D2*E2</f>
        <v>1534</v>
      </c>
      <c r="G2" s="3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CDBB-6CC1-45A6-9432-D09BDA7F3CD5}">
  <dimension ref="A1:AC3"/>
  <sheetViews>
    <sheetView workbookViewId="0">
      <pane ySplit="1" topLeftCell="A2" activePane="bottomLeft" state="frozen"/>
      <selection activeCell="Q108" sqref="Q108"/>
      <selection pane="bottomLeft" activeCell="G2" sqref="G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8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5B2E-765A-433A-85C1-2E28C4A22B40}">
  <dimension ref="A1:AC3"/>
  <sheetViews>
    <sheetView workbookViewId="0">
      <pane ySplit="1" topLeftCell="A2" activePane="bottomLeft" state="frozen"/>
      <selection activeCell="Q108" sqref="Q108"/>
      <selection pane="bottomLeft" activeCell="H2" sqref="H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/>
      <c r="I2" s="3">
        <v>15.99</v>
      </c>
      <c r="J2" s="3">
        <v>0.8</v>
      </c>
      <c r="K2" s="3">
        <v>0</v>
      </c>
      <c r="L2" s="3">
        <f>F2+G2+H2+I2+J2</f>
        <v>1551.2118499999999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B8AC-FDF0-4B0D-9073-CBCF2F991990}">
  <dimension ref="A1:AC3"/>
  <sheetViews>
    <sheetView workbookViewId="0">
      <pane ySplit="1" topLeftCell="A2" activePane="bottomLeft" state="frozen"/>
      <selection activeCell="Q108" sqref="Q108"/>
      <selection pane="bottomLeft" activeCell="H2" sqref="H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 t="s">
        <v>30</v>
      </c>
      <c r="I2" s="3">
        <v>15.99</v>
      </c>
      <c r="J2" s="3">
        <v>0.8</v>
      </c>
      <c r="K2" s="3">
        <v>0</v>
      </c>
      <c r="L2" s="3" t="e">
        <f>F2+G2+H2+I2+J2</f>
        <v>#VALUE!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64A9-10EC-4F23-BECC-C34EE44D9B90}">
  <dimension ref="A1:AC3"/>
  <sheetViews>
    <sheetView workbookViewId="0">
      <pane ySplit="1" topLeftCell="A2" activePane="bottomLeft" state="frozen"/>
      <selection activeCell="Q108" sqref="Q108"/>
      <selection pane="bottomLeft" activeCell="H2" sqref="H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1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FC71-185C-48E0-9AD6-48AE0366AFD8}">
  <dimension ref="A1:AC3"/>
  <sheetViews>
    <sheetView workbookViewId="0">
      <pane ySplit="1" topLeftCell="A2" activePane="bottomLeft" state="frozen"/>
      <selection activeCell="Q108" sqref="Q108"/>
      <selection pane="bottomLeft" activeCell="H2" sqref="H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9">
        <v>1662</v>
      </c>
      <c r="C2" s="9" t="s">
        <v>2</v>
      </c>
      <c r="D2" s="9">
        <v>100</v>
      </c>
      <c r="E2" s="8">
        <v>15.34</v>
      </c>
      <c r="F2" s="8">
        <f>D2*E2</f>
        <v>1534</v>
      </c>
      <c r="G2" s="8">
        <f>F2*0.0275%</f>
        <v>0.42185</v>
      </c>
      <c r="H2" s="3">
        <f>F2*0.007%</f>
        <v>0.10738000000000002</v>
      </c>
      <c r="I2" s="8">
        <v>15.99</v>
      </c>
      <c r="J2" s="8">
        <v>0.8</v>
      </c>
      <c r="K2" s="8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BC37-7E1C-4D15-9F05-76F9C6DCF12F}">
  <dimension ref="A1:AC3"/>
  <sheetViews>
    <sheetView workbookViewId="0">
      <pane ySplit="1" topLeftCell="A2" activePane="bottomLeft" state="frozen"/>
      <selection activeCell="Q108" sqref="Q108"/>
      <selection pane="bottomLeft" activeCell="H2" sqref="H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8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6F9F-E3C4-4F49-B71B-9840651A61AE}">
  <dimension ref="A1:AC3"/>
  <sheetViews>
    <sheetView workbookViewId="0">
      <pane ySplit="1" topLeftCell="A2" activePane="bottomLeft" state="frozen"/>
      <selection activeCell="Q108" sqref="Q108"/>
      <selection pane="bottomLeft" activeCell="I2" sqref="I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/>
      <c r="J2" s="3">
        <v>0.8</v>
      </c>
      <c r="K2" s="3">
        <v>0</v>
      </c>
      <c r="L2" s="3">
        <f>F2+G2+H2+I2+J2</f>
        <v>1535.3292299999998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DD26-966C-4D8C-8585-DA65491D9CD5}">
  <dimension ref="A1:AC3"/>
  <sheetViews>
    <sheetView workbookViewId="0">
      <pane ySplit="1" topLeftCell="A2" activePane="bottomLeft" state="frozen"/>
      <selection activeCell="Q108" sqref="Q108"/>
      <selection pane="bottomLeft" activeCell="I2" sqref="I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-15.99</v>
      </c>
      <c r="J2" s="3">
        <v>0.8</v>
      </c>
      <c r="K2" s="3">
        <v>0</v>
      </c>
      <c r="L2" s="3">
        <f>F2+G2+H2+I2+J2</f>
        <v>1519.3392299999998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46C5-964C-4B07-8026-D8D356EB6060}">
  <dimension ref="A1:AC3"/>
  <sheetViews>
    <sheetView workbookViewId="0">
      <pane ySplit="1" topLeftCell="A2" activePane="bottomLeft" state="frozen"/>
      <selection activeCell="Q108" sqref="Q108"/>
      <selection pane="bottomLeft" activeCell="I2" sqref="I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 t="s">
        <v>31</v>
      </c>
      <c r="J2" s="3">
        <v>0.8</v>
      </c>
      <c r="K2" s="3">
        <v>0</v>
      </c>
      <c r="L2" s="3" t="e">
        <f>F2+G2+H2+I2+J2</f>
        <v>#VALUE!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C532-D955-4590-8991-FBE270D5ADFD}">
  <dimension ref="A1:AC3"/>
  <sheetViews>
    <sheetView workbookViewId="0">
      <pane ySplit="1" topLeftCell="A2" activePane="bottomLeft" state="frozen"/>
      <selection activeCell="Q108" sqref="Q108"/>
      <selection pane="bottomLeft" activeCell="I2" sqref="I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1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6B0C-019A-40B1-AB31-1F396A45FAD3}">
  <dimension ref="A1:AC3"/>
  <sheetViews>
    <sheetView workbookViewId="0">
      <pane ySplit="1" topLeftCell="A2" activePane="bottomLeft" state="frozen"/>
      <selection activeCell="Q108" sqref="Q108"/>
      <selection pane="bottomLeft" activeCell="I2" sqref="I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9">
        <v>1662</v>
      </c>
      <c r="C2" s="9" t="s">
        <v>2</v>
      </c>
      <c r="D2" s="9">
        <v>100</v>
      </c>
      <c r="E2" s="8">
        <v>15.34</v>
      </c>
      <c r="F2" s="8">
        <f>D2*E2</f>
        <v>1534</v>
      </c>
      <c r="G2" s="8">
        <f>F2*0.0275%</f>
        <v>0.42185</v>
      </c>
      <c r="H2" s="8">
        <f>F2*0.007%</f>
        <v>0.10738000000000002</v>
      </c>
      <c r="I2" s="3">
        <v>15.99</v>
      </c>
      <c r="J2" s="8">
        <v>0.8</v>
      </c>
      <c r="K2" s="8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B6B6-0DFC-459C-BA4A-D2BD7D40EB55}">
  <dimension ref="A1:AC3"/>
  <sheetViews>
    <sheetView workbookViewId="0">
      <pane ySplit="1" topLeftCell="A2" activePane="bottomLeft" state="frozen"/>
      <selection activeCell="Q108" sqref="Q108"/>
      <selection pane="bottomLeft" activeCell="I2" sqref="I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8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02FD-FD9F-4EAC-B259-32708CCA1819}">
  <dimension ref="A1:AC3"/>
  <sheetViews>
    <sheetView workbookViewId="0">
      <pane ySplit="1" topLeftCell="A2" activePane="bottomLeft" state="frozen"/>
      <selection activeCell="Q108" sqref="Q108"/>
      <selection pane="bottomLeft" activeCell="J2" sqref="J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/>
      <c r="K2" s="3">
        <v>0</v>
      </c>
      <c r="L2" s="3">
        <f>F2+G2+H2+I2+J2</f>
        <v>1550.5192299999999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1F28-9B52-4E35-B9B7-6122692E969A}">
  <dimension ref="A1:AC3"/>
  <sheetViews>
    <sheetView workbookViewId="0">
      <pane ySplit="1" topLeftCell="A2" activePane="bottomLeft" state="frozen"/>
      <selection activeCell="Q108" sqref="Q108"/>
      <selection pane="bottomLeft" activeCell="J2" sqref="J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8554687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-0.8</v>
      </c>
      <c r="K2" s="3">
        <v>0</v>
      </c>
      <c r="L2" s="3">
        <f>F2+G2+H2+I2+J2</f>
        <v>1549.7192299999999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B966-3843-4CAE-94F9-E4B2E036761C}">
  <dimension ref="A1:AC3"/>
  <sheetViews>
    <sheetView workbookViewId="0">
      <pane ySplit="1" topLeftCell="A2" activePane="bottomLeft" state="frozen"/>
      <selection activeCell="Q108" sqref="Q108"/>
      <selection pane="bottomLeft" activeCell="J2" sqref="J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8554687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 t="s">
        <v>32</v>
      </c>
      <c r="K2" s="3">
        <v>0</v>
      </c>
      <c r="L2" s="3" t="e">
        <f>F2+G2+H2+I2+J2</f>
        <v>#VALUE!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16EA-7550-4526-9E8A-0FF91AECF9CA}">
  <dimension ref="A1:AC3"/>
  <sheetViews>
    <sheetView workbookViewId="0">
      <pane ySplit="1" topLeftCell="A2" activePane="bottomLeft" state="frozen"/>
      <selection activeCell="Q108" sqref="Q108"/>
      <selection pane="bottomLeft" activeCell="J2" sqref="J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1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35FF-4972-4C13-B563-C0A88D04D895}">
  <dimension ref="A1:AC3"/>
  <sheetViews>
    <sheetView workbookViewId="0">
      <pane ySplit="1" topLeftCell="A2" activePane="bottomLeft" state="frozen"/>
      <selection activeCell="Q108" sqref="Q108"/>
      <selection pane="bottomLeft" activeCell="J2" sqref="J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9">
        <v>1662</v>
      </c>
      <c r="C2" s="9" t="s">
        <v>2</v>
      </c>
      <c r="D2" s="9">
        <v>100</v>
      </c>
      <c r="E2" s="8">
        <v>15.34</v>
      </c>
      <c r="F2" s="8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3">
        <v>0.8</v>
      </c>
      <c r="K2" s="8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9BB7-519C-4503-B997-19CFE8A35E90}">
  <dimension ref="A1:AC3"/>
  <sheetViews>
    <sheetView workbookViewId="0">
      <pane ySplit="1" topLeftCell="A2" activePane="bottomLeft" state="frozen"/>
      <selection activeCell="Q108" sqref="Q108"/>
      <selection pane="bottomLeft" activeCell="J2" sqref="J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8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69A3-4A44-4C23-8403-A970F9C1169F}">
  <dimension ref="A1:AC3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8.42578125" style="13" bestFit="1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 t="s">
        <v>33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007A-C8A6-43E6-A3F4-CA7B23565CF6}">
  <dimension ref="A1:AC3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1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77BC-753E-4EA1-B94C-6468F125AB87}">
  <dimension ref="A1:AC3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9">
        <v>1662</v>
      </c>
      <c r="C2" s="9" t="s">
        <v>2</v>
      </c>
      <c r="D2" s="9">
        <v>100</v>
      </c>
      <c r="E2" s="8">
        <v>15.34</v>
      </c>
      <c r="F2" s="8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3">
        <v>0.08</v>
      </c>
      <c r="L2" s="8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DF56-3A30-4040-ADE3-8A35B11A76E2}">
  <dimension ref="A1:AC3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8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E7E6-266F-4B02-8B05-3954E0E2B1A7}">
  <dimension ref="A1:AC3"/>
  <sheetViews>
    <sheetView topLeftCell="B1" workbookViewId="0">
      <pane ySplit="1" topLeftCell="A2" activePane="bottomLeft" state="frozen"/>
      <selection activeCell="Q108" sqref="Q108"/>
      <selection pane="bottomLeft" activeCell="L2" sqref="L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/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41D0-D3CF-4780-9269-5B850E7A0E4B}">
  <dimension ref="A1:AC3"/>
  <sheetViews>
    <sheetView workbookViewId="0">
      <pane ySplit="1" topLeftCell="A2" activePane="bottomLeft" state="frozen"/>
      <selection activeCell="Q108" sqref="Q108"/>
      <selection pane="bottomLeft" activeCell="L2" sqref="L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 t="s">
        <v>34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0A1E-4647-47F7-BBB1-5160850329E6}">
  <dimension ref="A1:AC3"/>
  <sheetViews>
    <sheetView workbookViewId="0">
      <pane ySplit="1" topLeftCell="A2" activePane="bottomLeft" state="frozen"/>
      <selection activeCell="Q108" sqref="Q108"/>
      <selection pane="bottomLeft" activeCell="L2" sqref="L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1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1974-E716-450B-93FB-38A7614D51DC}">
  <dimension ref="A1:AC3"/>
  <sheetViews>
    <sheetView workbookViewId="0">
      <pane ySplit="1" topLeftCell="A2" activePane="bottomLeft" state="frozen"/>
      <selection activeCell="Q108" sqref="Q108"/>
      <selection pane="bottomLeft" activeCell="L2" sqref="L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10">
        <v>39757</v>
      </c>
      <c r="B2" s="9">
        <v>1662</v>
      </c>
      <c r="C2" s="9" t="s">
        <v>2</v>
      </c>
      <c r="D2" s="9">
        <v>100</v>
      </c>
      <c r="E2" s="8">
        <v>15.34</v>
      </c>
      <c r="F2" s="8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>
        <v>0.08</v>
      </c>
      <c r="L2" s="3">
        <f>F2-G2-H2-I2-J2</f>
        <v>1516.6807700000002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8DE8-63A5-4D3E-83E3-B50041D264F6}">
  <dimension ref="A1:AC3"/>
  <sheetViews>
    <sheetView workbookViewId="0">
      <pane ySplit="1" topLeftCell="A2" activePane="bottomLeft" state="frozen"/>
      <selection activeCell="Q108" sqref="Q108"/>
      <selection pane="bottomLeft" activeCell="L2" sqref="L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8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0868-CC93-4EC6-8495-D947BF7DC40A}">
  <dimension ref="A1:AC3"/>
  <sheetViews>
    <sheetView workbookViewId="0">
      <pane ySplit="1" topLeftCell="A2" activePane="bottomLeft" state="frozen"/>
      <selection activeCell="Q108" sqref="Q108"/>
      <selection pane="bottomLeft" activeCell="A2" sqref="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>
        <v>0</v>
      </c>
      <c r="L2" s="8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32E-230B-4094-BFCC-10DDA6566518}">
  <dimension ref="A1:AC3"/>
  <sheetViews>
    <sheetView workbookViewId="0">
      <pane ySplit="1" topLeftCell="A2" activePane="bottomLeft" state="frozen"/>
      <selection activeCell="Q108" sqref="Q108"/>
      <selection pane="bottomLeft" activeCell="A2" activeCellId="2" sqref="L2 C2:J2 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C2" s="4" t="s">
        <v>2</v>
      </c>
      <c r="D2" s="4">
        <v>100</v>
      </c>
      <c r="E2" s="3">
        <v>15.34</v>
      </c>
      <c r="F2" s="3">
        <f>D2*E2</f>
        <v>1534</v>
      </c>
      <c r="G2" s="8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/>
      <c r="L2" s="8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123F-5F70-4F53-8981-261F8E238FD8}">
  <dimension ref="A1:AC3"/>
  <sheetViews>
    <sheetView workbookViewId="0">
      <pane ySplit="1" topLeftCell="A2" activePane="bottomLeft" state="frozen"/>
      <selection activeCell="Q108" sqref="Q108"/>
      <selection pane="bottomLeft" activeCell="H2" activeCellId="1" sqref="A2:E2 H2:L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13">
        <f>D2*E2</f>
        <v>1534</v>
      </c>
      <c r="G2" s="13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>
        <v>0</v>
      </c>
      <c r="L2" s="8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12F6-3B26-4F33-9E38-927D2FBD04F7}">
  <dimension ref="A1:AC3"/>
  <sheetViews>
    <sheetView tabSelected="1" workbookViewId="0">
      <pane ySplit="1" topLeftCell="A2" activePane="bottomLeft" state="frozen"/>
      <selection activeCell="Q108" sqref="Q108"/>
      <selection pane="bottomLeft" activeCell="A2" activeCellId="3" sqref="L2 H2:J2 C2:E2 A2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9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23"/>
    </row>
    <row r="2" spans="1:29" s="4" customFormat="1" x14ac:dyDescent="0.25">
      <c r="A2" s="5">
        <v>39757</v>
      </c>
      <c r="C2" s="4" t="s">
        <v>2</v>
      </c>
      <c r="D2" s="4">
        <v>100</v>
      </c>
      <c r="E2" s="3">
        <v>15.34</v>
      </c>
      <c r="F2" s="13">
        <f>D2*E2</f>
        <v>1534</v>
      </c>
      <c r="G2" s="13">
        <f>F2*0.0275%</f>
        <v>0.42185</v>
      </c>
      <c r="H2" s="8">
        <f>F2*0.007%</f>
        <v>0.10738000000000002</v>
      </c>
      <c r="I2" s="8">
        <v>15.99</v>
      </c>
      <c r="J2" s="8">
        <v>0.8</v>
      </c>
      <c r="K2" s="8"/>
      <c r="L2" s="8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x14ac:dyDescent="0.25">
      <c r="A3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A883-9A7E-4108-9D45-1F2C3681C81B}">
  <dimension ref="A1:AB6"/>
  <sheetViews>
    <sheetView workbookViewId="0">
      <pane ySplit="1" topLeftCell="A2" activePane="bottomLeft" state="frozen"/>
      <selection activeCell="Q108" sqref="Q108"/>
      <selection pane="bottomLeft" activeCell="F5" sqref="F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3"/>
      <c r="G5" s="3">
        <f t="shared" ref="G5:K5" si="3">SUM(G2:G4)</f>
        <v>2.5635500000000002</v>
      </c>
      <c r="H5" s="3">
        <f t="shared" si="3"/>
        <v>0.65254000000000012</v>
      </c>
      <c r="I5" s="3">
        <f t="shared" si="3"/>
        <v>47.97</v>
      </c>
      <c r="J5" s="3">
        <f t="shared" si="3"/>
        <v>2.4000000000000004</v>
      </c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9E35-59DD-4BFE-85ED-FEBCDF6FBC64}">
  <dimension ref="A1:AB6"/>
  <sheetViews>
    <sheetView workbookViewId="0">
      <pane ySplit="1" topLeftCell="A2" activePane="bottomLeft" state="frozen"/>
      <selection activeCell="Q108" sqref="Q108"/>
      <selection pane="bottomLeft" activeCell="F5" sqref="F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24" t="s">
        <v>37</v>
      </c>
      <c r="G5" s="7">
        <f t="shared" ref="G5:K5" si="3">SUM(G2:G4)</f>
        <v>2.5635500000000002</v>
      </c>
      <c r="H5" s="7">
        <f t="shared" si="3"/>
        <v>0.65254000000000012</v>
      </c>
      <c r="I5" s="7">
        <f t="shared" si="3"/>
        <v>47.97</v>
      </c>
      <c r="J5" s="7">
        <f t="shared" si="3"/>
        <v>2.4000000000000004</v>
      </c>
      <c r="K5" s="7">
        <f t="shared" si="3"/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B404-AEE3-4B04-B88F-B1CABD8FD51D}">
  <dimension ref="A1:AB6"/>
  <sheetViews>
    <sheetView workbookViewId="0">
      <pane ySplit="1" topLeftCell="A2" activePane="bottomLeft" state="frozen"/>
      <selection activeCell="Q108" sqref="Q108"/>
      <selection pane="bottomLeft" activeCell="G5" sqref="G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3">
        <f>-SUM(F2:F4)</f>
        <v>-9322</v>
      </c>
      <c r="G5" s="3"/>
      <c r="H5" s="3">
        <f t="shared" ref="H5:K5" si="3">SUM(H2:H4)</f>
        <v>0.65254000000000012</v>
      </c>
      <c r="I5" s="3">
        <f t="shared" si="3"/>
        <v>47.97</v>
      </c>
      <c r="J5" s="3">
        <f t="shared" si="3"/>
        <v>2.4000000000000004</v>
      </c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B412-8036-47C8-B9B4-428201885427}">
  <dimension ref="A1:AB6"/>
  <sheetViews>
    <sheetView workbookViewId="0">
      <pane ySplit="1" topLeftCell="A2" activePane="bottomLeft" state="frozen"/>
      <selection activeCell="Q108" sqref="Q108"/>
      <selection pane="bottomLeft" activeCell="G5" sqref="G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24">
        <f>-SUM(F2:F4)</f>
        <v>-9322</v>
      </c>
      <c r="G5" s="24" t="s">
        <v>38</v>
      </c>
      <c r="H5" s="7">
        <f t="shared" ref="H5:K5" si="3">SUM(H2:H4)</f>
        <v>0.65254000000000012</v>
      </c>
      <c r="I5" s="7">
        <f t="shared" si="3"/>
        <v>47.97</v>
      </c>
      <c r="J5" s="7">
        <f t="shared" si="3"/>
        <v>2.4000000000000004</v>
      </c>
      <c r="K5" s="7">
        <f t="shared" si="3"/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EF9A-E19E-40CF-9C3C-B1CACB28FEA7}">
  <dimension ref="A1:AB6"/>
  <sheetViews>
    <sheetView workbookViewId="0">
      <pane ySplit="1" topLeftCell="A2" activePane="bottomLeft" state="frozen"/>
      <selection activeCell="Q108" sqref="Q108"/>
      <selection pane="bottomLeft" activeCell="H5" sqref="H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3">
        <f>-SUM(F2:F4)</f>
        <v>-9322</v>
      </c>
      <c r="G5" s="3">
        <f t="shared" ref="G5:K5" si="3">SUM(G2:G4)</f>
        <v>2.5635500000000002</v>
      </c>
      <c r="H5" s="3"/>
      <c r="I5" s="3">
        <f t="shared" si="3"/>
        <v>47.97</v>
      </c>
      <c r="J5" s="3">
        <f t="shared" si="3"/>
        <v>2.4000000000000004</v>
      </c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5F14-F556-47C1-ACA4-DAD078A04526}">
  <dimension ref="A1:AB6"/>
  <sheetViews>
    <sheetView workbookViewId="0">
      <pane ySplit="1" topLeftCell="A2" activePane="bottomLeft" state="frozen"/>
      <selection activeCell="Q108" sqref="Q108"/>
      <selection pane="bottomLeft" activeCell="H5" sqref="H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24">
        <f>-SUM(F2:F4)</f>
        <v>-9322</v>
      </c>
      <c r="G5" s="24">
        <f>SUM(G2:G4)</f>
        <v>2.5635500000000002</v>
      </c>
      <c r="H5" s="7" t="s">
        <v>39</v>
      </c>
      <c r="I5" s="7">
        <f t="shared" ref="I5:K5" si="3">SUM(I2:I4)</f>
        <v>47.97</v>
      </c>
      <c r="J5" s="7">
        <f t="shared" si="3"/>
        <v>2.4000000000000004</v>
      </c>
      <c r="K5" s="7">
        <f t="shared" si="3"/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D203-381D-4D06-A58E-4ADF049B6E9F}">
  <dimension ref="A1:AB6"/>
  <sheetViews>
    <sheetView workbookViewId="0">
      <pane ySplit="1" topLeftCell="A2" activePane="bottomLeft" state="frozen"/>
      <selection activeCell="Q108" sqref="Q108"/>
      <selection pane="bottomLeft" activeCell="I5" sqref="I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3">
        <f>-SUM(F2:F4)</f>
        <v>-9322</v>
      </c>
      <c r="G5" s="3">
        <f t="shared" ref="G5:K5" si="3">SUM(G2:G4)</f>
        <v>2.5635500000000002</v>
      </c>
      <c r="H5" s="3">
        <f t="shared" si="3"/>
        <v>0.65254000000000012</v>
      </c>
      <c r="I5" s="3"/>
      <c r="J5" s="3">
        <f t="shared" si="3"/>
        <v>2.4000000000000004</v>
      </c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10EC-00CB-4A3F-9A04-EA11DAB91746}">
  <dimension ref="A1:AB6"/>
  <sheetViews>
    <sheetView workbookViewId="0">
      <pane ySplit="1" topLeftCell="A2" activePane="bottomLeft" state="frozen"/>
      <selection activeCell="Q108" sqref="Q108"/>
      <selection pane="bottomLeft" activeCell="I5" sqref="I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24">
        <f>-SUM(F2:F4)</f>
        <v>-9322</v>
      </c>
      <c r="G5" s="24">
        <f>SUM(G2:G4)</f>
        <v>2.5635500000000002</v>
      </c>
      <c r="H5" s="7">
        <f>SUM(H2:H4)</f>
        <v>0.65254000000000012</v>
      </c>
      <c r="I5" s="7" t="s">
        <v>40</v>
      </c>
      <c r="J5" s="7">
        <f t="shared" ref="J5:K5" si="3">SUM(J2:J4)</f>
        <v>2.4000000000000004</v>
      </c>
      <c r="K5" s="7">
        <f t="shared" si="3"/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1DE1-3469-4693-9849-76B383ECD63D}">
  <dimension ref="A1:AB6"/>
  <sheetViews>
    <sheetView workbookViewId="0">
      <pane ySplit="1" topLeftCell="A2" activePane="bottomLeft" state="frozen"/>
      <selection activeCell="Q108" sqref="Q108"/>
      <selection pane="bottomLeft" activeCell="J5" sqref="J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3">
        <f>-SUM(F2:F4)</f>
        <v>-9322</v>
      </c>
      <c r="G5" s="3">
        <f t="shared" ref="G5:K5" si="3">SUM(G2:G4)</f>
        <v>2.5635500000000002</v>
      </c>
      <c r="H5" s="3">
        <f t="shared" si="3"/>
        <v>0.65254000000000012</v>
      </c>
      <c r="I5" s="3">
        <f t="shared" si="3"/>
        <v>47.97</v>
      </c>
      <c r="J5" s="3"/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EF36-1AF2-4E16-BE2C-A34F986E12D7}">
  <dimension ref="A1:AB6"/>
  <sheetViews>
    <sheetView workbookViewId="0">
      <pane ySplit="1" topLeftCell="A2" activePane="bottomLeft" state="frozen"/>
      <selection activeCell="Q108" sqref="Q108"/>
      <selection pane="bottomLeft" activeCell="J5" sqref="J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24">
        <f>-SUM(F2:F4)</f>
        <v>-9322</v>
      </c>
      <c r="G5" s="24">
        <f>SUM(G2:G4)</f>
        <v>2.5635500000000002</v>
      </c>
      <c r="H5" s="7">
        <f>SUM(H2:H4)</f>
        <v>0.65254000000000012</v>
      </c>
      <c r="I5" s="7">
        <f>SUM(I2:I4)</f>
        <v>47.97</v>
      </c>
      <c r="J5" s="7" t="s">
        <v>41</v>
      </c>
      <c r="K5" s="7">
        <f t="shared" ref="K5" si="3">SUM(K2:K4)</f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9F50-A797-434C-91EA-F28BA63DDC65}">
  <dimension ref="A1:AB6"/>
  <sheetViews>
    <sheetView topLeftCell="B1" workbookViewId="0">
      <pane ySplit="1" topLeftCell="A2" activePane="bottomLeft" state="frozen"/>
      <selection activeCell="Q108" sqref="Q108"/>
      <selection pane="bottomLeft" activeCell="K5" sqref="K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8.42578125" style="13" bestFit="1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24">
        <f>-SUM(F2:F4)</f>
        <v>-9322</v>
      </c>
      <c r="G5" s="24">
        <f>SUM(G2:G4)</f>
        <v>2.5635500000000002</v>
      </c>
      <c r="H5" s="7">
        <f>SUM(H2:H4)</f>
        <v>0.65254000000000012</v>
      </c>
      <c r="I5" s="7">
        <f>SUM(I2:I4)</f>
        <v>47.97</v>
      </c>
      <c r="J5" s="7">
        <f>SUM(J2:J4)</f>
        <v>2.4000000000000004</v>
      </c>
      <c r="K5" s="7" t="s">
        <v>33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6506-C57A-431D-AC44-E9B5C7547693}">
  <dimension ref="A1:AB6"/>
  <sheetViews>
    <sheetView workbookViewId="0">
      <pane ySplit="1" topLeftCell="A2" activePane="bottomLeft" state="frozen"/>
      <selection activeCell="Q108" sqref="Q108"/>
      <selection pane="bottomLeft" activeCell="L5" sqref="L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3">
        <f>-SUM(F2:F4)</f>
        <v>-9322</v>
      </c>
      <c r="G5" s="3">
        <f t="shared" ref="G5:K5" si="3">SUM(G2:G4)</f>
        <v>2.5635500000000002</v>
      </c>
      <c r="H5" s="3">
        <f t="shared" si="3"/>
        <v>0.65254000000000012</v>
      </c>
      <c r="I5" s="3">
        <f t="shared" si="3"/>
        <v>47.97</v>
      </c>
      <c r="J5" s="3">
        <f t="shared" si="3"/>
        <v>2.4000000000000004</v>
      </c>
      <c r="K5" s="3">
        <f t="shared" si="3"/>
        <v>0</v>
      </c>
      <c r="L5" s="3"/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8A49-F37A-4498-8E3D-716B98048555}">
  <dimension ref="A1:AB6"/>
  <sheetViews>
    <sheetView topLeftCell="B1" workbookViewId="0">
      <pane ySplit="1" topLeftCell="A2" activePane="bottomLeft" state="frozen"/>
      <selection activeCell="Q108" sqref="Q108"/>
      <selection pane="bottomLeft" activeCell="L5" sqref="L5"/>
    </sheetView>
  </sheetViews>
  <sheetFormatPr defaultColWidth="9.140625" defaultRowHeight="15" x14ac:dyDescent="0.25"/>
  <cols>
    <col min="1" max="1" width="11.5703125" style="18" bestFit="1" customWidth="1"/>
    <col min="2" max="3" width="9" style="18" bestFit="1" customWidth="1"/>
    <col min="4" max="4" width="10" style="18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8.42578125" style="13" bestFit="1" customWidth="1"/>
    <col min="12" max="12" width="11.7109375" style="13" bestFit="1" customWidth="1"/>
    <col min="13" max="13" width="3.140625" style="17" customWidth="1"/>
    <col min="14" max="14" width="11.5703125" style="18" bestFit="1" customWidth="1"/>
    <col min="15" max="15" width="12.7109375" style="18" bestFit="1" customWidth="1"/>
    <col min="16" max="17" width="9.140625" style="18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8" bestFit="1" customWidth="1"/>
    <col min="30" max="30" width="16.42578125" style="18" bestFit="1" customWidth="1"/>
    <col min="31" max="31" width="12.42578125" style="18" bestFit="1" customWidth="1"/>
    <col min="32" max="16384" width="9.140625" style="18"/>
  </cols>
  <sheetData>
    <row r="1" spans="1:28" x14ac:dyDescent="0.25">
      <c r="A1" s="18" t="s">
        <v>20</v>
      </c>
      <c r="B1" s="18" t="s">
        <v>19</v>
      </c>
      <c r="C1" s="18" t="s">
        <v>18</v>
      </c>
      <c r="D1" s="18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</row>
    <row r="2" spans="1:28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4" customFormat="1" x14ac:dyDescent="0.25">
      <c r="A5" s="5"/>
      <c r="E5" s="3"/>
      <c r="F5" s="24">
        <f>-SUM(F2:F4)</f>
        <v>-9322</v>
      </c>
      <c r="G5" s="24">
        <f>SUM(G2:G4)</f>
        <v>2.5635500000000002</v>
      </c>
      <c r="H5" s="7">
        <f>SUM(H2:H4)</f>
        <v>0.65254000000000012</v>
      </c>
      <c r="I5" s="7">
        <f>SUM(I2:I4)</f>
        <v>47.97</v>
      </c>
      <c r="J5" s="7">
        <f>SUM(J2:J4)</f>
        <v>2.4000000000000004</v>
      </c>
      <c r="K5" s="7">
        <f>SUM(K2:K4)</f>
        <v>0</v>
      </c>
      <c r="L5" s="24" t="s">
        <v>42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8C6E-C61C-4098-8811-20C737B2746F}">
  <dimension ref="A1:AC14"/>
  <sheetViews>
    <sheetView workbookViewId="0">
      <pane ySplit="1" topLeftCell="A2" activePane="bottomLeft" state="frozen"/>
      <selection activeCell="Q108" sqref="Q108"/>
      <selection pane="bottomLeft" activeCell="A2" sqref="A2:A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39758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3">
        <f>-SUM(F2:F4)</f>
        <v>-9322</v>
      </c>
      <c r="G5" s="3">
        <f t="shared" ref="G5:K5" si="3">SUM(G2:G4)</f>
        <v>2.5635500000000002</v>
      </c>
      <c r="H5" s="3">
        <f t="shared" si="3"/>
        <v>0.65254000000000012</v>
      </c>
      <c r="I5" s="3">
        <f t="shared" si="3"/>
        <v>47.97</v>
      </c>
      <c r="J5" s="3">
        <f t="shared" si="3"/>
        <v>2.4000000000000004</v>
      </c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3"/>
      <c r="G6" s="3"/>
      <c r="H6" s="3"/>
      <c r="I6" s="3"/>
      <c r="J6" s="3"/>
      <c r="K6" s="3"/>
      <c r="L6" s="3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0</v>
      </c>
      <c r="D7" s="4">
        <v>100</v>
      </c>
      <c r="E7" s="3">
        <v>15.2</v>
      </c>
      <c r="F7" s="3">
        <f>D7*E7</f>
        <v>1520</v>
      </c>
      <c r="G7" s="3">
        <f>F7*0.0275%</f>
        <v>0.41800000000000004</v>
      </c>
      <c r="H7" s="3">
        <f>F7*0.007%</f>
        <v>0.10640000000000001</v>
      </c>
      <c r="I7" s="3">
        <v>15.99</v>
      </c>
      <c r="J7" s="3">
        <v>0.8</v>
      </c>
      <c r="K7" s="3">
        <v>0</v>
      </c>
      <c r="L7" s="3">
        <f>F7+G7+H7+I7+J7</f>
        <v>1537.3143999999998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3</v>
      </c>
      <c r="D8" s="4">
        <v>100</v>
      </c>
      <c r="E8" s="3">
        <v>7.69</v>
      </c>
      <c r="F8" s="3">
        <f>D8*E8</f>
        <v>769</v>
      </c>
      <c r="G8" s="3">
        <f>F8*0.0275%</f>
        <v>0.21147500000000002</v>
      </c>
      <c r="H8" s="3">
        <f>F8*0.007%</f>
        <v>5.3830000000000003E-2</v>
      </c>
      <c r="I8" s="3">
        <v>15.99</v>
      </c>
      <c r="J8" s="3">
        <v>0.8</v>
      </c>
      <c r="K8" s="3">
        <v>0</v>
      </c>
      <c r="L8" s="3">
        <f>F8+G8+H8+I8+J8</f>
        <v>786.05530499999986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/>
      <c r="E9" s="3"/>
      <c r="F9" s="3">
        <f>-SUM(F7:F8)</f>
        <v>-2289</v>
      </c>
      <c r="G9" s="3">
        <f t="shared" ref="G9:K9" si="4">SUM(G7:G8)</f>
        <v>0.62947500000000001</v>
      </c>
      <c r="H9" s="3">
        <f t="shared" si="4"/>
        <v>0.16023000000000001</v>
      </c>
      <c r="I9" s="3">
        <f t="shared" si="4"/>
        <v>31.98</v>
      </c>
      <c r="J9" s="3">
        <f t="shared" si="4"/>
        <v>1.6</v>
      </c>
      <c r="K9" s="3">
        <f t="shared" si="4"/>
        <v>0</v>
      </c>
      <c r="L9" s="3">
        <f>-SUM(L7:L8)</f>
        <v>-2323.3697049999996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x14ac:dyDescent="0.25">
      <c r="A10" s="15"/>
    </row>
    <row r="11" spans="1:29" s="9" customFormat="1" x14ac:dyDescent="0.25">
      <c r="A11" s="10">
        <v>39849</v>
      </c>
      <c r="B11" s="9">
        <v>1319</v>
      </c>
      <c r="C11" s="9" t="s">
        <v>4</v>
      </c>
      <c r="D11" s="9">
        <v>100</v>
      </c>
      <c r="E11" s="8">
        <v>31.5</v>
      </c>
      <c r="F11" s="8">
        <f>D11*E11</f>
        <v>3150</v>
      </c>
      <c r="G11" s="8">
        <f>F11*0.0275%</f>
        <v>0.86625000000000008</v>
      </c>
      <c r="H11" s="8">
        <f>F11*0.007%</f>
        <v>0.22050000000000003</v>
      </c>
      <c r="I11" s="8">
        <v>15.99</v>
      </c>
      <c r="J11" s="8">
        <v>0.8</v>
      </c>
      <c r="K11" s="8">
        <v>0</v>
      </c>
      <c r="L11" s="8">
        <f>F11-G11-H11-I11-J11</f>
        <v>3132.1232500000001</v>
      </c>
      <c r="M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x14ac:dyDescent="0.25">
      <c r="A12" s="15"/>
    </row>
    <row r="13" spans="1:29" s="9" customFormat="1" x14ac:dyDescent="0.25">
      <c r="A13" s="10">
        <v>39853</v>
      </c>
      <c r="B13" s="9">
        <v>1362</v>
      </c>
      <c r="C13" s="9" t="s">
        <v>4</v>
      </c>
      <c r="D13" s="9">
        <v>100</v>
      </c>
      <c r="E13" s="8">
        <v>31.5</v>
      </c>
      <c r="F13" s="8">
        <f>D13*E13</f>
        <v>3150</v>
      </c>
      <c r="G13" s="8">
        <f>F13*0.0275%</f>
        <v>0.86625000000000008</v>
      </c>
      <c r="H13" s="8">
        <f>F13*0.007%</f>
        <v>0.22050000000000003</v>
      </c>
      <c r="I13" s="8">
        <v>15.99</v>
      </c>
      <c r="J13" s="8">
        <v>0.8</v>
      </c>
      <c r="K13" s="8">
        <v>0</v>
      </c>
      <c r="L13" s="8">
        <f>F13-G13-H13-I13-J13</f>
        <v>3132.1232500000001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07D2-9E80-482F-8923-3F644E2641BF}">
  <dimension ref="A1:AC14"/>
  <sheetViews>
    <sheetView workbookViewId="0">
      <pane ySplit="1" topLeftCell="A2" activePane="bottomLeft" state="frozen"/>
      <selection activeCell="Q108" sqref="Q108"/>
      <selection pane="bottomLeft" activeCell="B2" sqref="B2:B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1663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3">
        <f>-SUM(F2:F4)</f>
        <v>-9322</v>
      </c>
      <c r="G5" s="3">
        <f t="shared" ref="G5:K5" si="3">SUM(G2:G4)</f>
        <v>2.5635500000000002</v>
      </c>
      <c r="H5" s="3">
        <f t="shared" si="3"/>
        <v>0.65254000000000012</v>
      </c>
      <c r="I5" s="3">
        <f t="shared" si="3"/>
        <v>47.97</v>
      </c>
      <c r="J5" s="3">
        <f t="shared" si="3"/>
        <v>2.4000000000000004</v>
      </c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3"/>
      <c r="G6" s="3"/>
      <c r="H6" s="3"/>
      <c r="I6" s="3"/>
      <c r="J6" s="3"/>
      <c r="K6" s="3"/>
      <c r="L6" s="3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0</v>
      </c>
      <c r="D7" s="4">
        <v>100</v>
      </c>
      <c r="E7" s="3">
        <v>15.2</v>
      </c>
      <c r="F7" s="3">
        <f>D7*E7</f>
        <v>1520</v>
      </c>
      <c r="G7" s="3">
        <f>F7*0.0275%</f>
        <v>0.41800000000000004</v>
      </c>
      <c r="H7" s="3">
        <f>F7*0.007%</f>
        <v>0.10640000000000001</v>
      </c>
      <c r="I7" s="3">
        <v>15.99</v>
      </c>
      <c r="J7" s="3">
        <v>0.8</v>
      </c>
      <c r="K7" s="3">
        <v>0</v>
      </c>
      <c r="L7" s="3">
        <f>F7+G7+H7+I7+J7</f>
        <v>1537.3143999999998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3</v>
      </c>
      <c r="D8" s="4">
        <v>100</v>
      </c>
      <c r="E8" s="3">
        <v>7.69</v>
      </c>
      <c r="F8" s="3">
        <f>D8*E8</f>
        <v>769</v>
      </c>
      <c r="G8" s="3">
        <f>F8*0.0275%</f>
        <v>0.21147500000000002</v>
      </c>
      <c r="H8" s="3">
        <f>F8*0.007%</f>
        <v>5.3830000000000003E-2</v>
      </c>
      <c r="I8" s="3">
        <v>15.99</v>
      </c>
      <c r="J8" s="3">
        <v>0.8</v>
      </c>
      <c r="K8" s="3">
        <v>0</v>
      </c>
      <c r="L8" s="3">
        <f>F8+G8+H8+I8+J8</f>
        <v>786.05530499999986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/>
      <c r="E9" s="3"/>
      <c r="F9" s="3">
        <f>-SUM(F7:F8)</f>
        <v>-2289</v>
      </c>
      <c r="G9" s="3">
        <f t="shared" ref="G9:K9" si="4">SUM(G7:G8)</f>
        <v>0.62947500000000001</v>
      </c>
      <c r="H9" s="3">
        <f t="shared" si="4"/>
        <v>0.16023000000000001</v>
      </c>
      <c r="I9" s="3">
        <f t="shared" si="4"/>
        <v>31.98</v>
      </c>
      <c r="J9" s="3">
        <f t="shared" si="4"/>
        <v>1.6</v>
      </c>
      <c r="K9" s="3">
        <f t="shared" si="4"/>
        <v>0</v>
      </c>
      <c r="L9" s="3">
        <f>-SUM(L7:L8)</f>
        <v>-2323.3697049999996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x14ac:dyDescent="0.25">
      <c r="A10" s="15"/>
    </row>
    <row r="11" spans="1:29" s="9" customFormat="1" x14ac:dyDescent="0.25">
      <c r="A11" s="10">
        <v>39849</v>
      </c>
      <c r="B11" s="9">
        <v>1319</v>
      </c>
      <c r="C11" s="9" t="s">
        <v>4</v>
      </c>
      <c r="D11" s="9">
        <v>100</v>
      </c>
      <c r="E11" s="8">
        <v>31.5</v>
      </c>
      <c r="F11" s="8">
        <f>D11*E11</f>
        <v>3150</v>
      </c>
      <c r="G11" s="8">
        <f>F11*0.0275%</f>
        <v>0.86625000000000008</v>
      </c>
      <c r="H11" s="8">
        <f>F11*0.007%</f>
        <v>0.22050000000000003</v>
      </c>
      <c r="I11" s="8">
        <v>15.99</v>
      </c>
      <c r="J11" s="8">
        <v>0.8</v>
      </c>
      <c r="K11" s="8">
        <v>0</v>
      </c>
      <c r="L11" s="8">
        <f>F11-G11-H11-I11-J11</f>
        <v>3132.1232500000001</v>
      </c>
      <c r="M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x14ac:dyDescent="0.25">
      <c r="A12" s="15"/>
    </row>
    <row r="13" spans="1:29" s="9" customFormat="1" x14ac:dyDescent="0.25">
      <c r="A13" s="10">
        <v>39853</v>
      </c>
      <c r="B13" s="9">
        <v>1362</v>
      </c>
      <c r="C13" s="9" t="s">
        <v>4</v>
      </c>
      <c r="D13" s="9">
        <v>100</v>
      </c>
      <c r="E13" s="8">
        <v>31.5</v>
      </c>
      <c r="F13" s="8">
        <f>D13*E13</f>
        <v>3150</v>
      </c>
      <c r="G13" s="8">
        <f>F13*0.0275%</f>
        <v>0.86625000000000008</v>
      </c>
      <c r="H13" s="8">
        <f>F13*0.007%</f>
        <v>0.22050000000000003</v>
      </c>
      <c r="I13" s="8">
        <v>15.99</v>
      </c>
      <c r="J13" s="8">
        <v>0.8</v>
      </c>
      <c r="K13" s="8">
        <v>0</v>
      </c>
      <c r="L13" s="8">
        <f>F13-G13-H13-I13-J13</f>
        <v>3132.1232500000001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D22B-36B9-402D-A19C-031FF2332945}">
  <dimension ref="A1:AC3"/>
  <sheetViews>
    <sheetView workbookViewId="0">
      <pane ySplit="1" topLeftCell="A2" activePane="bottomLeft" state="frozen"/>
      <selection activeCell="Q108" sqref="Q108"/>
      <selection pane="bottomLeft" activeCell="A2" sqref="A2:XFD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/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/>
      <c r="L3" s="3">
        <f>F3+G3+H3+I3+J3</f>
        <v>11605.599349999999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9CBF-C87A-40BF-91B5-CE83CDC20ECE}">
  <dimension ref="A1:AC4"/>
  <sheetViews>
    <sheetView workbookViewId="0">
      <pane ySplit="1" topLeftCell="A2" activePane="bottomLeft" state="frozen"/>
      <selection activeCell="Q108" sqref="Q108"/>
      <selection pane="bottomLeft" activeCell="G4" sqref="G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/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/>
      <c r="L3" s="3">
        <f>F3+G3+H3+I3+J3</f>
        <v>11605.599349999999</v>
      </c>
    </row>
    <row r="4" spans="1:29" x14ac:dyDescent="0.25">
      <c r="F4" s="7">
        <f>SUM(F1:F3)</f>
        <v>22600</v>
      </c>
      <c r="G4" s="7">
        <v>5.65</v>
      </c>
      <c r="H4" s="7">
        <f>SUM(H1:H3)</f>
        <v>1.1300000000000001</v>
      </c>
      <c r="I4" s="7">
        <f>SUM(I1:I3)</f>
        <v>3.98</v>
      </c>
      <c r="J4" s="7">
        <f>SUM(J1:J3)</f>
        <v>0.25869999999999999</v>
      </c>
      <c r="K4" s="7"/>
      <c r="L4" s="7">
        <f>SUM(L1:L3)</f>
        <v>22611.018699999997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B7C-DF07-4187-ADF0-23E50C2BA287}">
  <dimension ref="A1:AC7"/>
  <sheetViews>
    <sheetView workbookViewId="0">
      <pane ySplit="1" topLeftCell="A2" activePane="bottomLeft" state="frozen"/>
      <selection activeCell="Q108" sqref="Q108"/>
      <selection pane="bottomLeft" activeCell="B3" sqref="B3"/>
    </sheetView>
  </sheetViews>
  <sheetFormatPr defaultColWidth="9.140625" defaultRowHeight="15" x14ac:dyDescent="0.25"/>
  <cols>
    <col min="1" max="1" width="11.5703125" style="12" bestFit="1" customWidth="1"/>
    <col min="2" max="2" width="5.28515625" style="12" bestFit="1" customWidth="1"/>
    <col min="3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22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>F4+G4+H4+I4+J4</f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-SUM(F2:F4)</f>
        <v>-9322</v>
      </c>
      <c r="G5" s="7">
        <f t="shared" ref="G5:K5" si="2">SUM(G2:G4)</f>
        <v>2.5635500000000002</v>
      </c>
      <c r="H5" s="7">
        <f t="shared" si="2"/>
        <v>0.65254000000000012</v>
      </c>
      <c r="I5" s="7">
        <f t="shared" si="2"/>
        <v>47.97</v>
      </c>
      <c r="J5" s="7">
        <f t="shared" si="2"/>
        <v>2.4000000000000004</v>
      </c>
      <c r="K5" s="7">
        <f t="shared" si="2"/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x14ac:dyDescent="0.25">
      <c r="A6" s="15"/>
    </row>
    <row r="7" spans="1:29" x14ac:dyDescent="0.25">
      <c r="A7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0A3F-FFB0-437C-B726-EA72E0B69675}">
  <dimension ref="A1:AC7"/>
  <sheetViews>
    <sheetView workbookViewId="0">
      <pane ySplit="1" topLeftCell="A2" activePane="bottomLeft" state="frozen"/>
      <selection activeCell="Q108" sqref="Q108"/>
      <selection pane="bottomLeft" activeCell="A2" sqref="A2:XFD2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x14ac:dyDescent="0.25">
      <c r="A2" s="15">
        <v>39757</v>
      </c>
      <c r="B2" s="12">
        <v>1662</v>
      </c>
      <c r="C2" s="12" t="s">
        <v>2</v>
      </c>
      <c r="D2" s="12">
        <v>100</v>
      </c>
      <c r="E2" s="13">
        <v>15.34</v>
      </c>
      <c r="F2" s="13">
        <f>D2*E2</f>
        <v>1534</v>
      </c>
      <c r="G2" s="13">
        <f>F2*0.0275%</f>
        <v>0.42185</v>
      </c>
      <c r="H2" s="13">
        <f>F2*0.007%</f>
        <v>0.10738000000000002</v>
      </c>
      <c r="I2" s="13">
        <v>15.99</v>
      </c>
      <c r="J2" s="13">
        <v>0.8</v>
      </c>
      <c r="K2" s="13">
        <v>0</v>
      </c>
      <c r="L2" s="13">
        <f>F2+G2+H2+I2+J2</f>
        <v>1551.3192299999998</v>
      </c>
    </row>
    <row r="3" spans="1:29" x14ac:dyDescent="0.25">
      <c r="A3" s="15">
        <v>39757</v>
      </c>
      <c r="B3" s="12">
        <v>1662</v>
      </c>
      <c r="C3" s="12" t="s">
        <v>1</v>
      </c>
      <c r="D3" s="12">
        <v>200</v>
      </c>
      <c r="E3" s="13">
        <v>25.19</v>
      </c>
      <c r="F3" s="13">
        <f>D3*E3</f>
        <v>5038</v>
      </c>
      <c r="G3" s="13">
        <f t="shared" ref="G3:G4" si="0">F3*0.0275%</f>
        <v>1.3854500000000001</v>
      </c>
      <c r="H3" s="13">
        <f t="shared" ref="H3:H4" si="1">F3*0.007%</f>
        <v>0.35266000000000003</v>
      </c>
      <c r="I3" s="13">
        <v>15.99</v>
      </c>
      <c r="J3" s="13">
        <v>0.8</v>
      </c>
      <c r="K3" s="13">
        <v>0</v>
      </c>
      <c r="L3" s="13">
        <f t="shared" ref="L3:L4" si="2">F3+G3+H3+I3+J3</f>
        <v>5056.5281099999993</v>
      </c>
    </row>
    <row r="4" spans="1:29" x14ac:dyDescent="0.25">
      <c r="A4" s="15">
        <v>39757</v>
      </c>
      <c r="B4" s="12">
        <v>1662</v>
      </c>
      <c r="C4" s="12" t="s">
        <v>4</v>
      </c>
      <c r="D4" s="12">
        <v>100</v>
      </c>
      <c r="E4" s="13">
        <v>27.5</v>
      </c>
      <c r="F4" s="13">
        <f>D4*E4</f>
        <v>2750</v>
      </c>
      <c r="G4" s="13">
        <f t="shared" si="0"/>
        <v>0.75625000000000009</v>
      </c>
      <c r="H4" s="13">
        <f t="shared" si="1"/>
        <v>0.19250000000000003</v>
      </c>
      <c r="I4" s="13">
        <v>15.99</v>
      </c>
      <c r="J4" s="13">
        <v>0.8</v>
      </c>
      <c r="K4" s="13">
        <v>0</v>
      </c>
      <c r="L4" s="13">
        <f t="shared" si="2"/>
        <v>2767.73875</v>
      </c>
    </row>
    <row r="5" spans="1:29" x14ac:dyDescent="0.25">
      <c r="A5" s="15"/>
      <c r="F5" s="13">
        <f t="shared" ref="F5:L5" si="3">SUM(F2:F4)</f>
        <v>9322</v>
      </c>
      <c r="G5" s="13">
        <f t="shared" si="3"/>
        <v>2.5635500000000002</v>
      </c>
      <c r="H5" s="13">
        <f t="shared" si="3"/>
        <v>0.65254000000000012</v>
      </c>
      <c r="I5" s="13">
        <f t="shared" si="3"/>
        <v>47.97</v>
      </c>
      <c r="J5" s="13">
        <f t="shared" si="3"/>
        <v>2.4000000000000004</v>
      </c>
      <c r="K5" s="13">
        <f t="shared" si="3"/>
        <v>0</v>
      </c>
      <c r="L5" s="13">
        <f t="shared" si="3"/>
        <v>9375.5860899999989</v>
      </c>
    </row>
    <row r="6" spans="1:29" x14ac:dyDescent="0.25">
      <c r="A6" s="15"/>
    </row>
    <row r="7" spans="1:29" x14ac:dyDescent="0.25">
      <c r="A7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2574-DA99-472C-9CA5-5D547CFEDE2C}">
  <dimension ref="A1:AC14"/>
  <sheetViews>
    <sheetView workbookViewId="0">
      <pane ySplit="1" topLeftCell="A2" activePane="bottomLeft" state="frozen"/>
      <selection activeCell="Q108" sqref="Q108"/>
      <selection pane="bottomLeft" activeCell="A2" sqref="A2:B13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 t="shared" ref="L3:L4" si="2"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 t="shared" si="2"/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3">
        <f>-SUM(F2:F4)</f>
        <v>-9322</v>
      </c>
      <c r="G5" s="3">
        <f t="shared" ref="G5:K5" si="3">SUM(G2:G4)</f>
        <v>2.5635500000000002</v>
      </c>
      <c r="H5" s="3">
        <f t="shared" si="3"/>
        <v>0.65254000000000012</v>
      </c>
      <c r="I5" s="3">
        <f t="shared" si="3"/>
        <v>47.97</v>
      </c>
      <c r="J5" s="3">
        <f t="shared" si="3"/>
        <v>2.4000000000000004</v>
      </c>
      <c r="K5" s="3">
        <f t="shared" si="3"/>
        <v>0</v>
      </c>
      <c r="L5" s="3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3"/>
      <c r="G6" s="3"/>
      <c r="H6" s="3"/>
      <c r="I6" s="3"/>
      <c r="J6" s="3"/>
      <c r="K6" s="3"/>
      <c r="L6" s="3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0</v>
      </c>
      <c r="D7" s="4">
        <v>100</v>
      </c>
      <c r="E7" s="3">
        <v>15.2</v>
      </c>
      <c r="F7" s="3">
        <f>D7*E7</f>
        <v>1520</v>
      </c>
      <c r="G7" s="3">
        <f>F7*0.0275%</f>
        <v>0.41800000000000004</v>
      </c>
      <c r="H7" s="3">
        <f>F7*0.007%</f>
        <v>0.10640000000000001</v>
      </c>
      <c r="I7" s="3">
        <v>15.99</v>
      </c>
      <c r="J7" s="3">
        <v>0.8</v>
      </c>
      <c r="K7" s="3">
        <v>0</v>
      </c>
      <c r="L7" s="3">
        <f>F7+G7+H7+I7+J7</f>
        <v>1537.3143999999998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3</v>
      </c>
      <c r="D8" s="4">
        <v>100</v>
      </c>
      <c r="E8" s="3">
        <v>7.69</v>
      </c>
      <c r="F8" s="3">
        <f>D8*E8</f>
        <v>769</v>
      </c>
      <c r="G8" s="3">
        <f>F8*0.0275%</f>
        <v>0.21147500000000002</v>
      </c>
      <c r="H8" s="3">
        <f>F8*0.007%</f>
        <v>5.3830000000000003E-2</v>
      </c>
      <c r="I8" s="3">
        <v>15.99</v>
      </c>
      <c r="J8" s="3">
        <v>0.8</v>
      </c>
      <c r="K8" s="3">
        <v>0</v>
      </c>
      <c r="L8" s="3">
        <f>F8+G8+H8+I8+J8</f>
        <v>786.05530499999986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/>
      <c r="E9" s="3"/>
      <c r="F9" s="3">
        <f>-SUM(F7:F8)</f>
        <v>-2289</v>
      </c>
      <c r="G9" s="3">
        <f t="shared" ref="G9:K9" si="4">SUM(G7:G8)</f>
        <v>0.62947500000000001</v>
      </c>
      <c r="H9" s="3">
        <f t="shared" si="4"/>
        <v>0.16023000000000001</v>
      </c>
      <c r="I9" s="3">
        <f t="shared" si="4"/>
        <v>31.98</v>
      </c>
      <c r="J9" s="3">
        <f t="shared" si="4"/>
        <v>1.6</v>
      </c>
      <c r="K9" s="3">
        <f t="shared" si="4"/>
        <v>0</v>
      </c>
      <c r="L9" s="3">
        <f>-SUM(L7:L8)</f>
        <v>-2323.3697049999996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x14ac:dyDescent="0.25">
      <c r="A10" s="15"/>
    </row>
    <row r="11" spans="1:29" s="9" customFormat="1" x14ac:dyDescent="0.25">
      <c r="A11" s="10">
        <v>39849</v>
      </c>
      <c r="B11" s="9">
        <v>1319</v>
      </c>
      <c r="C11" s="9" t="s">
        <v>4</v>
      </c>
      <c r="D11" s="9">
        <v>100</v>
      </c>
      <c r="E11" s="8">
        <v>31.5</v>
      </c>
      <c r="F11" s="8">
        <f>D11*E11</f>
        <v>3150</v>
      </c>
      <c r="G11" s="8">
        <f>F11*0.0275%</f>
        <v>0.86625000000000008</v>
      </c>
      <c r="H11" s="8">
        <f>F11*0.007%</f>
        <v>0.22050000000000003</v>
      </c>
      <c r="I11" s="8">
        <v>15.99</v>
      </c>
      <c r="J11" s="8">
        <v>0.8</v>
      </c>
      <c r="K11" s="8">
        <v>0</v>
      </c>
      <c r="L11" s="8">
        <f>F11-G11-H11-I11-J11</f>
        <v>3132.1232500000001</v>
      </c>
      <c r="M11" s="6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x14ac:dyDescent="0.25">
      <c r="A12" s="15"/>
    </row>
    <row r="13" spans="1:29" s="9" customFormat="1" x14ac:dyDescent="0.25">
      <c r="A13" s="10">
        <v>39853</v>
      </c>
      <c r="B13" s="9">
        <v>1362</v>
      </c>
      <c r="C13" s="9" t="s">
        <v>4</v>
      </c>
      <c r="D13" s="9">
        <v>100</v>
      </c>
      <c r="E13" s="8">
        <v>31.5</v>
      </c>
      <c r="F13" s="8">
        <f>D13*E13</f>
        <v>3150</v>
      </c>
      <c r="G13" s="8">
        <f>F13*0.0275%</f>
        <v>0.86625000000000008</v>
      </c>
      <c r="H13" s="8">
        <f>F13*0.007%</f>
        <v>0.22050000000000003</v>
      </c>
      <c r="I13" s="8">
        <v>15.99</v>
      </c>
      <c r="J13" s="8">
        <v>0.8</v>
      </c>
      <c r="K13" s="8">
        <v>0</v>
      </c>
      <c r="L13" s="8">
        <f>F13-G13-H13-I13-J13</f>
        <v>3132.1232500000001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x14ac:dyDescent="0.25">
      <c r="A14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515-2383-42E9-8F47-B3DA9BDEB959}">
  <dimension ref="A1:AC11"/>
  <sheetViews>
    <sheetView workbookViewId="0">
      <pane ySplit="1" topLeftCell="A2" activePane="bottomLeft" state="frozen"/>
      <selection activeCell="Q108" sqref="Q108"/>
      <selection pane="bottomLeft" activeCell="A10" activeCellId="1" sqref="A5:XFD5 A10:XFD10"/>
    </sheetView>
  </sheetViews>
  <sheetFormatPr defaultColWidth="9.140625" defaultRowHeight="15" x14ac:dyDescent="0.25"/>
  <cols>
    <col min="1" max="1" width="11.5703125" style="12" bestFit="1" customWidth="1"/>
    <col min="2" max="3" width="9" style="12" bestFit="1" customWidth="1"/>
    <col min="4" max="4" width="10" style="12" bestFit="1" customWidth="1"/>
    <col min="5" max="5" width="10.140625" style="13" bestFit="1" customWidth="1"/>
    <col min="6" max="6" width="11.7109375" style="13" bestFit="1" customWidth="1"/>
    <col min="7" max="7" width="17.85546875" style="13" bestFit="1" customWidth="1"/>
    <col min="8" max="8" width="13.42578125" style="13" bestFit="1" customWidth="1"/>
    <col min="9" max="9" width="11.42578125" style="13" bestFit="1" customWidth="1"/>
    <col min="10" max="10" width="7.140625" style="13" bestFit="1" customWidth="1"/>
    <col min="11" max="11" width="7.140625" style="13" customWidth="1"/>
    <col min="12" max="12" width="11.7109375" style="13" bestFit="1" customWidth="1"/>
    <col min="13" max="13" width="3.140625" style="17" customWidth="1"/>
    <col min="14" max="14" width="11.5703125" style="12" bestFit="1" customWidth="1"/>
    <col min="15" max="15" width="12.7109375" style="12" bestFit="1" customWidth="1"/>
    <col min="16" max="17" width="9.140625" style="12"/>
    <col min="18" max="18" width="10.28515625" style="13" customWidth="1"/>
    <col min="19" max="19" width="13.85546875" style="13" bestFit="1" customWidth="1"/>
    <col min="20" max="20" width="18" style="13" bestFit="1" customWidth="1"/>
    <col min="21" max="21" width="13.5703125" style="13" bestFit="1" customWidth="1"/>
    <col min="22" max="22" width="11.5703125" style="13" bestFit="1" customWidth="1"/>
    <col min="23" max="23" width="7.140625" style="13" bestFit="1" customWidth="1"/>
    <col min="24" max="24" width="9.28515625" style="13" bestFit="1" customWidth="1"/>
    <col min="25" max="25" width="12.7109375" style="13" bestFit="1" customWidth="1"/>
    <col min="26" max="26" width="12.42578125" style="13" bestFit="1" customWidth="1"/>
    <col min="27" max="27" width="2.7109375" style="13" bestFit="1" customWidth="1"/>
    <col min="28" max="28" width="26.140625" style="13" bestFit="1" customWidth="1"/>
    <col min="29" max="29" width="21.85546875" style="12" bestFit="1" customWidth="1"/>
    <col min="30" max="30" width="16.42578125" style="12" bestFit="1" customWidth="1"/>
    <col min="31" max="31" width="12.42578125" style="12" bestFit="1" customWidth="1"/>
    <col min="32" max="16384" width="9.140625" style="12"/>
  </cols>
  <sheetData>
    <row r="1" spans="1:29" x14ac:dyDescent="0.25">
      <c r="A1" s="12" t="s">
        <v>20</v>
      </c>
      <c r="B1" s="12" t="s">
        <v>19</v>
      </c>
      <c r="C1" s="12" t="s">
        <v>18</v>
      </c>
      <c r="D1" s="12" t="s">
        <v>17</v>
      </c>
      <c r="E1" s="13" t="s">
        <v>16</v>
      </c>
      <c r="F1" s="13" t="s">
        <v>15</v>
      </c>
      <c r="G1" s="13" t="s">
        <v>14</v>
      </c>
      <c r="H1" s="13" t="s">
        <v>13</v>
      </c>
      <c r="I1" s="13" t="s">
        <v>12</v>
      </c>
      <c r="J1" s="13" t="s">
        <v>11</v>
      </c>
      <c r="K1" s="13" t="s">
        <v>10</v>
      </c>
      <c r="L1" s="13" t="s">
        <v>9</v>
      </c>
      <c r="AC1" s="18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>F4+G4+H4+I4+J4</f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-SUM(F2:F4)</f>
        <v>-9322</v>
      </c>
      <c r="G5" s="7">
        <f t="shared" ref="G5:K5" si="2">SUM(G2:G4)</f>
        <v>2.5635500000000002</v>
      </c>
      <c r="H5" s="7">
        <f t="shared" si="2"/>
        <v>0.65254000000000012</v>
      </c>
      <c r="I5" s="7">
        <f t="shared" si="2"/>
        <v>47.97</v>
      </c>
      <c r="J5" s="7">
        <f t="shared" si="2"/>
        <v>2.4000000000000004</v>
      </c>
      <c r="K5" s="7">
        <f t="shared" si="2"/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7"/>
      <c r="G6" s="7"/>
      <c r="H6" s="7"/>
      <c r="I6" s="7"/>
      <c r="J6" s="7"/>
      <c r="K6" s="7"/>
      <c r="L6" s="7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7</v>
      </c>
      <c r="D7" s="4">
        <v>100</v>
      </c>
      <c r="E7" s="3">
        <v>2.68</v>
      </c>
      <c r="F7" s="3">
        <f>D7*E7</f>
        <v>268</v>
      </c>
      <c r="G7" s="3">
        <f>F7*0.0275%</f>
        <v>7.3700000000000002E-2</v>
      </c>
      <c r="H7" s="3">
        <f>F7*0.007%</f>
        <v>1.8760000000000002E-2</v>
      </c>
      <c r="I7" s="3">
        <v>15.99</v>
      </c>
      <c r="J7" s="3">
        <v>0.8</v>
      </c>
      <c r="K7" s="3">
        <v>0</v>
      </c>
      <c r="L7" s="3">
        <f>F7+G7+H7+I7+J7</f>
        <v>284.88245999999998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0</v>
      </c>
      <c r="D8" s="4">
        <v>100</v>
      </c>
      <c r="E8" s="3">
        <v>15.2</v>
      </c>
      <c r="F8" s="3">
        <f>D8*E8</f>
        <v>1520</v>
      </c>
      <c r="G8" s="3">
        <f t="shared" ref="G8:G9" si="3">F8*0.0275%</f>
        <v>0.41800000000000004</v>
      </c>
      <c r="H8" s="3">
        <f t="shared" ref="H8:H9" si="4">F8*0.007%</f>
        <v>0.10640000000000001</v>
      </c>
      <c r="I8" s="3">
        <v>15.99</v>
      </c>
      <c r="J8" s="3">
        <v>0.8</v>
      </c>
      <c r="K8" s="3">
        <v>0</v>
      </c>
      <c r="L8" s="3">
        <f>F8+G8+H8+I8+J8</f>
        <v>1537.3143999999998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>
        <v>39758</v>
      </c>
      <c r="B9" s="4">
        <v>1344</v>
      </c>
      <c r="C9" s="4" t="s">
        <v>3</v>
      </c>
      <c r="D9" s="4">
        <v>100</v>
      </c>
      <c r="E9" s="3">
        <v>7.69</v>
      </c>
      <c r="F9" s="3">
        <f>D9*E9</f>
        <v>769</v>
      </c>
      <c r="G9" s="3">
        <f t="shared" si="3"/>
        <v>0.21147500000000002</v>
      </c>
      <c r="H9" s="3">
        <f t="shared" si="4"/>
        <v>5.3830000000000003E-2</v>
      </c>
      <c r="I9" s="3">
        <v>15.99</v>
      </c>
      <c r="J9" s="3">
        <v>0.8</v>
      </c>
      <c r="K9" s="3">
        <v>0</v>
      </c>
      <c r="L9" s="3">
        <f>F9+G9+H9+I9+J9</f>
        <v>786.05530499999986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s="4" customFormat="1" x14ac:dyDescent="0.25">
      <c r="A10" s="5"/>
      <c r="E10" s="3"/>
      <c r="F10" s="7">
        <f>-SUM(F7:F9)</f>
        <v>-2557</v>
      </c>
      <c r="G10" s="7">
        <f t="shared" ref="G10:K10" si="5">SUM(G7:G9)</f>
        <v>0.70317500000000011</v>
      </c>
      <c r="H10" s="7">
        <f t="shared" si="5"/>
        <v>0.17899000000000004</v>
      </c>
      <c r="I10" s="7">
        <f t="shared" si="5"/>
        <v>47.97</v>
      </c>
      <c r="J10" s="7">
        <f t="shared" si="5"/>
        <v>2.4000000000000004</v>
      </c>
      <c r="K10" s="7">
        <f t="shared" si="5"/>
        <v>0</v>
      </c>
      <c r="L10" s="7">
        <f>-SUM(L7:L9)</f>
        <v>-2608.2521649999999</v>
      </c>
      <c r="M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x14ac:dyDescent="0.25">
      <c r="A11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30EF-5A58-4F6E-9535-CEBB2732DF3C}">
  <dimension ref="A1:AC19"/>
  <sheetViews>
    <sheetView workbookViewId="0">
      <pane ySplit="1" topLeftCell="A2" activePane="bottomLeft" state="frozen"/>
      <selection activeCell="Q108" sqref="Q108"/>
      <selection pane="bottomLeft" activeCell="A12" activeCellId="1" sqref="A2:XFD2 A12:XFD1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1.7109375" style="1" bestFit="1" customWidth="1"/>
    <col min="13" max="13" width="3.140625" style="2" customWidth="1"/>
    <col min="14" max="14" width="4.42578125" bestFit="1" customWidth="1"/>
    <col min="15" max="15" width="8.14062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4" customFormat="1" x14ac:dyDescent="0.25">
      <c r="A2" s="5">
        <v>39757</v>
      </c>
      <c r="B2" s="4">
        <v>1662</v>
      </c>
      <c r="C2" s="4" t="s">
        <v>2</v>
      </c>
      <c r="D2" s="4">
        <v>100</v>
      </c>
      <c r="E2" s="3">
        <v>15.34</v>
      </c>
      <c r="F2" s="3">
        <f>D2*E2</f>
        <v>1534</v>
      </c>
      <c r="G2" s="3">
        <f>F2*0.0275%</f>
        <v>0.42185</v>
      </c>
      <c r="H2" s="3">
        <f>F2*0.007%</f>
        <v>0.10738000000000002</v>
      </c>
      <c r="I2" s="3">
        <v>15.99</v>
      </c>
      <c r="J2" s="3">
        <v>0.8</v>
      </c>
      <c r="K2" s="3">
        <v>0</v>
      </c>
      <c r="L2" s="3">
        <f>F2+G2+H2+I2+J2</f>
        <v>1551.3192299999998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4" customFormat="1" x14ac:dyDescent="0.25">
      <c r="A3" s="5">
        <v>39757</v>
      </c>
      <c r="B3" s="4">
        <v>1662</v>
      </c>
      <c r="C3" s="4" t="s">
        <v>1</v>
      </c>
      <c r="D3" s="4">
        <v>200</v>
      </c>
      <c r="E3" s="3">
        <v>25.19</v>
      </c>
      <c r="F3" s="3">
        <f>D3*E3</f>
        <v>5038</v>
      </c>
      <c r="G3" s="3">
        <f t="shared" ref="G3:G4" si="0">F3*0.0275%</f>
        <v>1.3854500000000001</v>
      </c>
      <c r="H3" s="3">
        <f t="shared" ref="H3:H4" si="1">F3*0.007%</f>
        <v>0.35266000000000003</v>
      </c>
      <c r="I3" s="3">
        <v>15.99</v>
      </c>
      <c r="J3" s="3">
        <v>0.8</v>
      </c>
      <c r="K3" s="3">
        <v>0</v>
      </c>
      <c r="L3" s="3">
        <f>F3+G3+H3+I3+J3</f>
        <v>5056.5281099999993</v>
      </c>
      <c r="M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s="4" customFormat="1" x14ac:dyDescent="0.25">
      <c r="A4" s="5">
        <v>39757</v>
      </c>
      <c r="B4" s="4">
        <v>1662</v>
      </c>
      <c r="C4" s="4" t="s">
        <v>4</v>
      </c>
      <c r="D4" s="4">
        <v>100</v>
      </c>
      <c r="E4" s="3">
        <v>27.5</v>
      </c>
      <c r="F4" s="3">
        <f>D4*E4</f>
        <v>2750</v>
      </c>
      <c r="G4" s="3">
        <f t="shared" si="0"/>
        <v>0.75625000000000009</v>
      </c>
      <c r="H4" s="3">
        <f t="shared" si="1"/>
        <v>0.19250000000000003</v>
      </c>
      <c r="I4" s="3">
        <v>15.99</v>
      </c>
      <c r="J4" s="3">
        <v>0.8</v>
      </c>
      <c r="K4" s="3">
        <v>0</v>
      </c>
      <c r="L4" s="3">
        <f>F4+G4+H4+I4+J4</f>
        <v>2767.73875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s="4" customFormat="1" x14ac:dyDescent="0.25">
      <c r="A5" s="5"/>
      <c r="E5" s="3"/>
      <c r="F5" s="7">
        <f>-SUM(F2:F4)</f>
        <v>-9322</v>
      </c>
      <c r="G5" s="7">
        <f t="shared" ref="G5:K5" si="2">SUM(G2:G4)</f>
        <v>2.5635500000000002</v>
      </c>
      <c r="H5" s="7">
        <f t="shared" si="2"/>
        <v>0.65254000000000012</v>
      </c>
      <c r="I5" s="7">
        <f t="shared" si="2"/>
        <v>47.97</v>
      </c>
      <c r="J5" s="7">
        <f t="shared" si="2"/>
        <v>2.4000000000000004</v>
      </c>
      <c r="K5" s="7">
        <f t="shared" si="2"/>
        <v>0</v>
      </c>
      <c r="L5" s="7">
        <f>-SUM(L2:L4)</f>
        <v>-9375.5860899999989</v>
      </c>
      <c r="M5" s="6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s="4" customFormat="1" x14ac:dyDescent="0.25">
      <c r="A6" s="5"/>
      <c r="E6" s="3"/>
      <c r="F6" s="7"/>
      <c r="G6" s="7"/>
      <c r="H6" s="7"/>
      <c r="I6" s="7"/>
      <c r="J6" s="7"/>
      <c r="K6" s="7"/>
      <c r="L6" s="7"/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s="4" customFormat="1" x14ac:dyDescent="0.25">
      <c r="A7" s="5">
        <v>39758</v>
      </c>
      <c r="B7" s="4">
        <v>1344</v>
      </c>
      <c r="C7" s="4" t="s">
        <v>7</v>
      </c>
      <c r="D7" s="4">
        <v>100</v>
      </c>
      <c r="E7" s="3">
        <v>2.68</v>
      </c>
      <c r="F7" s="3">
        <f>D7*E7</f>
        <v>268</v>
      </c>
      <c r="G7" s="3">
        <f>F7*0.0275%</f>
        <v>7.3700000000000002E-2</v>
      </c>
      <c r="H7" s="3">
        <f>F7*0.007%</f>
        <v>1.8760000000000002E-2</v>
      </c>
      <c r="I7" s="3">
        <v>15.99</v>
      </c>
      <c r="J7" s="3">
        <v>0.8</v>
      </c>
      <c r="K7" s="3">
        <v>0</v>
      </c>
      <c r="L7" s="3">
        <f>F7+G7+H7+I7+J7</f>
        <v>284.88245999999998</v>
      </c>
      <c r="M7" s="6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s="4" customFormat="1" x14ac:dyDescent="0.25">
      <c r="A8" s="5">
        <v>39758</v>
      </c>
      <c r="B8" s="4">
        <v>1344</v>
      </c>
      <c r="C8" s="4" t="s">
        <v>0</v>
      </c>
      <c r="D8" s="4">
        <v>100</v>
      </c>
      <c r="E8" s="3">
        <v>15.2</v>
      </c>
      <c r="F8" s="3">
        <f>D8*E8</f>
        <v>1520</v>
      </c>
      <c r="G8" s="3">
        <f t="shared" ref="G8:G9" si="3">F8*0.0275%</f>
        <v>0.41800000000000004</v>
      </c>
      <c r="H8" s="3">
        <f t="shared" ref="H8:H9" si="4">F8*0.007%</f>
        <v>0.10640000000000001</v>
      </c>
      <c r="I8" s="3">
        <v>15.99</v>
      </c>
      <c r="J8" s="3">
        <v>0.8</v>
      </c>
      <c r="K8" s="3">
        <v>0</v>
      </c>
      <c r="L8" s="3">
        <f>F8+G8+H8+I8+J8</f>
        <v>1537.3143999999998</v>
      </c>
      <c r="M8" s="6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s="4" customFormat="1" x14ac:dyDescent="0.25">
      <c r="A9" s="5">
        <v>39758</v>
      </c>
      <c r="B9" s="4">
        <v>1344</v>
      </c>
      <c r="C9" s="4" t="s">
        <v>3</v>
      </c>
      <c r="D9" s="4">
        <v>100</v>
      </c>
      <c r="E9" s="3">
        <v>7.69</v>
      </c>
      <c r="F9" s="3">
        <f>D9*E9</f>
        <v>769</v>
      </c>
      <c r="G9" s="3">
        <f t="shared" si="3"/>
        <v>0.21147500000000002</v>
      </c>
      <c r="H9" s="3">
        <f t="shared" si="4"/>
        <v>5.3830000000000003E-2</v>
      </c>
      <c r="I9" s="3">
        <v>15.99</v>
      </c>
      <c r="J9" s="3">
        <v>0.8</v>
      </c>
      <c r="K9" s="3">
        <v>0</v>
      </c>
      <c r="L9" s="3">
        <f>F9+G9+H9+I9+J9</f>
        <v>786.05530499999986</v>
      </c>
      <c r="M9" s="6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s="4" customFormat="1" x14ac:dyDescent="0.25">
      <c r="A10" s="5"/>
      <c r="E10" s="3"/>
      <c r="F10" s="7">
        <f>-SUM(F7:F9)</f>
        <v>-2557</v>
      </c>
      <c r="G10" s="7">
        <f t="shared" ref="G10:K10" si="5">SUM(G7:G9)</f>
        <v>0.70317500000000011</v>
      </c>
      <c r="H10" s="7">
        <f t="shared" si="5"/>
        <v>0.17899000000000004</v>
      </c>
      <c r="I10" s="7">
        <f t="shared" si="5"/>
        <v>47.97</v>
      </c>
      <c r="J10" s="7">
        <f t="shared" si="5"/>
        <v>2.4000000000000004</v>
      </c>
      <c r="K10" s="7">
        <f t="shared" si="5"/>
        <v>0</v>
      </c>
      <c r="L10" s="7">
        <f>-SUM(L7:L9)</f>
        <v>-2608.2521649999999</v>
      </c>
      <c r="M10" s="6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s="4" customFormat="1" x14ac:dyDescent="0.25">
      <c r="A11" s="5"/>
      <c r="E11" s="3"/>
      <c r="F11" s="7"/>
      <c r="G11" s="7"/>
      <c r="H11" s="7"/>
      <c r="I11" s="7"/>
      <c r="J11" s="7"/>
      <c r="K11" s="7"/>
      <c r="L11" s="7"/>
      <c r="M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9" s="9" customFormat="1" x14ac:dyDescent="0.25">
      <c r="A12" s="10">
        <v>40073</v>
      </c>
      <c r="B12" s="9">
        <v>1462</v>
      </c>
      <c r="C12" s="9" t="s">
        <v>4</v>
      </c>
      <c r="D12" s="9">
        <v>200</v>
      </c>
      <c r="E12" s="8">
        <v>35.15</v>
      </c>
      <c r="F12" s="8">
        <f>D12*E12</f>
        <v>7030</v>
      </c>
      <c r="G12" s="8">
        <f>F12*0.0275%</f>
        <v>1.9332500000000001</v>
      </c>
      <c r="H12" s="8">
        <f>F12*0.007%</f>
        <v>0.49210000000000004</v>
      </c>
      <c r="I12" s="8">
        <v>15.99</v>
      </c>
      <c r="J12" s="8">
        <v>0.8</v>
      </c>
      <c r="K12" s="8">
        <f>((F12 - G12 - H12 - I12 - J12) - (30.88 * D12)) * 0.005%</f>
        <v>4.173923249999998E-2</v>
      </c>
      <c r="L12" s="8">
        <f>F12-G12-H12-I12-J12</f>
        <v>7010.7846499999996</v>
      </c>
      <c r="M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9" s="9" customFormat="1" x14ac:dyDescent="0.25">
      <c r="A13" s="10">
        <v>40073</v>
      </c>
      <c r="B13" s="9">
        <v>1462</v>
      </c>
      <c r="C13" s="9" t="s">
        <v>4</v>
      </c>
      <c r="D13" s="9">
        <v>200</v>
      </c>
      <c r="E13" s="8">
        <v>34.479999999999997</v>
      </c>
      <c r="F13" s="8">
        <f>D13*E13</f>
        <v>6895.9999999999991</v>
      </c>
      <c r="G13" s="8">
        <f t="shared" ref="G13:G14" si="6">F13*0.0275%</f>
        <v>1.8963999999999999</v>
      </c>
      <c r="H13" s="8">
        <f t="shared" ref="H13:H14" si="7">F13*0.007%</f>
        <v>0.48271999999999998</v>
      </c>
      <c r="I13" s="8">
        <v>15.99</v>
      </c>
      <c r="J13" s="8">
        <v>0.8</v>
      </c>
      <c r="K13" s="8">
        <f>((F13 - G13 - H13 - I13 - J13) - (30.88 * D13)) * 0.005%</f>
        <v>3.504154399999998E-2</v>
      </c>
      <c r="L13" s="8">
        <f t="shared" ref="L13:L14" si="8">F13-G13-H13-I13-J13</f>
        <v>6876.8308799999995</v>
      </c>
      <c r="M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s="9" customFormat="1" x14ac:dyDescent="0.25">
      <c r="A14" s="10">
        <v>40073</v>
      </c>
      <c r="B14" s="9">
        <v>1462</v>
      </c>
      <c r="C14" s="9" t="s">
        <v>4</v>
      </c>
      <c r="D14" s="9">
        <v>200</v>
      </c>
      <c r="E14" s="8">
        <v>31</v>
      </c>
      <c r="F14" s="8">
        <f>D14*E14</f>
        <v>6200</v>
      </c>
      <c r="G14" s="8">
        <f t="shared" si="6"/>
        <v>1.7050000000000001</v>
      </c>
      <c r="H14" s="8">
        <f t="shared" si="7"/>
        <v>0.43400000000000005</v>
      </c>
      <c r="I14" s="8">
        <v>15.99</v>
      </c>
      <c r="J14" s="8">
        <v>0.8</v>
      </c>
      <c r="K14" s="8">
        <f>((F14 - G14 - H14 - I14 - J14) - (30.88 * D14)) * 0.005%</f>
        <v>2.5354999999999567E-4</v>
      </c>
      <c r="L14" s="8">
        <f t="shared" si="8"/>
        <v>6181.0709999999999</v>
      </c>
      <c r="M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9" s="9" customFormat="1" x14ac:dyDescent="0.25">
      <c r="A15" s="10"/>
      <c r="E15" s="8"/>
      <c r="F15" s="11">
        <f t="shared" ref="F15:L15" si="9">SUM(F12:F14)</f>
        <v>20126</v>
      </c>
      <c r="G15" s="11">
        <f t="shared" si="9"/>
        <v>5.5346500000000001</v>
      </c>
      <c r="H15" s="11">
        <f t="shared" si="9"/>
        <v>1.40882</v>
      </c>
      <c r="I15" s="11">
        <f t="shared" si="9"/>
        <v>47.97</v>
      </c>
      <c r="J15" s="11">
        <f t="shared" si="9"/>
        <v>2.4000000000000004</v>
      </c>
      <c r="K15" s="11">
        <f t="shared" si="9"/>
        <v>7.7034326499999944E-2</v>
      </c>
      <c r="L15" s="11">
        <f t="shared" si="9"/>
        <v>20068.686529999999</v>
      </c>
      <c r="M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7" spans="1:28" s="9" customFormat="1" x14ac:dyDescent="0.25">
      <c r="A17" s="10">
        <v>40158</v>
      </c>
      <c r="B17" s="9">
        <v>1171</v>
      </c>
      <c r="C17" s="9" t="s">
        <v>4</v>
      </c>
      <c r="D17" s="9">
        <v>500</v>
      </c>
      <c r="E17" s="8">
        <v>31</v>
      </c>
      <c r="F17" s="8">
        <f>D17*E17</f>
        <v>15500</v>
      </c>
      <c r="G17" s="8">
        <f>F17*0.0275%</f>
        <v>4.2625000000000002</v>
      </c>
      <c r="H17" s="8">
        <f>F17*0.007%</f>
        <v>1.0850000000000002</v>
      </c>
      <c r="I17" s="8">
        <v>15.99</v>
      </c>
      <c r="J17" s="8">
        <v>0.8</v>
      </c>
      <c r="K17" s="8">
        <f>((F17 - G17 - H17 - I17 - J17) - (30.88 * D17)) * 0.005%</f>
        <v>1.8931250000000547E-3</v>
      </c>
      <c r="L17" s="8">
        <f>F17-G17-H17-I17-J17</f>
        <v>15477.862500000001</v>
      </c>
      <c r="M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s="9" customFormat="1" x14ac:dyDescent="0.25">
      <c r="A18" s="10">
        <v>40158</v>
      </c>
      <c r="B18" s="9">
        <v>1171</v>
      </c>
      <c r="C18" s="9" t="s">
        <v>4</v>
      </c>
      <c r="D18" s="9">
        <v>1000</v>
      </c>
      <c r="E18" s="8">
        <v>31</v>
      </c>
      <c r="F18" s="8">
        <f>D18*E18</f>
        <v>31000</v>
      </c>
      <c r="G18" s="8">
        <f>F18*0.0275%</f>
        <v>8.5250000000000004</v>
      </c>
      <c r="H18" s="8">
        <f>F18*0.007%</f>
        <v>2.1700000000000004</v>
      </c>
      <c r="I18" s="8">
        <v>15.99</v>
      </c>
      <c r="J18" s="8">
        <v>0.8</v>
      </c>
      <c r="K18" s="8">
        <f>((F18 - G18 - H18 - I18 - J18) - (30.88 * D18)) * 0.005%</f>
        <v>4.625749999999971E-3</v>
      </c>
      <c r="L18" s="8">
        <f>F18-G18-H18-I18-J18</f>
        <v>30972.514999999999</v>
      </c>
      <c r="M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s="9" customFormat="1" x14ac:dyDescent="0.25">
      <c r="A19" s="10"/>
      <c r="E19" s="8"/>
      <c r="F19" s="11">
        <f t="shared" ref="F19:L19" si="10">SUM(F17:F18)</f>
        <v>46500</v>
      </c>
      <c r="G19" s="11">
        <f t="shared" si="10"/>
        <v>12.787500000000001</v>
      </c>
      <c r="H19" s="11">
        <f t="shared" si="10"/>
        <v>3.2550000000000008</v>
      </c>
      <c r="I19" s="11">
        <f t="shared" si="10"/>
        <v>31.98</v>
      </c>
      <c r="J19" s="11">
        <f t="shared" si="10"/>
        <v>1.6</v>
      </c>
      <c r="K19" s="11">
        <f t="shared" si="10"/>
        <v>6.5188750000000255E-3</v>
      </c>
      <c r="L19" s="11">
        <f t="shared" si="10"/>
        <v>46450.377500000002</v>
      </c>
      <c r="M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E703-EA17-4053-8FF6-597C4A72A15B}">
  <dimension ref="A1:AC6"/>
  <sheetViews>
    <sheetView workbookViewId="0">
      <pane ySplit="1" topLeftCell="A2" activePane="bottomLeft" state="frozen"/>
      <selection activeCell="Q108" sqref="Q108"/>
      <selection pane="bottomLeft" activeCell="A6" activeCellId="2" sqref="A2:XFD2 A4:XFD4 A6:XFD6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39959</v>
      </c>
      <c r="B2" s="9">
        <v>1430</v>
      </c>
      <c r="C2" s="9" t="s">
        <v>8</v>
      </c>
      <c r="D2" s="9">
        <v>200</v>
      </c>
      <c r="E2" s="8">
        <v>23.4</v>
      </c>
      <c r="F2" s="8">
        <f>D2*E2</f>
        <v>4680</v>
      </c>
      <c r="G2" s="8">
        <f>F2*0.0275%</f>
        <v>1.2870000000000001</v>
      </c>
      <c r="H2" s="8">
        <f>F2*0.007%</f>
        <v>0.32760000000000006</v>
      </c>
      <c r="I2" s="8">
        <v>15.99</v>
      </c>
      <c r="J2" s="8">
        <v>0.8</v>
      </c>
      <c r="K2" s="8">
        <v>0.23</v>
      </c>
      <c r="L2" s="8">
        <f>F2-G2-H2-I2-J2</f>
        <v>4661.5954000000002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x14ac:dyDescent="0.25">
      <c r="A3" s="14"/>
      <c r="M3" s="6"/>
    </row>
    <row r="4" spans="1:29" s="9" customFormat="1" x14ac:dyDescent="0.25">
      <c r="A4" s="10">
        <v>39960</v>
      </c>
      <c r="B4" s="9">
        <v>1681</v>
      </c>
      <c r="C4" s="9" t="s">
        <v>1</v>
      </c>
      <c r="D4" s="9">
        <v>200</v>
      </c>
      <c r="E4" s="8">
        <v>34.04</v>
      </c>
      <c r="F4" s="8">
        <f>D4*E4</f>
        <v>6808</v>
      </c>
      <c r="G4" s="8">
        <f>F4*0.0275%</f>
        <v>1.8722000000000001</v>
      </c>
      <c r="H4" s="8">
        <f>F4*0.007%</f>
        <v>0.47656000000000004</v>
      </c>
      <c r="I4" s="8">
        <v>15.99</v>
      </c>
      <c r="J4" s="8">
        <v>0.8</v>
      </c>
      <c r="K4" s="8">
        <v>0.34</v>
      </c>
      <c r="L4" s="8">
        <f>F4-G4-H4-I4-J4</f>
        <v>6788.8612400000002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x14ac:dyDescent="0.25">
      <c r="A5" s="14"/>
      <c r="M5" s="6"/>
    </row>
    <row r="6" spans="1:29" s="4" customFormat="1" x14ac:dyDescent="0.25">
      <c r="A6" s="5">
        <v>39961</v>
      </c>
      <c r="B6" s="4">
        <v>1246</v>
      </c>
      <c r="C6" s="4" t="s">
        <v>5</v>
      </c>
      <c r="D6" s="4">
        <v>1000</v>
      </c>
      <c r="E6" s="3">
        <v>3.31</v>
      </c>
      <c r="F6" s="3">
        <f>D6*E6</f>
        <v>3310</v>
      </c>
      <c r="G6" s="3">
        <f>F6*0.0275%</f>
        <v>0.91025</v>
      </c>
      <c r="H6" s="3">
        <f>F6*0.007%</f>
        <v>0.23170000000000002</v>
      </c>
      <c r="I6" s="3">
        <v>15.99</v>
      </c>
      <c r="J6" s="3">
        <v>0.8</v>
      </c>
      <c r="K6" s="3"/>
      <c r="L6" s="3">
        <f>F6+G6+H6+I6+J6</f>
        <v>3327.9319499999997</v>
      </c>
      <c r="M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D34E-0B33-4181-8E63-6765777C5B7E}">
  <dimension ref="A1:AC5"/>
  <sheetViews>
    <sheetView workbookViewId="0">
      <pane ySplit="1" topLeftCell="A2" activePane="bottomLeft" state="frozen"/>
      <selection activeCell="Q108" sqref="Q108"/>
      <selection pane="bottomLeft" activeCell="F2" sqref="F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1.710937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35.15</v>
      </c>
      <c r="F2" s="8">
        <v>7030.01</v>
      </c>
      <c r="G2" s="8">
        <f>1.16*(F2/SUM(F2:F4))</f>
        <v>0.42000450143979118</v>
      </c>
      <c r="H2" s="8">
        <f>5.53*(F2/SUM(F2:F4))</f>
        <v>2.0022628387603842</v>
      </c>
      <c r="I2" s="8">
        <v>15.99</v>
      </c>
      <c r="J2" s="8">
        <v>0.8</v>
      </c>
      <c r="K2" s="8">
        <v>0</v>
      </c>
      <c r="L2" s="8">
        <f>F2-G2-H2-I2-K2</f>
        <v>7011.5977326598004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1</v>
      </c>
      <c r="D3" s="9">
        <v>200</v>
      </c>
      <c r="E3" s="8">
        <v>34.479999999999997</v>
      </c>
      <c r="F3" s="8">
        <f>D3*E3</f>
        <v>6895.9999999999991</v>
      </c>
      <c r="G3" s="8">
        <f>1.16*(F3/SUM(F2:F4))</f>
        <v>0.41199813967957366</v>
      </c>
      <c r="H3" s="8">
        <f>5.53*(F3/SUM(F2:F4))</f>
        <v>1.9640945796793472</v>
      </c>
      <c r="I3" s="8">
        <v>15.99</v>
      </c>
      <c r="J3" s="8">
        <v>0.8</v>
      </c>
      <c r="K3" s="8">
        <v>0</v>
      </c>
      <c r="L3" s="8">
        <f>F3-G3-H3-I3-K3</f>
        <v>6877.6339072806404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6</v>
      </c>
      <c r="D4" s="9">
        <v>200</v>
      </c>
      <c r="E4" s="8">
        <v>27.45</v>
      </c>
      <c r="F4" s="8">
        <f>D4*E4</f>
        <v>5490</v>
      </c>
      <c r="G4" s="8">
        <f>1.16*(F4/SUM(F2:F4))</f>
        <v>0.32799735888063514</v>
      </c>
      <c r="H4" s="8">
        <f>5.53*(F4/SUM(F2:F4))</f>
        <v>1.5636425815602693</v>
      </c>
      <c r="I4" s="8">
        <v>15.99</v>
      </c>
      <c r="J4" s="8">
        <v>0.8</v>
      </c>
      <c r="K4" s="8">
        <v>0</v>
      </c>
      <c r="L4" s="8">
        <f>F4-G4-H4-I4-K4</f>
        <v>5472.1183600595596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0">SUM(F2:F4)</f>
        <v>19416.009999999998</v>
      </c>
      <c r="G5" s="11">
        <f t="shared" si="0"/>
        <v>1.1599999999999999</v>
      </c>
      <c r="H5" s="11">
        <f t="shared" si="0"/>
        <v>5.53</v>
      </c>
      <c r="I5" s="11">
        <f t="shared" si="0"/>
        <v>47.97</v>
      </c>
      <c r="J5" s="11">
        <f t="shared" si="0"/>
        <v>2.4000000000000004</v>
      </c>
      <c r="K5" s="11">
        <f t="shared" si="0"/>
        <v>0</v>
      </c>
      <c r="L5" s="11">
        <f t="shared" si="0"/>
        <v>19361.349999999999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F43A-AB48-4760-8CB3-D62FBA7ABFD8}">
  <dimension ref="A1:AC4"/>
  <sheetViews>
    <sheetView workbookViewId="0">
      <pane ySplit="1" topLeftCell="A2" activePane="bottomLeft" state="frozen"/>
      <selection activeCell="Q108" sqref="Q108"/>
      <selection pane="bottomLeft" activeCell="G2" sqref="G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v>2.76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11005.429349999999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5.66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-22611.028699999995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7D75-65E8-45D7-9B4A-EEFFE176C4A2}">
  <dimension ref="A1:AC4"/>
  <sheetViews>
    <sheetView workbookViewId="0">
      <pane ySplit="1" topLeftCell="A2" activePane="bottomLeft" state="frozen"/>
      <selection activeCell="Q108" sqref="Q108"/>
      <selection pane="bottomLeft" activeCell="H2" sqref="H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v>0.56000000000000005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11005.429349999999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 t="shared" si="2"/>
        <v>1.1400000000000001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-22611.028699999995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83F5-F968-4E69-BCCF-4B8530FA0CCB}">
  <dimension ref="A1:AC4"/>
  <sheetViews>
    <sheetView workbookViewId="0">
      <pane ySplit="1" topLeftCell="A2" activePane="bottomLeft" state="frozen"/>
      <selection activeCell="Q108" sqref="Q108"/>
      <selection pane="bottomLeft" activeCell="J2" sqref="J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v>0.12</v>
      </c>
      <c r="K2" s="3">
        <v>0</v>
      </c>
      <c r="L2" s="3">
        <f>F2+G2+H2+I2+J2</f>
        <v>11005.41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ref="J3" si="1">I3*6.5%</f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 t="shared" si="2"/>
        <v>1.1300000000000001</v>
      </c>
      <c r="I4" s="7">
        <f t="shared" si="2"/>
        <v>3.98</v>
      </c>
      <c r="J4" s="7">
        <f t="shared" si="2"/>
        <v>0.24934999999999999</v>
      </c>
      <c r="K4" s="7">
        <f t="shared" si="2"/>
        <v>0</v>
      </c>
      <c r="L4" s="7">
        <f>-SUM(L2:L3)</f>
        <v>-22611.00935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B8EB-77D4-4A9D-ADC2-145B24A5415F}">
  <dimension ref="A1:AC6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4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40</v>
      </c>
      <c r="F2" s="8">
        <f>D2*E2</f>
        <v>8000</v>
      </c>
      <c r="G2" s="8">
        <f>F2*0.0275%</f>
        <v>2.2000000000000002</v>
      </c>
      <c r="H2" s="8">
        <f>F2*0.007%</f>
        <v>0.56000000000000005</v>
      </c>
      <c r="I2" s="8">
        <v>15.99</v>
      </c>
      <c r="J2" s="8">
        <v>0.8</v>
      </c>
      <c r="K2" s="8">
        <v>0.19</v>
      </c>
      <c r="L2" s="8">
        <f>F2-G2-H2-I2-K2</f>
        <v>7981.06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1</v>
      </c>
      <c r="D3" s="9">
        <v>200</v>
      </c>
      <c r="E3" s="8">
        <v>34.479999999999997</v>
      </c>
      <c r="F3" s="8">
        <f>D3*E3</f>
        <v>6895.9999999999991</v>
      </c>
      <c r="G3" s="8">
        <f t="shared" ref="G3:G4" si="0">F3*0.0275%</f>
        <v>1.8963999999999999</v>
      </c>
      <c r="H3" s="8">
        <f t="shared" ref="H3:H4" si="1">F3*0.007%</f>
        <v>0.48271999999999998</v>
      </c>
      <c r="I3" s="8">
        <v>15.99</v>
      </c>
      <c r="J3" s="8">
        <v>0.8</v>
      </c>
      <c r="K3" s="8">
        <f>((F3 - G3 - H3 - I3 - J3) - (18.5 * D3)) * 0.005%</f>
        <v>0.15884154399999997</v>
      </c>
      <c r="L3" s="8">
        <f>F3-G3-H3-I3-K3</f>
        <v>6877.4720384559996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6</v>
      </c>
      <c r="D4" s="9">
        <v>200</v>
      </c>
      <c r="E4" s="8">
        <v>27.45</v>
      </c>
      <c r="F4" s="8">
        <f>D4*E4</f>
        <v>5490</v>
      </c>
      <c r="G4" s="8">
        <f t="shared" si="0"/>
        <v>1.5097500000000001</v>
      </c>
      <c r="H4" s="8">
        <f t="shared" si="1"/>
        <v>0.38430000000000003</v>
      </c>
      <c r="I4" s="8">
        <v>15.99</v>
      </c>
      <c r="J4" s="8">
        <v>0.8</v>
      </c>
      <c r="K4" s="8">
        <f>((F4 - G4 - H4 - I4 - J4) - (22.3 * D4)) * 0.005%</f>
        <v>5.0565797500000009E-2</v>
      </c>
      <c r="L4" s="8">
        <f>F4-G4-H4-I4-K4</f>
        <v>5472.0653842025004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2">SUM(F2:F4)</f>
        <v>20386</v>
      </c>
      <c r="G5" s="11">
        <f t="shared" si="2"/>
        <v>5.6061500000000004</v>
      </c>
      <c r="H5" s="11">
        <f t="shared" si="2"/>
        <v>1.4270200000000002</v>
      </c>
      <c r="I5" s="11">
        <f t="shared" si="2"/>
        <v>47.97</v>
      </c>
      <c r="J5" s="11">
        <f t="shared" si="2"/>
        <v>2.4000000000000004</v>
      </c>
      <c r="K5" s="11">
        <f t="shared" si="2"/>
        <v>0.39940734150000001</v>
      </c>
      <c r="L5" s="11">
        <f t="shared" si="2"/>
        <v>20330.597422658502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9" x14ac:dyDescent="0.25">
      <c r="E6" s="2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E40E-BCAE-41DB-80FC-C74D9CCDCD28}">
  <dimension ref="A1:AC13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4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40</v>
      </c>
      <c r="F2" s="8">
        <f>D2*E2</f>
        <v>8000</v>
      </c>
      <c r="G2" s="8">
        <f>F2*0.0275%</f>
        <v>2.2000000000000002</v>
      </c>
      <c r="H2" s="8">
        <f>F2*0.007%</f>
        <v>0.56000000000000005</v>
      </c>
      <c r="I2" s="8">
        <v>15.99</v>
      </c>
      <c r="J2" s="8">
        <v>0.8</v>
      </c>
      <c r="K2" s="8">
        <v>0.19</v>
      </c>
      <c r="L2" s="8">
        <f>F2-G2-H2-I2-K2</f>
        <v>7981.06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1</v>
      </c>
      <c r="D3" s="9">
        <v>200</v>
      </c>
      <c r="E3" s="8">
        <v>34.479999999999997</v>
      </c>
      <c r="F3" s="8">
        <f>D3*E3</f>
        <v>6895.9999999999991</v>
      </c>
      <c r="G3" s="8">
        <f t="shared" ref="G3:G4" si="0">F3*0.0275%</f>
        <v>1.8963999999999999</v>
      </c>
      <c r="H3" s="8">
        <f t="shared" ref="H3:H4" si="1">F3*0.007%</f>
        <v>0.48271999999999998</v>
      </c>
      <c r="I3" s="8">
        <v>15.99</v>
      </c>
      <c r="J3" s="8">
        <v>0.8</v>
      </c>
      <c r="K3" s="8">
        <f>((F3 - G3 - H3 - I3 - J3) - (18.5 * D3)) * 0.005%</f>
        <v>0.15884154399999997</v>
      </c>
      <c r="L3" s="8">
        <f>F3-G3-H3-I3-K3</f>
        <v>6877.4720384559996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6</v>
      </c>
      <c r="D4" s="9">
        <v>200</v>
      </c>
      <c r="E4" s="8">
        <v>27.45</v>
      </c>
      <c r="F4" s="8">
        <f>D4*E4</f>
        <v>5490</v>
      </c>
      <c r="G4" s="8">
        <f t="shared" si="0"/>
        <v>1.5097500000000001</v>
      </c>
      <c r="H4" s="8">
        <f t="shared" si="1"/>
        <v>0.38430000000000003</v>
      </c>
      <c r="I4" s="8">
        <v>15.99</v>
      </c>
      <c r="J4" s="8">
        <v>0.8</v>
      </c>
      <c r="K4" s="8">
        <f>((F4 - G4 - H4 - I4 - J4) - (22.3 * D4)) * 0.005%</f>
        <v>5.0565797500000009E-2</v>
      </c>
      <c r="L4" s="8">
        <f>F4-G4-H4-I4-K4</f>
        <v>5472.0653842025004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2">SUM(F2:F4)</f>
        <v>20386</v>
      </c>
      <c r="G5" s="11">
        <f t="shared" si="2"/>
        <v>5.6061500000000004</v>
      </c>
      <c r="H5" s="11">
        <f t="shared" si="2"/>
        <v>1.4270200000000002</v>
      </c>
      <c r="I5" s="11">
        <f t="shared" si="2"/>
        <v>47.97</v>
      </c>
      <c r="J5" s="11">
        <f t="shared" si="2"/>
        <v>2.4000000000000004</v>
      </c>
      <c r="K5" s="11">
        <f t="shared" si="2"/>
        <v>0.39940734150000001</v>
      </c>
      <c r="L5" s="11">
        <f t="shared" si="2"/>
        <v>20330.597422658502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8" spans="1:29" x14ac:dyDescent="0.25">
      <c r="L8" s="1">
        <v>0</v>
      </c>
      <c r="N8">
        <v>0</v>
      </c>
    </row>
    <row r="9" spans="1:29" x14ac:dyDescent="0.25">
      <c r="E9" s="19">
        <v>100</v>
      </c>
      <c r="F9" s="1">
        <v>2750</v>
      </c>
      <c r="G9" s="1">
        <v>0.22</v>
      </c>
      <c r="H9" s="1">
        <v>0.74</v>
      </c>
      <c r="I9" s="1">
        <v>15.99</v>
      </c>
      <c r="J9" s="1">
        <v>0.8</v>
      </c>
      <c r="K9" s="1">
        <f>F9-G9-H9-I9-J9</f>
        <v>2732.2500000000005</v>
      </c>
      <c r="L9" s="1">
        <f>L8+K9</f>
        <v>2732.2500000000005</v>
      </c>
      <c r="N9" s="19">
        <f>N8+E9</f>
        <v>100</v>
      </c>
    </row>
    <row r="10" spans="1:29" x14ac:dyDescent="0.25">
      <c r="E10" s="19">
        <v>200</v>
      </c>
      <c r="F10" s="1">
        <v>5940</v>
      </c>
      <c r="G10" s="1">
        <v>0.47</v>
      </c>
      <c r="H10" s="1">
        <v>1.6</v>
      </c>
      <c r="I10" s="1">
        <v>15.99</v>
      </c>
      <c r="J10" s="1">
        <v>0.8</v>
      </c>
      <c r="K10" s="1">
        <f t="shared" ref="K10:K12" si="3">F10-G10-H10-I10-J10</f>
        <v>5921.1399999999994</v>
      </c>
      <c r="L10" s="1">
        <f>L9+K10</f>
        <v>8653.39</v>
      </c>
      <c r="N10" s="19">
        <f>N9+E10</f>
        <v>300</v>
      </c>
    </row>
    <row r="11" spans="1:29" x14ac:dyDescent="0.25">
      <c r="E11" s="19">
        <v>-200</v>
      </c>
      <c r="F11" s="1">
        <v>6630</v>
      </c>
      <c r="G11" s="1">
        <v>0.39</v>
      </c>
      <c r="H11" s="1">
        <v>1.89</v>
      </c>
      <c r="I11" s="1">
        <v>15.99</v>
      </c>
      <c r="J11" s="1">
        <v>0.8</v>
      </c>
      <c r="K11" s="1">
        <f t="shared" si="3"/>
        <v>6610.9299999999994</v>
      </c>
      <c r="L11" s="1">
        <f>L10+((L10/N10)*E11)</f>
        <v>2884.4633333333331</v>
      </c>
      <c r="N11" s="19">
        <f>N10+E11</f>
        <v>100</v>
      </c>
    </row>
    <row r="12" spans="1:29" x14ac:dyDescent="0.25">
      <c r="E12" s="19">
        <v>200</v>
      </c>
      <c r="F12" s="1">
        <v>6400</v>
      </c>
      <c r="G12" s="1">
        <v>0.38</v>
      </c>
      <c r="H12" s="1">
        <v>1.82</v>
      </c>
      <c r="I12" s="1">
        <v>15.99</v>
      </c>
      <c r="J12" s="1">
        <v>0.8</v>
      </c>
      <c r="K12" s="1">
        <f t="shared" si="3"/>
        <v>6381.01</v>
      </c>
      <c r="L12" s="20">
        <f>L11+K12</f>
        <v>9265.4733333333334</v>
      </c>
      <c r="N12" s="21">
        <f>N11+E12</f>
        <v>300</v>
      </c>
      <c r="O12" s="1">
        <f>L12/N12</f>
        <v>30.884911111111112</v>
      </c>
    </row>
    <row r="13" spans="1:29" x14ac:dyDescent="0.25">
      <c r="E13" s="2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E594-CB91-4439-95F2-7F159495761F}">
  <dimension ref="A1:AC4"/>
  <sheetViews>
    <sheetView workbookViewId="0">
      <pane ySplit="1" topLeftCell="A2" activePane="bottomLeft" state="frozen"/>
      <selection activeCell="Q108" sqref="Q108"/>
      <selection pane="bottomLeft" activeCell="K2" sqref="K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0.01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0.01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43A8-C89C-44C0-BF29-1F8134A0151F}">
  <dimension ref="A1:AC8"/>
  <sheetViews>
    <sheetView workbookViewId="0">
      <pane ySplit="1" topLeftCell="A2" activePane="bottomLeft" state="frozen"/>
      <selection activeCell="Q108" sqref="Q108"/>
      <selection pane="bottomLeft" activeCell="L2" sqref="L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4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35.15</v>
      </c>
      <c r="F2" s="8">
        <f>D2*E2</f>
        <v>7030</v>
      </c>
      <c r="G2" s="8">
        <f>F2*0.0275%</f>
        <v>1.9332500000000001</v>
      </c>
      <c r="H2" s="8">
        <f>F2*0.007%</f>
        <v>0.49210000000000004</v>
      </c>
      <c r="I2" s="8">
        <v>15.99</v>
      </c>
      <c r="J2" s="8">
        <v>0.8</v>
      </c>
      <c r="K2" s="8">
        <f>((F2 - G2 - H2 - I2 - J2) - (30.88 * D2)) * 0.005%</f>
        <v>4.173923249999998E-2</v>
      </c>
      <c r="L2" s="8">
        <v>7010.81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4</v>
      </c>
      <c r="D3" s="9">
        <v>200</v>
      </c>
      <c r="E3" s="8">
        <v>34.479999999999997</v>
      </c>
      <c r="F3" s="8">
        <f>D3*E3</f>
        <v>6895.9999999999991</v>
      </c>
      <c r="G3" s="8">
        <f t="shared" ref="G3:G4" si="0">F3*0.0275%</f>
        <v>1.8963999999999999</v>
      </c>
      <c r="H3" s="8">
        <f t="shared" ref="H3:H4" si="1">F3*0.007%</f>
        <v>0.48271999999999998</v>
      </c>
      <c r="I3" s="8">
        <v>15.99</v>
      </c>
      <c r="J3" s="8">
        <v>0.8</v>
      </c>
      <c r="K3" s="8">
        <f>((F3 - G3 - H3 - I3 - J3) - (30.88 * D3)) * 0.005%</f>
        <v>3.504154399999998E-2</v>
      </c>
      <c r="L3" s="8">
        <f t="shared" ref="L3:L4" si="2">F3-G3-H3-I3-J3</f>
        <v>6876.8308799999995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4</v>
      </c>
      <c r="D4" s="9">
        <v>200</v>
      </c>
      <c r="E4" s="8">
        <v>31</v>
      </c>
      <c r="F4" s="8">
        <f>D4*E4</f>
        <v>6200</v>
      </c>
      <c r="G4" s="8">
        <f t="shared" si="0"/>
        <v>1.7050000000000001</v>
      </c>
      <c r="H4" s="8">
        <f t="shared" si="1"/>
        <v>0.43400000000000005</v>
      </c>
      <c r="I4" s="8">
        <v>15.99</v>
      </c>
      <c r="J4" s="8">
        <v>0.8</v>
      </c>
      <c r="K4" s="8">
        <f>((F4 - G4 - H4 - I4 - J4) - (30.88 * D4)) * 0.005%</f>
        <v>2.5354999999999567E-4</v>
      </c>
      <c r="L4" s="8">
        <f t="shared" si="2"/>
        <v>6181.0709999999999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3">SUM(F2:F4)</f>
        <v>20126</v>
      </c>
      <c r="G5" s="11">
        <f t="shared" si="3"/>
        <v>5.5346500000000001</v>
      </c>
      <c r="H5" s="11">
        <f t="shared" si="3"/>
        <v>1.40882</v>
      </c>
      <c r="I5" s="11">
        <f t="shared" si="3"/>
        <v>47.97</v>
      </c>
      <c r="J5" s="11">
        <f t="shared" si="3"/>
        <v>2.4000000000000004</v>
      </c>
      <c r="K5" s="11">
        <f t="shared" si="3"/>
        <v>7.7034326499999944E-2</v>
      </c>
      <c r="L5" s="11">
        <f t="shared" si="3"/>
        <v>20068.711879999999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8" spans="1:29" x14ac:dyDescent="0.25">
      <c r="E8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AE87-00E8-4CF9-A517-EB6C0CA40610}">
  <dimension ref="A1:AC4"/>
  <sheetViews>
    <sheetView workbookViewId="0">
      <pane ySplit="1" topLeftCell="A2" activePane="bottomLeft" state="frozen"/>
      <selection activeCell="Q108" sqref="Q108"/>
      <selection pane="bottomLeft" activeCell="L2" sqref="L2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v>11005.45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 t="shared" si="2"/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-22611.049350000001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BEB4-905E-4036-959A-F9A0226AF070}">
  <dimension ref="A1:AC4"/>
  <sheetViews>
    <sheetView workbookViewId="0">
      <pane ySplit="1" topLeftCell="A2" activePane="bottomLeft" state="frozen"/>
      <selection activeCell="Q108" sqref="Q108"/>
      <selection pane="bottomLeft" activeCell="G4" sqref="G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>SUM(G2:G3) + 0.03</f>
        <v>5.6800000000000006</v>
      </c>
      <c r="H4" s="7">
        <f t="shared" ref="H4:K4" si="2">SUM(H2:H3)</f>
        <v>1.1300000000000001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349E-D984-4817-800E-2EB4836D5B5D}">
  <dimension ref="A1:AC4"/>
  <sheetViews>
    <sheetView workbookViewId="0">
      <pane ySplit="1" topLeftCell="A2" activePane="bottomLeft" state="frozen"/>
      <selection activeCell="Q108" sqref="Q108"/>
      <selection pane="bottomLeft" activeCell="H4" sqref="H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>SUM(H2:H3) - 0.03</f>
        <v>1.1000000000000001</v>
      </c>
      <c r="I4" s="7">
        <f t="shared" si="2"/>
        <v>3.98</v>
      </c>
      <c r="J4" s="7">
        <f t="shared" si="2"/>
        <v>0.25869999999999999</v>
      </c>
      <c r="K4" s="7">
        <f t="shared" si="2"/>
        <v>0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F892-A6B4-4288-ADB5-125D04E295EB}">
  <dimension ref="A1:AC4"/>
  <sheetViews>
    <sheetView workbookViewId="0">
      <pane ySplit="1" topLeftCell="A2" activePane="bottomLeft" state="frozen"/>
      <selection activeCell="Q108" sqref="Q108"/>
      <selection pane="bottomLeft" activeCell="I4" sqref="I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>SUM(H2:H3)</f>
        <v>1.1300000000000001</v>
      </c>
      <c r="I4" s="7">
        <f>SUM(I2:I3) - 0.03</f>
        <v>3.95</v>
      </c>
      <c r="J4" s="7">
        <f t="shared" si="2"/>
        <v>0.25869999999999999</v>
      </c>
      <c r="K4" s="7">
        <f t="shared" si="2"/>
        <v>0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9D80-1D28-4F3C-95F7-8DE9883A26F0}">
  <dimension ref="A1:AC4"/>
  <sheetViews>
    <sheetView workbookViewId="0">
      <pane ySplit="1" topLeftCell="A2" activePane="bottomLeft" state="frozen"/>
      <selection activeCell="Q108" sqref="Q108"/>
      <selection pane="bottomLeft" activeCell="J4" sqref="J4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2.4257812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7.140625" style="1" customWidth="1"/>
    <col min="12" max="12" width="12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x14ac:dyDescent="0.25">
      <c r="A2" s="5">
        <v>44491</v>
      </c>
      <c r="B2" s="4">
        <v>85060</v>
      </c>
      <c r="C2" s="4" t="s">
        <v>21</v>
      </c>
      <c r="D2" s="4">
        <v>400</v>
      </c>
      <c r="E2" s="3">
        <v>27.5</v>
      </c>
      <c r="F2" s="3">
        <f t="shared" ref="F2:F3" si="0">D2*E2</f>
        <v>11000</v>
      </c>
      <c r="G2" s="3">
        <f>F2*0.025%</f>
        <v>2.75</v>
      </c>
      <c r="H2" s="3">
        <f>F2*0.005%</f>
        <v>0.55000000000000004</v>
      </c>
      <c r="I2" s="3">
        <v>1.99</v>
      </c>
      <c r="J2" s="3">
        <f t="shared" ref="J2:J3" si="1">I2*6.5%</f>
        <v>0.12934999999999999</v>
      </c>
      <c r="K2" s="3">
        <v>0</v>
      </c>
      <c r="L2" s="3">
        <f>F2+G2+H2+I2+J2</f>
        <v>11005.419349999998</v>
      </c>
    </row>
    <row r="3" spans="1:29" x14ac:dyDescent="0.25">
      <c r="A3" s="5">
        <v>44491</v>
      </c>
      <c r="B3" s="4">
        <v>85060</v>
      </c>
      <c r="C3" s="4" t="s">
        <v>22</v>
      </c>
      <c r="D3" s="4">
        <v>500</v>
      </c>
      <c r="E3" s="3">
        <v>23.2</v>
      </c>
      <c r="F3" s="3">
        <f t="shared" si="0"/>
        <v>11600</v>
      </c>
      <c r="G3" s="3">
        <f>F3*0.025%</f>
        <v>2.9</v>
      </c>
      <c r="H3" s="3">
        <f>F3*0.005%</f>
        <v>0.58000000000000007</v>
      </c>
      <c r="I3" s="3">
        <v>1.99</v>
      </c>
      <c r="J3" s="3">
        <f t="shared" si="1"/>
        <v>0.12934999999999999</v>
      </c>
      <c r="K3" s="3">
        <v>0</v>
      </c>
      <c r="L3" s="3">
        <f>F3+G3+H3+I3+J3</f>
        <v>11605.599349999999</v>
      </c>
    </row>
    <row r="4" spans="1:29" s="4" customFormat="1" x14ac:dyDescent="0.25">
      <c r="A4" s="5"/>
      <c r="E4" s="3"/>
      <c r="F4" s="7">
        <f>-SUM(F2:F3)</f>
        <v>-22600</v>
      </c>
      <c r="G4" s="7">
        <f t="shared" ref="G4:K4" si="2">SUM(G2:G3)</f>
        <v>5.65</v>
      </c>
      <c r="H4" s="7">
        <f>SUM(H2:H3)</f>
        <v>1.1300000000000001</v>
      </c>
      <c r="I4" s="7">
        <f>SUM(I2:I3)</f>
        <v>3.98</v>
      </c>
      <c r="J4" s="7">
        <f>SUM(J2:J3) + 0.03</f>
        <v>0.28869999999999996</v>
      </c>
      <c r="K4" s="7">
        <f t="shared" si="2"/>
        <v>0</v>
      </c>
      <c r="L4" s="7">
        <f>-SUM(L2:L3)</f>
        <v>-22611.018699999997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BF0F-8645-49A4-A6C8-BE755BFA7BE7}">
  <dimension ref="A1:AC8"/>
  <sheetViews>
    <sheetView workbookViewId="0">
      <pane ySplit="1" topLeftCell="A2" activePane="bottomLeft" state="frozen"/>
      <selection activeCell="Q108" sqref="Q108"/>
      <selection pane="bottomLeft" sqref="A1:XFD1"/>
    </sheetView>
  </sheetViews>
  <sheetFormatPr defaultColWidth="9.140625" defaultRowHeight="15" x14ac:dyDescent="0.25"/>
  <cols>
    <col min="1" max="1" width="11.5703125" bestFit="1" customWidth="1"/>
    <col min="2" max="3" width="9" bestFit="1" customWidth="1"/>
    <col min="4" max="4" width="10" bestFit="1" customWidth="1"/>
    <col min="5" max="5" width="10.140625" style="1" bestFit="1" customWidth="1"/>
    <col min="6" max="6" width="11.7109375" style="1" bestFit="1" customWidth="1"/>
    <col min="7" max="7" width="17.85546875" style="1" bestFit="1" customWidth="1"/>
    <col min="8" max="8" width="13.42578125" style="1" bestFit="1" customWidth="1"/>
    <col min="9" max="9" width="11.42578125" style="1" bestFit="1" customWidth="1"/>
    <col min="10" max="10" width="7.140625" style="1" bestFit="1" customWidth="1"/>
    <col min="11" max="11" width="10.7109375" style="1" bestFit="1" customWidth="1"/>
    <col min="12" max="12" width="14.42578125" style="1" bestFit="1" customWidth="1"/>
    <col min="13" max="13" width="3.140625" style="2" customWidth="1"/>
    <col min="14" max="14" width="11.5703125" bestFit="1" customWidth="1"/>
    <col min="15" max="15" width="12.7109375" bestFit="1" customWidth="1"/>
    <col min="18" max="18" width="10.28515625" style="1" customWidth="1"/>
    <col min="19" max="19" width="13.85546875" style="1" bestFit="1" customWidth="1"/>
    <col min="20" max="20" width="18" style="1" bestFit="1" customWidth="1"/>
    <col min="21" max="21" width="13.5703125" style="1" bestFit="1" customWidth="1"/>
    <col min="22" max="22" width="11.5703125" style="1" bestFit="1" customWidth="1"/>
    <col min="23" max="23" width="7.140625" style="1" bestFit="1" customWidth="1"/>
    <col min="24" max="24" width="9.28515625" style="1" bestFit="1" customWidth="1"/>
    <col min="25" max="25" width="12.7109375" style="1" bestFit="1" customWidth="1"/>
    <col min="26" max="26" width="12.42578125" style="1" bestFit="1" customWidth="1"/>
    <col min="27" max="27" width="2.7109375" style="1" bestFit="1" customWidth="1"/>
    <col min="28" max="28" width="26.140625" style="1" bestFit="1" customWidth="1"/>
    <col min="29" max="29" width="21.85546875" bestFit="1" customWidth="1"/>
    <col min="30" max="30" width="16.42578125" bestFit="1" customWidth="1"/>
    <col min="31" max="31" width="12.42578125" bestFit="1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AC1" s="16"/>
    </row>
    <row r="2" spans="1:29" s="9" customFormat="1" x14ac:dyDescent="0.25">
      <c r="A2" s="10">
        <v>40073</v>
      </c>
      <c r="B2" s="9">
        <v>1462</v>
      </c>
      <c r="C2" s="9" t="s">
        <v>4</v>
      </c>
      <c r="D2" s="9">
        <v>200</v>
      </c>
      <c r="E2" s="8">
        <v>35.15</v>
      </c>
      <c r="F2" s="8">
        <f>D2*E2</f>
        <v>7030</v>
      </c>
      <c r="G2" s="8">
        <f>F2*0.0275%</f>
        <v>1.9332500000000001</v>
      </c>
      <c r="H2" s="8">
        <f>F2*0.007%</f>
        <v>0.49210000000000004</v>
      </c>
      <c r="I2" s="8">
        <v>15.99</v>
      </c>
      <c r="J2" s="8">
        <v>0.8</v>
      </c>
      <c r="K2" s="8">
        <f>((F2 - G2 - H2 - I2 - J2) - (30.88 * D2)) * 0.005%</f>
        <v>4.173923249999998E-2</v>
      </c>
      <c r="L2" s="8">
        <f t="shared" ref="L2:L4" si="0">F2-G2-H2-I2-J2</f>
        <v>7010.7846499999996</v>
      </c>
      <c r="M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s="9" customFormat="1" x14ac:dyDescent="0.25">
      <c r="A3" s="10">
        <v>40073</v>
      </c>
      <c r="B3" s="9">
        <v>1462</v>
      </c>
      <c r="C3" s="9" t="s">
        <v>4</v>
      </c>
      <c r="D3" s="9">
        <v>200</v>
      </c>
      <c r="E3" s="8">
        <v>34.479999999999997</v>
      </c>
      <c r="F3" s="8">
        <f>D3*E3</f>
        <v>6895.9999999999991</v>
      </c>
      <c r="G3" s="8">
        <f t="shared" ref="G3:G4" si="1">F3*0.0275%</f>
        <v>1.8963999999999999</v>
      </c>
      <c r="H3" s="8">
        <f t="shared" ref="H3:H4" si="2">F3*0.007%</f>
        <v>0.48271999999999998</v>
      </c>
      <c r="I3" s="8">
        <v>15.99</v>
      </c>
      <c r="J3" s="8">
        <v>0.8</v>
      </c>
      <c r="K3" s="8">
        <f>((F3 - G3 - H3 - I3 - J3) - (30.88 * D3)) * 0.005%</f>
        <v>3.504154399999998E-2</v>
      </c>
      <c r="L3" s="8">
        <f t="shared" si="0"/>
        <v>6876.8308799999995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9" customFormat="1" x14ac:dyDescent="0.25">
      <c r="A4" s="10">
        <v>40073</v>
      </c>
      <c r="B4" s="9">
        <v>1462</v>
      </c>
      <c r="C4" s="9" t="s">
        <v>4</v>
      </c>
      <c r="D4" s="9">
        <v>200</v>
      </c>
      <c r="E4" s="8">
        <v>31</v>
      </c>
      <c r="F4" s="8">
        <f>D4*E4</f>
        <v>6200</v>
      </c>
      <c r="G4" s="8">
        <f t="shared" si="1"/>
        <v>1.7050000000000001</v>
      </c>
      <c r="H4" s="8">
        <f t="shared" si="2"/>
        <v>0.43400000000000005</v>
      </c>
      <c r="I4" s="8">
        <v>15.99</v>
      </c>
      <c r="J4" s="8">
        <v>0.8</v>
      </c>
      <c r="K4" s="8">
        <f>((F4 - G4 - H4 - I4 - J4) - (30.88 * D4)) * 0.005%</f>
        <v>2.5354999999999567E-4</v>
      </c>
      <c r="L4" s="8">
        <f t="shared" si="0"/>
        <v>6181.0709999999999</v>
      </c>
      <c r="M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s="9" customFormat="1" x14ac:dyDescent="0.25">
      <c r="A5" s="10"/>
      <c r="E5" s="8"/>
      <c r="F5" s="11">
        <f t="shared" ref="F5:L5" si="3">SUM(F2:F4)</f>
        <v>20126</v>
      </c>
      <c r="G5" s="11">
        <f t="shared" si="3"/>
        <v>5.5346500000000001</v>
      </c>
      <c r="H5" s="11">
        <f t="shared" si="3"/>
        <v>1.40882</v>
      </c>
      <c r="I5" s="11">
        <f t="shared" si="3"/>
        <v>47.97</v>
      </c>
      <c r="J5" s="11">
        <f t="shared" si="3"/>
        <v>2.4000000000000004</v>
      </c>
      <c r="K5" s="11">
        <f>SUM(K2:K4) - 0.03</f>
        <v>4.7034326499999946E-2</v>
      </c>
      <c r="L5" s="11">
        <f t="shared" si="3"/>
        <v>20068.686529999999</v>
      </c>
      <c r="M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8" spans="1:29" x14ac:dyDescent="0.25">
      <c r="E8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3D49-8D2C-42B2-98C7-9E862E8E00C6}">
  <dimension ref="A1:AB4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1.5703125" style="19" bestFit="1" customWidth="1"/>
    <col min="2" max="2" width="7" style="19" bestFit="1" customWidth="1"/>
    <col min="3" max="3" width="6" style="19" bestFit="1" customWidth="1"/>
    <col min="4" max="4" width="5.42578125" style="19" bestFit="1" customWidth="1"/>
    <col min="5" max="5" width="8.140625" style="19" bestFit="1" customWidth="1"/>
    <col min="6" max="6" width="11.42578125" style="19" bestFit="1" customWidth="1"/>
    <col min="7" max="7" width="17.85546875" style="19" bestFit="1" customWidth="1"/>
    <col min="8" max="8" width="13.42578125" style="19" bestFit="1" customWidth="1"/>
    <col min="9" max="9" width="11.42578125" style="19" bestFit="1" customWidth="1"/>
    <col min="10" max="11" width="7.140625" style="19" bestFit="1" customWidth="1"/>
    <col min="12" max="12" width="11.42578125" style="19" bestFit="1" customWidth="1"/>
    <col min="13" max="13" width="2.5703125" style="19" customWidth="1"/>
    <col min="14" max="16384" width="9.140625" style="19"/>
  </cols>
  <sheetData>
    <row r="1" spans="1:28" x14ac:dyDescent="0.25">
      <c r="A1" s="19" t="s">
        <v>20</v>
      </c>
      <c r="B1" s="19" t="s">
        <v>19</v>
      </c>
      <c r="C1" s="19" t="s">
        <v>18</v>
      </c>
      <c r="D1" s="19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4" customFormat="1" x14ac:dyDescent="0.25">
      <c r="A2" s="5">
        <v>42996</v>
      </c>
      <c r="B2" s="4">
        <v>168102</v>
      </c>
      <c r="C2" s="4" t="s">
        <v>23</v>
      </c>
      <c r="D2" s="4">
        <v>400</v>
      </c>
      <c r="E2" s="3">
        <v>23.65</v>
      </c>
      <c r="F2" s="3">
        <f>D2*E2</f>
        <v>9460</v>
      </c>
      <c r="G2" s="3">
        <f t="shared" ref="G2:G3" si="0">F2*0.0275%</f>
        <v>2.6015000000000001</v>
      </c>
      <c r="H2" s="3">
        <f>F2*0.005%</f>
        <v>0.47300000000000003</v>
      </c>
      <c r="I2" s="3">
        <v>2.4900000000000002</v>
      </c>
      <c r="J2" s="3">
        <f>I2*5%</f>
        <v>0.12450000000000001</v>
      </c>
      <c r="K2" s="3">
        <v>0</v>
      </c>
      <c r="L2" s="3">
        <f>F2+G2+H2+I2+J2</f>
        <v>9465.6890000000003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9" customFormat="1" x14ac:dyDescent="0.25">
      <c r="A3" s="5">
        <v>42996</v>
      </c>
      <c r="B3" s="4">
        <v>168102</v>
      </c>
      <c r="C3" s="4" t="s">
        <v>24</v>
      </c>
      <c r="D3" s="4">
        <v>700</v>
      </c>
      <c r="E3" s="3">
        <v>10.5</v>
      </c>
      <c r="F3" s="3">
        <f>D3*E3</f>
        <v>7350</v>
      </c>
      <c r="G3" s="3">
        <f t="shared" si="0"/>
        <v>2.0212500000000002</v>
      </c>
      <c r="H3" s="3">
        <f>F3*0.005%</f>
        <v>0.36749999999999999</v>
      </c>
      <c r="I3" s="3">
        <v>2.4900000000000002</v>
      </c>
      <c r="J3" s="3">
        <f>I3*5%</f>
        <v>0.12450000000000001</v>
      </c>
      <c r="K3" s="3">
        <v>0</v>
      </c>
      <c r="L3" s="3">
        <f>F3+G3+H3+I3+J3</f>
        <v>7355.0032499999998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s="4" customFormat="1" x14ac:dyDescent="0.25">
      <c r="A4" s="5"/>
      <c r="E4" s="3"/>
      <c r="F4" s="7">
        <f>F3-F2</f>
        <v>-2110</v>
      </c>
      <c r="G4" s="7">
        <f t="shared" ref="G4:L4" si="1">SUM(G2:G3)</f>
        <v>4.6227499999999999</v>
      </c>
      <c r="H4" s="7">
        <f t="shared" si="1"/>
        <v>0.84050000000000002</v>
      </c>
      <c r="I4" s="7">
        <f t="shared" si="1"/>
        <v>4.9800000000000004</v>
      </c>
      <c r="J4" s="7">
        <f t="shared" si="1"/>
        <v>0.24900000000000003</v>
      </c>
      <c r="K4" s="7">
        <f t="shared" si="1"/>
        <v>0</v>
      </c>
      <c r="L4" s="7">
        <f t="shared" si="1"/>
        <v>16820.69225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1B46-AB87-4CAA-ABF7-E48CFDA36C4A}">
  <dimension ref="A1:AC4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1.5703125" bestFit="1" customWidth="1"/>
    <col min="2" max="2" width="7" bestFit="1" customWidth="1"/>
    <col min="3" max="3" width="6" bestFit="1" customWidth="1"/>
    <col min="4" max="4" width="5.42578125" bestFit="1" customWidth="1"/>
    <col min="5" max="5" width="8.140625" bestFit="1" customWidth="1"/>
    <col min="6" max="6" width="11.42578125" bestFit="1" customWidth="1"/>
    <col min="7" max="7" width="17.85546875" bestFit="1" customWidth="1"/>
    <col min="8" max="8" width="13.42578125" bestFit="1" customWidth="1"/>
    <col min="9" max="9" width="11.42578125" bestFit="1" customWidth="1"/>
    <col min="10" max="11" width="7.140625" bestFit="1" customWidth="1"/>
    <col min="12" max="12" width="11.42578125" bestFit="1" customWidth="1"/>
    <col min="13" max="13" width="2.5703125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6"/>
    </row>
    <row r="2" spans="1:29" s="4" customFormat="1" x14ac:dyDescent="0.25">
      <c r="A2" s="5">
        <v>42996</v>
      </c>
      <c r="B2" s="4">
        <v>168102</v>
      </c>
      <c r="C2" s="4" t="s">
        <v>23</v>
      </c>
      <c r="D2" s="4">
        <v>400</v>
      </c>
      <c r="E2" s="3">
        <v>23.65</v>
      </c>
      <c r="F2" s="3">
        <f>D2*E2</f>
        <v>9460</v>
      </c>
      <c r="G2" s="3">
        <f t="shared" ref="G2:G3" si="0">F2*0.0275%</f>
        <v>2.6015000000000001</v>
      </c>
      <c r="H2" s="3">
        <f>F2*0.005%</f>
        <v>0.47300000000000003</v>
      </c>
      <c r="I2" s="3">
        <v>2.4900000000000002</v>
      </c>
      <c r="J2" s="3">
        <f>I2*5%</f>
        <v>0.12450000000000001</v>
      </c>
      <c r="K2" s="3">
        <v>0</v>
      </c>
      <c r="L2" s="3">
        <f>F2+G2+H2+I2+J2</f>
        <v>9465.6890000000003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9" customFormat="1" x14ac:dyDescent="0.25">
      <c r="A3" s="10">
        <v>42996</v>
      </c>
      <c r="B3" s="9">
        <v>168102</v>
      </c>
      <c r="C3" s="9" t="s">
        <v>24</v>
      </c>
      <c r="D3" s="9">
        <v>700</v>
      </c>
      <c r="E3" s="8">
        <v>10.5</v>
      </c>
      <c r="F3" s="8">
        <f>D3*E3</f>
        <v>7350</v>
      </c>
      <c r="G3" s="8">
        <f t="shared" si="0"/>
        <v>2.0212500000000002</v>
      </c>
      <c r="H3" s="8">
        <f>F3*0.005%</f>
        <v>0.36749999999999999</v>
      </c>
      <c r="I3" s="8">
        <v>2.4900000000000002</v>
      </c>
      <c r="J3" s="8">
        <f>I3*5%</f>
        <v>0.12450000000000001</v>
      </c>
      <c r="K3" s="8">
        <v>0</v>
      </c>
      <c r="L3" s="8">
        <f>F3+G3+H3+I3+J3</f>
        <v>7355.0032499999998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4" customFormat="1" x14ac:dyDescent="0.25">
      <c r="A4" s="5"/>
      <c r="E4" s="3"/>
      <c r="F4" s="7">
        <f t="shared" ref="F4:K4" si="1">SUM(F2:F3)</f>
        <v>16810</v>
      </c>
      <c r="G4" s="7">
        <f t="shared" si="1"/>
        <v>4.6227499999999999</v>
      </c>
      <c r="H4" s="7">
        <f t="shared" si="1"/>
        <v>0.84050000000000002</v>
      </c>
      <c r="I4" s="7">
        <f t="shared" si="1"/>
        <v>4.9800000000000004</v>
      </c>
      <c r="J4" s="7">
        <f t="shared" si="1"/>
        <v>0.24900000000000003</v>
      </c>
      <c r="K4" s="7">
        <f t="shared" si="1"/>
        <v>0</v>
      </c>
      <c r="L4" s="7">
        <f>L3-L2</f>
        <v>-2110.6857500000006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17DF-AD8D-4011-9FBC-F9E81BE4369B}">
  <dimension ref="A1:AB4"/>
  <sheetViews>
    <sheetView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11.5703125" style="19" bestFit="1" customWidth="1"/>
    <col min="2" max="2" width="7" style="19" bestFit="1" customWidth="1"/>
    <col min="3" max="3" width="6" style="19" bestFit="1" customWidth="1"/>
    <col min="4" max="4" width="5.42578125" style="19" bestFit="1" customWidth="1"/>
    <col min="5" max="5" width="8.140625" style="19" bestFit="1" customWidth="1"/>
    <col min="6" max="6" width="11.42578125" style="19" bestFit="1" customWidth="1"/>
    <col min="7" max="7" width="17.85546875" style="19" bestFit="1" customWidth="1"/>
    <col min="8" max="8" width="13.42578125" style="19" bestFit="1" customWidth="1"/>
    <col min="9" max="9" width="11.42578125" style="19" bestFit="1" customWidth="1"/>
    <col min="10" max="11" width="7.140625" style="19" bestFit="1" customWidth="1"/>
    <col min="12" max="12" width="11.42578125" style="19" bestFit="1" customWidth="1"/>
    <col min="13" max="13" width="2.5703125" style="19" customWidth="1"/>
    <col min="14" max="16384" width="9.140625" style="19"/>
  </cols>
  <sheetData>
    <row r="1" spans="1:28" x14ac:dyDescent="0.25">
      <c r="A1" s="19" t="s">
        <v>20</v>
      </c>
      <c r="B1" s="19" t="s">
        <v>19</v>
      </c>
      <c r="C1" s="19" t="s">
        <v>18</v>
      </c>
      <c r="D1" s="19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4" customFormat="1" x14ac:dyDescent="0.25">
      <c r="A2" s="5">
        <v>42996</v>
      </c>
      <c r="B2" s="4">
        <v>168102</v>
      </c>
      <c r="C2" s="4" t="s">
        <v>23</v>
      </c>
      <c r="D2" s="4">
        <v>400</v>
      </c>
      <c r="E2" s="3">
        <v>23.65</v>
      </c>
      <c r="F2" s="3">
        <f>D2*E2</f>
        <v>9460</v>
      </c>
      <c r="G2" s="3">
        <f t="shared" ref="G2:G3" si="0">F2*0.0275%</f>
        <v>2.6015000000000001</v>
      </c>
      <c r="H2" s="3">
        <f>F2*0.005%</f>
        <v>0.47300000000000003</v>
      </c>
      <c r="I2" s="3">
        <v>2.4900000000000002</v>
      </c>
      <c r="J2" s="3">
        <f>I2*5%</f>
        <v>0.12450000000000001</v>
      </c>
      <c r="K2" s="3">
        <v>0</v>
      </c>
      <c r="L2" s="3">
        <f>F2+G2+H2+I2+J2</f>
        <v>9465.6890000000003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s="9" customFormat="1" x14ac:dyDescent="0.25">
      <c r="A3" s="5">
        <v>42996</v>
      </c>
      <c r="B3" s="4">
        <v>168102</v>
      </c>
      <c r="C3" s="4" t="s">
        <v>24</v>
      </c>
      <c r="D3" s="4">
        <v>700</v>
      </c>
      <c r="E3" s="3">
        <v>10.5</v>
      </c>
      <c r="F3" s="3">
        <f>D3*E3</f>
        <v>7350</v>
      </c>
      <c r="G3" s="3">
        <f t="shared" si="0"/>
        <v>2.0212500000000002</v>
      </c>
      <c r="H3" s="3">
        <f>F3*0.005%</f>
        <v>0.36749999999999999</v>
      </c>
      <c r="I3" s="3">
        <v>2.4900000000000002</v>
      </c>
      <c r="J3" s="3">
        <f>I3*5%</f>
        <v>0.12450000000000001</v>
      </c>
      <c r="K3" s="3">
        <v>0</v>
      </c>
      <c r="L3" s="3">
        <f>F3+G3+H3+I3+J3</f>
        <v>7355.0032499999998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s="4" customFormat="1" x14ac:dyDescent="0.25">
      <c r="A4" s="5"/>
      <c r="E4" s="3"/>
      <c r="F4" s="7">
        <f t="shared" ref="F4:K4" si="1">SUM(F2:F3)</f>
        <v>16810</v>
      </c>
      <c r="G4" s="7">
        <f t="shared" si="1"/>
        <v>4.6227499999999999</v>
      </c>
      <c r="H4" s="7">
        <f t="shared" si="1"/>
        <v>0.84050000000000002</v>
      </c>
      <c r="I4" s="7">
        <f t="shared" si="1"/>
        <v>4.9800000000000004</v>
      </c>
      <c r="J4" s="7">
        <f t="shared" si="1"/>
        <v>0.24900000000000003</v>
      </c>
      <c r="K4" s="7">
        <f t="shared" si="1"/>
        <v>0</v>
      </c>
      <c r="L4" s="7">
        <f>L3-L2</f>
        <v>-2110.6857500000006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9107-DEBE-454A-A911-9FAC6360BB3B}">
  <dimension ref="A1:AC4"/>
  <sheetViews>
    <sheetView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11.5703125" bestFit="1" customWidth="1"/>
    <col min="2" max="2" width="7" bestFit="1" customWidth="1"/>
    <col min="3" max="3" width="6" bestFit="1" customWidth="1"/>
    <col min="4" max="4" width="5.42578125" bestFit="1" customWidth="1"/>
    <col min="5" max="5" width="8.140625" bestFit="1" customWidth="1"/>
    <col min="6" max="6" width="11.42578125" bestFit="1" customWidth="1"/>
    <col min="7" max="7" width="17.85546875" bestFit="1" customWidth="1"/>
    <col min="8" max="8" width="13.42578125" bestFit="1" customWidth="1"/>
    <col min="9" max="9" width="11.42578125" bestFit="1" customWidth="1"/>
    <col min="10" max="11" width="7.140625" bestFit="1" customWidth="1"/>
    <col min="12" max="12" width="11.42578125" bestFit="1" customWidth="1"/>
    <col min="13" max="13" width="2.5703125" customWidth="1"/>
  </cols>
  <sheetData>
    <row r="1" spans="1:29" x14ac:dyDescent="0.25">
      <c r="A1" t="s">
        <v>20</v>
      </c>
      <c r="B1" t="s">
        <v>19</v>
      </c>
      <c r="C1" t="s">
        <v>18</v>
      </c>
      <c r="D1" t="s">
        <v>17</v>
      </c>
      <c r="E1" s="1" t="s">
        <v>16</v>
      </c>
      <c r="F1" s="1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6"/>
    </row>
    <row r="2" spans="1:29" s="4" customFormat="1" x14ac:dyDescent="0.25">
      <c r="A2" s="5">
        <v>42996</v>
      </c>
      <c r="B2" s="4">
        <v>168102</v>
      </c>
      <c r="C2" s="4" t="s">
        <v>23</v>
      </c>
      <c r="D2" s="4">
        <v>400</v>
      </c>
      <c r="E2" s="3">
        <v>23.65</v>
      </c>
      <c r="F2" s="3">
        <f>D2*E2</f>
        <v>9460</v>
      </c>
      <c r="G2" s="3">
        <f t="shared" ref="G2:G3" si="0">F2*0.0275%</f>
        <v>2.6015000000000001</v>
      </c>
      <c r="H2" s="3">
        <f>F2*0.005%</f>
        <v>0.47300000000000003</v>
      </c>
      <c r="I2" s="3">
        <v>2.4900000000000002</v>
      </c>
      <c r="J2" s="3">
        <f>I2*5%</f>
        <v>0.12450000000000001</v>
      </c>
      <c r="K2" s="3">
        <v>0</v>
      </c>
      <c r="L2" s="3">
        <f>F2+G2+H2+I2+J2</f>
        <v>9465.6890000000003</v>
      </c>
      <c r="M2" s="6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s="9" customFormat="1" x14ac:dyDescent="0.25">
      <c r="A3" s="10">
        <v>42996</v>
      </c>
      <c r="B3" s="9">
        <v>168102</v>
      </c>
      <c r="C3" s="9" t="s">
        <v>24</v>
      </c>
      <c r="D3" s="9">
        <v>700</v>
      </c>
      <c r="E3" s="8">
        <v>10.5</v>
      </c>
      <c r="F3" s="8">
        <f>D3*E3</f>
        <v>7350</v>
      </c>
      <c r="G3" s="8">
        <f t="shared" si="0"/>
        <v>2.0212500000000002</v>
      </c>
      <c r="H3" s="8">
        <f>F3*0.005%</f>
        <v>0.36749999999999999</v>
      </c>
      <c r="I3" s="8">
        <v>2.4900000000000002</v>
      </c>
      <c r="J3" s="8">
        <f>I3*5%</f>
        <v>0.12450000000000001</v>
      </c>
      <c r="K3" s="8">
        <v>0</v>
      </c>
      <c r="L3" s="8">
        <f>F3+G3+H3+I3+J3</f>
        <v>7355.0032499999998</v>
      </c>
      <c r="M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s="4" customFormat="1" x14ac:dyDescent="0.25">
      <c r="A4" s="5"/>
      <c r="E4" s="3"/>
      <c r="F4" s="7">
        <f>F3-F2</f>
        <v>-2110</v>
      </c>
      <c r="G4" s="7">
        <f t="shared" ref="G4:L4" si="1">SUM(G2:G3)</f>
        <v>4.6227499999999999</v>
      </c>
      <c r="H4" s="7">
        <f t="shared" si="1"/>
        <v>0.84050000000000002</v>
      </c>
      <c r="I4" s="7">
        <f t="shared" si="1"/>
        <v>4.9800000000000004</v>
      </c>
      <c r="J4" s="7">
        <f t="shared" si="1"/>
        <v>0.24900000000000003</v>
      </c>
      <c r="K4" s="7">
        <f t="shared" si="1"/>
        <v>0</v>
      </c>
      <c r="L4" s="7">
        <f t="shared" si="1"/>
        <v>16820.69225</v>
      </c>
      <c r="M4" s="6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NotUsed</vt:lpstr>
      <vt:lpstr>TradingDateMissing</vt:lpstr>
      <vt:lpstr>TradingDateNegative</vt:lpstr>
      <vt:lpstr>TradingDateExtraneousCharacters</vt:lpstr>
      <vt:lpstr>TradingDateInvalidDate</vt:lpstr>
      <vt:lpstr>TradingDateBlack</vt:lpstr>
      <vt:lpstr>TradingDateRedForSelling</vt:lpstr>
      <vt:lpstr>TradingDateBlueForBuying</vt:lpstr>
      <vt:lpstr>NoteNumberMissing</vt:lpstr>
      <vt:lpstr>NoteNumberNegative</vt:lpstr>
      <vt:lpstr>NoteNumberExtraneousCharacters</vt:lpstr>
      <vt:lpstr>NoteNumberBlack</vt:lpstr>
      <vt:lpstr>NoteNumberRedForSelling</vt:lpstr>
      <vt:lpstr>NoteNumberBlueForBuying</vt:lpstr>
      <vt:lpstr>TickerMissing</vt:lpstr>
      <vt:lpstr>TickerBlack</vt:lpstr>
      <vt:lpstr>TickerRedForSelling</vt:lpstr>
      <vt:lpstr>TickerBlueForBuying</vt:lpstr>
      <vt:lpstr>QtyMissing</vt:lpstr>
      <vt:lpstr>QtyNegative</vt:lpstr>
      <vt:lpstr>QtyExtraneousCharacters</vt:lpstr>
      <vt:lpstr>QtyBlack</vt:lpstr>
      <vt:lpstr>QtyRedForSelling</vt:lpstr>
      <vt:lpstr>QtyBlueForBuying</vt:lpstr>
      <vt:lpstr>PriceMissing</vt:lpstr>
      <vt:lpstr>PriceNegative</vt:lpstr>
      <vt:lpstr>PriceExtraneousCharacters</vt:lpstr>
      <vt:lpstr>PriceBlack</vt:lpstr>
      <vt:lpstr>PriceRedForSelling</vt:lpstr>
      <vt:lpstr>PriceBlueForBuying</vt:lpstr>
      <vt:lpstr>VolumeMissing</vt:lpstr>
      <vt:lpstr>VolumeExtraneousCharacters</vt:lpstr>
      <vt:lpstr>VolumeBlack</vt:lpstr>
      <vt:lpstr>VolumeRedForSelling</vt:lpstr>
      <vt:lpstr>VolumeBlueForBuying</vt:lpstr>
      <vt:lpstr>SettlementFeeMissing</vt:lpstr>
      <vt:lpstr>SettlementFeeExtraneousChars</vt:lpstr>
      <vt:lpstr>SettlementFeeBlack</vt:lpstr>
      <vt:lpstr>SettlementFeeRedForSelling</vt:lpstr>
      <vt:lpstr>SettlementFeeBlueForBuying</vt:lpstr>
      <vt:lpstr>TradingFeesMissing</vt:lpstr>
      <vt:lpstr>TradingFeesExtraneousCharacters</vt:lpstr>
      <vt:lpstr>TradingFeesBlack</vt:lpstr>
      <vt:lpstr>TradingFeesRedForSelling</vt:lpstr>
      <vt:lpstr>TradingFeesBlueForBuying</vt:lpstr>
      <vt:lpstr>BrokerageMissing</vt:lpstr>
      <vt:lpstr>BrokerageNegative</vt:lpstr>
      <vt:lpstr>BrokerageExtraneousCharacters</vt:lpstr>
      <vt:lpstr>BrokerageBlack</vt:lpstr>
      <vt:lpstr>BrokerageRedForSelling</vt:lpstr>
      <vt:lpstr>BrokerageBlueForBuying</vt:lpstr>
      <vt:lpstr>ServiceTaxMissing</vt:lpstr>
      <vt:lpstr>ServiceTaxNegative</vt:lpstr>
      <vt:lpstr>ServiceTaxExtraneousCharacters</vt:lpstr>
      <vt:lpstr>ServiceTaxBlack</vt:lpstr>
      <vt:lpstr>ServiceTaxRedForSelling</vt:lpstr>
      <vt:lpstr>ServiceTaxBlueForBuying</vt:lpstr>
      <vt:lpstr>IncomeTaxAtSourceExtraneousChar</vt:lpstr>
      <vt:lpstr>IncomeTaxAtSourceBlack</vt:lpstr>
      <vt:lpstr>IncomeTaxAtSourceRedForSelling</vt:lpstr>
      <vt:lpstr>IncomeTaxAtSourceBlueForBuying</vt:lpstr>
      <vt:lpstr>TotalMissing</vt:lpstr>
      <vt:lpstr>TotalExtraneousCharacters</vt:lpstr>
      <vt:lpstr>TotalBlack</vt:lpstr>
      <vt:lpstr>TotalRedForSelling</vt:lpstr>
      <vt:lpstr>TotalBlueForBuying</vt:lpstr>
      <vt:lpstr>NoEmptyAttributeHalfOfEachColor</vt:lpstr>
      <vt:lpstr>NonEmptyAttribsHalfOfEachColor</vt:lpstr>
      <vt:lpstr>ValidColoredAttribHalfEachColor</vt:lpstr>
      <vt:lpstr>NEValidColorAttrHalfEachColor</vt:lpstr>
      <vt:lpstr>VolumeSummaryMissing</vt:lpstr>
      <vt:lpstr>VolumeSummaryExtraneousChars</vt:lpstr>
      <vt:lpstr>SettlementFeeSummaryMissing</vt:lpstr>
      <vt:lpstr>SettlementFeeSummaryExtrChars</vt:lpstr>
      <vt:lpstr>TradingFeesSummaryMissing</vt:lpstr>
      <vt:lpstr>TradingFeesSummaryExtrChars</vt:lpstr>
      <vt:lpstr>BrokerageSummaryMissing</vt:lpstr>
      <vt:lpstr>BrokerageSummaryExtraneousChars</vt:lpstr>
      <vt:lpstr>ServiceTaxSummaryMissing</vt:lpstr>
      <vt:lpstr>ServiceTaxSummaryExtrChars</vt:lpstr>
      <vt:lpstr>IncomeTaxAtSourceSummExtrChars</vt:lpstr>
      <vt:lpstr>TotalSummaryMissing</vt:lpstr>
      <vt:lpstr>TotalSummaryExtraneousChars</vt:lpstr>
      <vt:lpstr>GroupWithDifferentTradingDates</vt:lpstr>
      <vt:lpstr>GroupWithDifferentNoteNumbers</vt:lpstr>
      <vt:lpstr>MultiLineGroupWithNoSummary</vt:lpstr>
      <vt:lpstr>GroupWithInvalidSummary</vt:lpstr>
      <vt:lpstr>LineWithDifferentFontColors</vt:lpstr>
      <vt:lpstr>LineWithBlackFontColor</vt:lpstr>
      <vt:lpstr>GroupsWithSameTradingDate&amp;Note</vt:lpstr>
      <vt:lpstr>GroupsWithSummary</vt:lpstr>
      <vt:lpstr>BuyingAndSellingOperations</vt:lpstr>
      <vt:lpstr>SingleLineGroups</vt:lpstr>
      <vt:lpstr>VolumeDoesNotMatchQtyTimesPrice</vt:lpstr>
      <vt:lpstr>SettlementFeeNotVolumeTimesRate</vt:lpstr>
      <vt:lpstr>InvalidTradingFees</vt:lpstr>
      <vt:lpstr>InvalidServiceTax</vt:lpstr>
      <vt:lpstr>InvalidIncomeTaxAtSource</vt:lpstr>
      <vt:lpstr>_BugInGroupFormation_</vt:lpstr>
      <vt:lpstr>NonZeroIncomeTaxAtSourceBuying</vt:lpstr>
      <vt:lpstr>InvalidTotalForSelling</vt:lpstr>
      <vt:lpstr>InvalidTotalForBuying</vt:lpstr>
      <vt:lpstr>InvalidSettlementFeeSummary</vt:lpstr>
      <vt:lpstr>InvalidTradingFeesSummary</vt:lpstr>
      <vt:lpstr>InvalidBrokerageSummary</vt:lpstr>
      <vt:lpstr>InvalidServiceTaxSummary</vt:lpstr>
      <vt:lpstr>InvalidIncomeTaxAtSourceSummary</vt:lpstr>
      <vt:lpstr>InvalidVolumeSummaryHomogGroups</vt:lpstr>
      <vt:lpstr>InvalidVolumeSummaryMixedGroups</vt:lpstr>
      <vt:lpstr>InvalidTotalSummaryHomogGroups</vt:lpstr>
      <vt:lpstr>InvalidTotalSummaryMixedGroups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Diego Cardoso</dc:creator>
  <cp:lastModifiedBy>Andrei Diego Cardoso</cp:lastModifiedBy>
  <dcterms:created xsi:type="dcterms:W3CDTF">2022-03-15T21:37:30Z</dcterms:created>
  <dcterms:modified xsi:type="dcterms:W3CDTF">2022-06-06T11:24:30Z</dcterms:modified>
</cp:coreProperties>
</file>