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5D85EE3A-686B-4264-9A06-7F0F48D62374}" xr6:coauthVersionLast="47" xr6:coauthVersionMax="47" xr10:uidLastSave="{00000000-0000-0000-0000-000000000000}"/>
  <bookViews>
    <workbookView xWindow="-120" yWindow="-120" windowWidth="29040" windowHeight="15525" tabRatio="851" firstSheet="106" activeTab="111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NonEmptyAttribsHalfOfEachColor" sheetId="118" r:id="rId68"/>
    <sheet name="ValidColoredAttribHalfEachColor" sheetId="117" r:id="rId69"/>
    <sheet name="NEValidColorAttrHalfEachColor" sheetId="119" r:id="rId70"/>
    <sheet name="VolumeSummaryMissing" sheetId="102" r:id="rId71"/>
    <sheet name="VolumeSummaryExtraneousChars" sheetId="108" r:id="rId72"/>
    <sheet name="SettlementFeeSummaryMissing" sheetId="103" r:id="rId73"/>
    <sheet name="SettlementFeeSummaryExtrChars" sheetId="109" r:id="rId74"/>
    <sheet name="TradingFeesSummaryMissing" sheetId="104" r:id="rId75"/>
    <sheet name="TradingFeesSummaryExtrChars" sheetId="110" r:id="rId76"/>
    <sheet name="BrokerageSummaryMissing" sheetId="105" r:id="rId77"/>
    <sheet name="BrokerageSummaryExtraneousChars" sheetId="111" r:id="rId78"/>
    <sheet name="ServiceTaxSummaryMissing" sheetId="106" r:id="rId79"/>
    <sheet name="ServiceTaxSummaryExtrChars" sheetId="112" r:id="rId80"/>
    <sheet name="IncomeTaxAtSourceSummExtrChars" sheetId="113" r:id="rId81"/>
    <sheet name="TotalSummaryMissing" sheetId="107" r:id="rId82"/>
    <sheet name="TotalSummaryExtraneousChars" sheetId="114" r:id="rId83"/>
    <sheet name="GroupWithDifferentTradingDates" sheetId="34" r:id="rId84"/>
    <sheet name="GroupWithDifferentNoteNumbers" sheetId="12" r:id="rId85"/>
    <sheet name="MultiLineGroupWithNoSummary" sheetId="25" r:id="rId86"/>
    <sheet name="GroupWithInvalidSummary" sheetId="26" r:id="rId87"/>
    <sheet name="LineWithDifferentFontColors" sheetId="13" r:id="rId88"/>
    <sheet name="LineWithBlackFontColor" sheetId="14" r:id="rId89"/>
    <sheet name="GroupsWithSameTradingDate&amp;Note" sheetId="7" r:id="rId90"/>
    <sheet name="GroupsWithSummary" sheetId="8" r:id="rId91"/>
    <sheet name="BuyingAndSellingOperations" sheetId="9" r:id="rId92"/>
    <sheet name="SingleLineGroups" sheetId="10" r:id="rId93"/>
    <sheet name="VolumeDoesNotMatchQtyTimesPrice" sheetId="15" r:id="rId94"/>
    <sheet name="SettlementFeeNotVolumeTimesRate" sheetId="16" r:id="rId95"/>
    <sheet name="InvalidTradingFees" sheetId="17" r:id="rId96"/>
    <sheet name="InvalidServiceTax" sheetId="18" r:id="rId97"/>
    <sheet name="InvalidIncomeTaxAtSource" sheetId="19" r:id="rId98"/>
    <sheet name="_BugInGroupFormation_" sheetId="33" r:id="rId99"/>
    <sheet name="NonZeroIncomeTaxAtSourceBuying" sheetId="21" r:id="rId100"/>
    <sheet name="InvalidTotalForSelling" sheetId="22" r:id="rId101"/>
    <sheet name="InvalidTotalForBuying" sheetId="23" r:id="rId102"/>
    <sheet name="InvalidSettlementFeeSummary" sheetId="24" r:id="rId103"/>
    <sheet name="InvalidTradingFeesSummary" sheetId="27" r:id="rId104"/>
    <sheet name="InvalidBrokerageSummary" sheetId="28" r:id="rId105"/>
    <sheet name="InvalidServiceTaxSummary" sheetId="29" r:id="rId106"/>
    <sheet name="InvalidIncomeTaxAtSourceSummary" sheetId="30" r:id="rId107"/>
    <sheet name="InvalidVolumeSummaryHomogGroups" sheetId="115" r:id="rId108"/>
    <sheet name="InvalidVolumeSummaryMixedGroups" sheetId="31" r:id="rId109"/>
    <sheet name="InvalidTotalSummaryHomogGroups" sheetId="116" r:id="rId110"/>
    <sheet name="InvalidTotalSummaryMixedGroups" sheetId="32" r:id="rId111"/>
    <sheet name="MultipleErrors" sheetId="120" r:id="rId1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20" l="1"/>
  <c r="G52" i="120"/>
  <c r="H52" i="120"/>
  <c r="I52" i="120"/>
  <c r="J52" i="120"/>
  <c r="K52" i="120"/>
  <c r="H51" i="120"/>
  <c r="F51" i="120"/>
  <c r="H50" i="120"/>
  <c r="G50" i="120"/>
  <c r="F50" i="120"/>
  <c r="L50" i="120" s="1"/>
  <c r="H47" i="120"/>
  <c r="G47" i="120"/>
  <c r="F47" i="120"/>
  <c r="L47" i="120" s="1"/>
  <c r="F46" i="120"/>
  <c r="H46" i="120" s="1"/>
  <c r="J8" i="120"/>
  <c r="F2" i="120"/>
  <c r="G2" i="120" s="1"/>
  <c r="J2" i="120"/>
  <c r="F4" i="120"/>
  <c r="J4" i="120"/>
  <c r="F6" i="120"/>
  <c r="H6" i="120" s="1"/>
  <c r="F8" i="120"/>
  <c r="G8" i="120" s="1"/>
  <c r="F10" i="120"/>
  <c r="G10" i="120" s="1"/>
  <c r="J10" i="120"/>
  <c r="G11" i="120"/>
  <c r="H11" i="120"/>
  <c r="H12" i="120" s="1"/>
  <c r="J11" i="120"/>
  <c r="I12" i="120"/>
  <c r="K12" i="120"/>
  <c r="F14" i="120"/>
  <c r="J14" i="120"/>
  <c r="F16" i="120"/>
  <c r="G16" i="120" s="1"/>
  <c r="J16" i="120"/>
  <c r="H17" i="120"/>
  <c r="J17" i="120"/>
  <c r="F18" i="120"/>
  <c r="G18" i="120" s="1"/>
  <c r="L18" i="120"/>
  <c r="F19" i="120"/>
  <c r="G19" i="120" s="1"/>
  <c r="J19" i="120"/>
  <c r="A20" i="120"/>
  <c r="B20" i="120"/>
  <c r="D20" i="120"/>
  <c r="E20" i="120"/>
  <c r="I20" i="120"/>
  <c r="K20" i="120"/>
  <c r="F22" i="120"/>
  <c r="G22" i="120" s="1"/>
  <c r="F23" i="120"/>
  <c r="G23" i="120" s="1"/>
  <c r="H23" i="120"/>
  <c r="F26" i="120"/>
  <c r="F27" i="120"/>
  <c r="H27" i="120" s="1"/>
  <c r="G27" i="120"/>
  <c r="F28" i="120"/>
  <c r="G28" i="120" s="1"/>
  <c r="I29" i="120"/>
  <c r="J29" i="120"/>
  <c r="K29" i="120"/>
  <c r="F31" i="120"/>
  <c r="G31" i="120" s="1"/>
  <c r="F32" i="120"/>
  <c r="G32" i="120" s="1"/>
  <c r="F33" i="120"/>
  <c r="G33" i="120"/>
  <c r="H33" i="120"/>
  <c r="I33" i="120"/>
  <c r="J33" i="120"/>
  <c r="K33" i="120"/>
  <c r="L33" i="120"/>
  <c r="F35" i="120"/>
  <c r="G35" i="120" s="1"/>
  <c r="F36" i="120"/>
  <c r="I37" i="120"/>
  <c r="J37" i="120"/>
  <c r="K37" i="120"/>
  <c r="F39" i="120"/>
  <c r="G39" i="120" s="1"/>
  <c r="F40" i="120"/>
  <c r="G40" i="120" s="1"/>
  <c r="I41" i="120"/>
  <c r="J41" i="120"/>
  <c r="K41" i="120"/>
  <c r="F43" i="120"/>
  <c r="H43" i="120" s="1"/>
  <c r="G43" i="120"/>
  <c r="F44" i="120"/>
  <c r="G44" i="120" s="1"/>
  <c r="L51" i="120" l="1"/>
  <c r="G51" i="120"/>
  <c r="G46" i="120"/>
  <c r="L2" i="120"/>
  <c r="F37" i="120"/>
  <c r="H35" i="120"/>
  <c r="L35" i="120" s="1"/>
  <c r="H44" i="120"/>
  <c r="L44" i="120" s="1"/>
  <c r="H32" i="120"/>
  <c r="L32" i="120" s="1"/>
  <c r="F12" i="120"/>
  <c r="L17" i="120"/>
  <c r="F29" i="120"/>
  <c r="J20" i="120"/>
  <c r="J12" i="120"/>
  <c r="L23" i="120"/>
  <c r="G12" i="120"/>
  <c r="H36" i="120"/>
  <c r="H37" i="120" s="1"/>
  <c r="G36" i="120"/>
  <c r="G37" i="120" s="1"/>
  <c r="H31" i="120"/>
  <c r="L31" i="120" s="1"/>
  <c r="L27" i="120"/>
  <c r="L16" i="120"/>
  <c r="G20" i="120"/>
  <c r="G41" i="120"/>
  <c r="H19" i="120"/>
  <c r="H14" i="120"/>
  <c r="L14" i="120" s="1"/>
  <c r="L43" i="120"/>
  <c r="H39" i="120"/>
  <c r="H28" i="120"/>
  <c r="L28" i="120" s="1"/>
  <c r="H26" i="120"/>
  <c r="H22" i="120"/>
  <c r="L22" i="120" s="1"/>
  <c r="L11" i="120"/>
  <c r="L12" i="120" s="1"/>
  <c r="H8" i="120"/>
  <c r="L8" i="120" s="1"/>
  <c r="H4" i="120"/>
  <c r="G26" i="120"/>
  <c r="G29" i="120" s="1"/>
  <c r="F20" i="120"/>
  <c r="G4" i="120"/>
  <c r="H18" i="120"/>
  <c r="H20" i="120" s="1"/>
  <c r="L6" i="120"/>
  <c r="F41" i="120"/>
  <c r="H40" i="120"/>
  <c r="L40" i="120" s="1"/>
  <c r="L46" i="120" l="1"/>
  <c r="L48" i="120" s="1"/>
  <c r="H41" i="120"/>
  <c r="L20" i="120"/>
  <c r="L26" i="120"/>
  <c r="L29" i="120" s="1"/>
  <c r="L39" i="120"/>
  <c r="L4" i="120"/>
  <c r="L36" i="120"/>
  <c r="L37" i="120" s="1"/>
  <c r="L41" i="120"/>
  <c r="H29" i="120"/>
  <c r="H2" i="119" l="1"/>
  <c r="G2" i="119"/>
  <c r="F2" i="119"/>
  <c r="L2" i="119" s="1"/>
  <c r="F2" i="118"/>
  <c r="F2" i="117"/>
  <c r="H2" i="117" s="1"/>
  <c r="F4" i="116"/>
  <c r="L4" i="116"/>
  <c r="K4" i="116"/>
  <c r="J4" i="116"/>
  <c r="I4" i="116"/>
  <c r="J3" i="116"/>
  <c r="H3" i="116"/>
  <c r="G3" i="116"/>
  <c r="L3" i="116" s="1"/>
  <c r="F3" i="116"/>
  <c r="J2" i="116"/>
  <c r="F2" i="116"/>
  <c r="G2" i="116" s="1"/>
  <c r="G4" i="116" s="1"/>
  <c r="L4" i="115"/>
  <c r="F4" i="115"/>
  <c r="K4" i="115"/>
  <c r="I4" i="115"/>
  <c r="J3" i="115"/>
  <c r="F3" i="115"/>
  <c r="H3" i="115" s="1"/>
  <c r="J2" i="115"/>
  <c r="J4" i="115" s="1"/>
  <c r="G2" i="115"/>
  <c r="F2" i="115"/>
  <c r="F5" i="114"/>
  <c r="F5" i="112"/>
  <c r="I5" i="112"/>
  <c r="F5" i="113"/>
  <c r="F5" i="111"/>
  <c r="H5" i="111"/>
  <c r="F5" i="110"/>
  <c r="F5" i="109"/>
  <c r="K5" i="114"/>
  <c r="J5" i="114"/>
  <c r="I5" i="114"/>
  <c r="H4" i="114"/>
  <c r="F4" i="114"/>
  <c r="G4" i="114" s="1"/>
  <c r="L4" i="114" s="1"/>
  <c r="F3" i="114"/>
  <c r="H2" i="114"/>
  <c r="F2" i="114"/>
  <c r="G2" i="114" s="1"/>
  <c r="J5" i="113"/>
  <c r="I5" i="113"/>
  <c r="H4" i="113"/>
  <c r="F4" i="113"/>
  <c r="G4" i="113" s="1"/>
  <c r="L4" i="113" s="1"/>
  <c r="F3" i="113"/>
  <c r="H2" i="113"/>
  <c r="F2" i="113"/>
  <c r="G2" i="113" s="1"/>
  <c r="H5" i="112"/>
  <c r="K5" i="112"/>
  <c r="H4" i="112"/>
  <c r="F4" i="112"/>
  <c r="G4" i="112" s="1"/>
  <c r="L4" i="112" s="1"/>
  <c r="F3" i="112"/>
  <c r="H2" i="112"/>
  <c r="F2" i="112"/>
  <c r="G2" i="112" s="1"/>
  <c r="K5" i="111"/>
  <c r="J5" i="111"/>
  <c r="F4" i="111"/>
  <c r="F3" i="111"/>
  <c r="F2" i="111"/>
  <c r="G5" i="110"/>
  <c r="G3" i="110"/>
  <c r="G4" i="110"/>
  <c r="K5" i="110"/>
  <c r="J5" i="110"/>
  <c r="I5" i="110"/>
  <c r="L4" i="110"/>
  <c r="H4" i="110"/>
  <c r="F4" i="110"/>
  <c r="F3" i="110"/>
  <c r="L2" i="110"/>
  <c r="H2" i="110"/>
  <c r="G2" i="110"/>
  <c r="F2" i="110"/>
  <c r="K5" i="109"/>
  <c r="J5" i="109"/>
  <c r="I5" i="109"/>
  <c r="H4" i="109"/>
  <c r="G4" i="109"/>
  <c r="L4" i="109" s="1"/>
  <c r="F4" i="109"/>
  <c r="F3" i="109"/>
  <c r="H2" i="109"/>
  <c r="G2" i="109"/>
  <c r="L2" i="109" s="1"/>
  <c r="F2" i="109"/>
  <c r="K5" i="108"/>
  <c r="J5" i="108"/>
  <c r="I5" i="108"/>
  <c r="H4" i="108"/>
  <c r="G4" i="108"/>
  <c r="F4" i="108"/>
  <c r="L4" i="108" s="1"/>
  <c r="F3" i="108"/>
  <c r="G3" i="108" s="1"/>
  <c r="H2" i="108"/>
  <c r="G2" i="108"/>
  <c r="L2" i="108" s="1"/>
  <c r="F2" i="108"/>
  <c r="G2" i="118" l="1"/>
  <c r="L2" i="118" s="1"/>
  <c r="H2" i="118"/>
  <c r="G2" i="117"/>
  <c r="L2" i="117" s="1"/>
  <c r="H2" i="116"/>
  <c r="H4" i="116" s="1"/>
  <c r="H2" i="115"/>
  <c r="H4" i="115" s="1"/>
  <c r="G3" i="115"/>
  <c r="L3" i="115" s="1"/>
  <c r="L2" i="114"/>
  <c r="H3" i="114"/>
  <c r="H5" i="114" s="1"/>
  <c r="G3" i="114"/>
  <c r="L3" i="114" s="1"/>
  <c r="L2" i="113"/>
  <c r="H3" i="113"/>
  <c r="H5" i="113" s="1"/>
  <c r="G3" i="113"/>
  <c r="G5" i="113" s="1"/>
  <c r="L2" i="112"/>
  <c r="H3" i="112"/>
  <c r="G3" i="112"/>
  <c r="L3" i="112" s="1"/>
  <c r="G4" i="111"/>
  <c r="L4" i="111" s="1"/>
  <c r="H2" i="111"/>
  <c r="G2" i="111"/>
  <c r="G5" i="111" s="1"/>
  <c r="H4" i="111"/>
  <c r="G3" i="111"/>
  <c r="L3" i="111" s="1"/>
  <c r="H3" i="111"/>
  <c r="L3" i="110"/>
  <c r="L5" i="110" s="1"/>
  <c r="H3" i="110"/>
  <c r="H3" i="109"/>
  <c r="H5" i="109" s="1"/>
  <c r="G3" i="109"/>
  <c r="L3" i="109" s="1"/>
  <c r="L5" i="109" s="1"/>
  <c r="G5" i="108"/>
  <c r="H3" i="108"/>
  <c r="H5" i="108" s="1"/>
  <c r="L3" i="108"/>
  <c r="L5" i="108" s="1"/>
  <c r="L2" i="116" l="1"/>
  <c r="L2" i="115"/>
  <c r="G4" i="115"/>
  <c r="G5" i="114"/>
  <c r="L3" i="113"/>
  <c r="L5" i="113"/>
  <c r="G5" i="112"/>
  <c r="L5" i="112"/>
  <c r="L2" i="111"/>
  <c r="L5" i="111" s="1"/>
  <c r="F5" i="103" l="1"/>
  <c r="F5" i="104"/>
  <c r="F5" i="105"/>
  <c r="F5" i="106"/>
  <c r="F5" i="107"/>
  <c r="K5" i="107"/>
  <c r="J5" i="107"/>
  <c r="I5" i="107"/>
  <c r="F4" i="107"/>
  <c r="G4" i="107" s="1"/>
  <c r="F3" i="107"/>
  <c r="F2" i="107"/>
  <c r="K5" i="106"/>
  <c r="I5" i="106"/>
  <c r="H4" i="106"/>
  <c r="F4" i="106"/>
  <c r="G4" i="106" s="1"/>
  <c r="L4" i="106" s="1"/>
  <c r="F3" i="106"/>
  <c r="H2" i="106"/>
  <c r="F2" i="106"/>
  <c r="G2" i="106" s="1"/>
  <c r="K5" i="105"/>
  <c r="J5" i="105"/>
  <c r="H4" i="105"/>
  <c r="F4" i="105"/>
  <c r="G4" i="105" s="1"/>
  <c r="L4" i="105" s="1"/>
  <c r="F3" i="105"/>
  <c r="H2" i="105"/>
  <c r="F2" i="105"/>
  <c r="G2" i="105" s="1"/>
  <c r="K5" i="104"/>
  <c r="J5" i="104"/>
  <c r="I5" i="104"/>
  <c r="H4" i="104"/>
  <c r="F4" i="104"/>
  <c r="G4" i="104" s="1"/>
  <c r="L4" i="104" s="1"/>
  <c r="F3" i="104"/>
  <c r="H3" i="104" s="1"/>
  <c r="H2" i="104"/>
  <c r="F2" i="104"/>
  <c r="G2" i="104" s="1"/>
  <c r="K5" i="103"/>
  <c r="J5" i="103"/>
  <c r="I5" i="103"/>
  <c r="F4" i="103"/>
  <c r="H3" i="103"/>
  <c r="F3" i="103"/>
  <c r="G3" i="103" s="1"/>
  <c r="L3" i="103" s="1"/>
  <c r="F2" i="103"/>
  <c r="G2" i="107" l="1"/>
  <c r="H2" i="107"/>
  <c r="H4" i="107"/>
  <c r="L4" i="107" s="1"/>
  <c r="G3" i="107"/>
  <c r="L3" i="107" s="1"/>
  <c r="H3" i="107"/>
  <c r="G5" i="106"/>
  <c r="L2" i="106"/>
  <c r="H3" i="106"/>
  <c r="H5" i="106" s="1"/>
  <c r="G3" i="106"/>
  <c r="L3" i="106" s="1"/>
  <c r="L3" i="105"/>
  <c r="G5" i="105"/>
  <c r="L2" i="105"/>
  <c r="G3" i="105"/>
  <c r="H3" i="105"/>
  <c r="H5" i="105" s="1"/>
  <c r="L2" i="104"/>
  <c r="L5" i="104" s="1"/>
  <c r="G5" i="104"/>
  <c r="G3" i="104"/>
  <c r="L3" i="104"/>
  <c r="L2" i="103"/>
  <c r="G2" i="103"/>
  <c r="G4" i="103"/>
  <c r="H2" i="103"/>
  <c r="H4" i="103"/>
  <c r="L4" i="103" s="1"/>
  <c r="K5" i="102"/>
  <c r="J5" i="102"/>
  <c r="I5" i="102"/>
  <c r="H4" i="102"/>
  <c r="L4" i="102" s="1"/>
  <c r="G4" i="102"/>
  <c r="F4" i="102"/>
  <c r="F3" i="102"/>
  <c r="G3" i="102" s="1"/>
  <c r="F2" i="102"/>
  <c r="G2" i="102" s="1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H2" i="85"/>
  <c r="F2" i="85"/>
  <c r="F2" i="84"/>
  <c r="F2" i="83"/>
  <c r="L2" i="82"/>
  <c r="H2" i="82"/>
  <c r="G2" i="82"/>
  <c r="F2" i="82"/>
  <c r="L2" i="78"/>
  <c r="L2" i="80"/>
  <c r="G2" i="81"/>
  <c r="F2" i="81"/>
  <c r="F2" i="80"/>
  <c r="G2" i="80" s="1"/>
  <c r="F2" i="79"/>
  <c r="F2" i="78"/>
  <c r="H2" i="78" s="1"/>
  <c r="F2" i="76"/>
  <c r="H2" i="76" s="1"/>
  <c r="F2" i="75"/>
  <c r="G2" i="75" s="1"/>
  <c r="F2" i="74"/>
  <c r="H2" i="74" s="1"/>
  <c r="F2" i="73"/>
  <c r="H2" i="73" s="1"/>
  <c r="F2" i="72"/>
  <c r="H2" i="72" s="1"/>
  <c r="H2" i="7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H5" i="107" l="1"/>
  <c r="G5" i="107"/>
  <c r="L2" i="107"/>
  <c r="L5" i="106"/>
  <c r="L5" i="105"/>
  <c r="L5" i="103"/>
  <c r="H5" i="103"/>
  <c r="H2" i="102"/>
  <c r="L2" i="102"/>
  <c r="H3" i="102"/>
  <c r="L3" i="102"/>
  <c r="G2" i="101"/>
  <c r="L2" i="101" s="1"/>
  <c r="H2" i="101"/>
  <c r="G2" i="100"/>
  <c r="L2" i="100" s="1"/>
  <c r="H2" i="100"/>
  <c r="G2" i="99"/>
  <c r="L2" i="99" s="1"/>
  <c r="H2" i="99"/>
  <c r="G2" i="98"/>
  <c r="L2" i="98" s="1"/>
  <c r="H2" i="98"/>
  <c r="L2" i="97"/>
  <c r="G2" i="97"/>
  <c r="H2" i="97"/>
  <c r="G2" i="96"/>
  <c r="L2" i="96" s="1"/>
  <c r="H2" i="96"/>
  <c r="G2" i="95"/>
  <c r="L2" i="95" s="1"/>
  <c r="H2" i="95"/>
  <c r="G2" i="94"/>
  <c r="H2" i="94"/>
  <c r="L2" i="94" s="1"/>
  <c r="G2" i="93"/>
  <c r="L2" i="93" s="1"/>
  <c r="H2" i="93"/>
  <c r="G2" i="92"/>
  <c r="L2" i="92" s="1"/>
  <c r="H2" i="92"/>
  <c r="G2" i="91"/>
  <c r="L2" i="91" s="1"/>
  <c r="H2" i="91"/>
  <c r="G2" i="90"/>
  <c r="H2" i="90"/>
  <c r="L2" i="90" s="1"/>
  <c r="L2" i="89"/>
  <c r="G2" i="89"/>
  <c r="H2" i="89"/>
  <c r="G2" i="88"/>
  <c r="L2" i="88" s="1"/>
  <c r="H2" i="88"/>
  <c r="L2" i="87"/>
  <c r="G2" i="87"/>
  <c r="H2" i="87"/>
  <c r="G2" i="86"/>
  <c r="L2" i="86" s="1"/>
  <c r="H2" i="86"/>
  <c r="G2" i="85"/>
  <c r="L2" i="85" s="1"/>
  <c r="G2" i="84"/>
  <c r="L2" i="84" s="1"/>
  <c r="H2" i="84"/>
  <c r="G2" i="83"/>
  <c r="L2" i="83" s="1"/>
  <c r="H2" i="83"/>
  <c r="H2" i="81"/>
  <c r="L2" i="81" s="1"/>
  <c r="H2" i="80"/>
  <c r="G2" i="79"/>
  <c r="L2" i="79" s="1"/>
  <c r="H2" i="79"/>
  <c r="G2" i="78"/>
  <c r="G2" i="76"/>
  <c r="L2" i="76" s="1"/>
  <c r="L2" i="75"/>
  <c r="H2" i="75"/>
  <c r="G2" i="74"/>
  <c r="L2" i="74" s="1"/>
  <c r="L2" i="73"/>
  <c r="G2" i="73"/>
  <c r="G2" i="72"/>
  <c r="L2" i="72" s="1"/>
  <c r="H2" i="69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L4" i="18"/>
  <c r="F4" i="18"/>
  <c r="L4" i="17"/>
  <c r="F4" i="17"/>
  <c r="L4" i="16"/>
  <c r="F4" i="16"/>
  <c r="L5" i="13"/>
  <c r="F5" i="13"/>
  <c r="H5" i="102" l="1"/>
  <c r="L5" i="102"/>
  <c r="H2" i="56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<sst xmlns="http://schemas.openxmlformats.org/spreadsheetml/2006/main" count="1601" uniqueCount="49">
  <si>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</si>
  <si>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</si>
  <si>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</si>
  <si>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</si>
  <si>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</si>
  <si>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</si>
  <si>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</si>
  <si>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</si>
  <si>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</si>
  <si>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</si>
  <si>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</si>
  <si>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</si>
  <si>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</si>
  <si>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</si>
  <si>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</si>
  <si>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</si>
  <si>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</si>
  <si>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</si>
  <si>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</si>
  <si>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</si>
  <si>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</si>
  <si>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</si>
  <si>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</si>
  <si>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</si>
  <si>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</si>
  <si>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</si>
  <si>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</si>
  <si>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</si>
  <si>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</si>
  <si>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</si>
  <si>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</si>
  <si>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</si>
  <si>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</si>
  <si>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</si>
  <si>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</si>
  <si>
    <t>O5/11/2008</t>
  </si>
  <si>
    <t>05/13/2008</t>
  </si>
  <si>
    <t>-R$ 9.322,OO</t>
  </si>
  <si>
    <t>R$ 2,S6</t>
  </si>
  <si>
    <t>R$ O,65</t>
  </si>
  <si>
    <t>R$ 4T,97</t>
  </si>
  <si>
    <t>R$ 2,4O</t>
  </si>
  <si>
    <t>-R$ 9.37S,S9</t>
  </si>
  <si>
    <t>BVMF3</t>
  </si>
  <si>
    <t>LAME4</t>
  </si>
  <si>
    <t>R$ O,87</t>
  </si>
  <si>
    <t>0S/11/2008</t>
  </si>
  <si>
    <t>S00</t>
  </si>
  <si>
    <t>II62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</si>
</sst>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8" formatCode="&quot;R$&quot;\ #,##0.00;[Red]\-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0" fontId="5" fillId="0" borderId="0" xfId="0" applyFont="1"/>
    <xf numFmtId="8" fontId="2" fillId="0" borderId="0" xfId="0" quotePrefix="1" applyNumberFormat="1" applyFont="1"/>
    <xf numFmtId="1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3" fillId="0" borderId="0" xfId="0" applyFont="1"/>
    <xf numFmtId="0" fontId="1" fillId="0" borderId="0" xfId="0" applyFont="1"/>
    <xf numFmtId="2" fontId="1" fillId="0" borderId="0" xfId="0" applyNumberFormat="1" applyFont="1"/>
    <xf numFmtId="0" fontId="0" fillId="0" borderId="0" xfId="0"/>
    <xf numFmtId="7" fontId="3" fillId="0" borderId="0" xfId="0" applyNumberFormat="1" applyFont="1"/>
    <xf numFmtId="2" fontId="4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3D49-8D2C-42B2-98C7-9E862E8E00C6}">
  <dimension ref="A1:AB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style="19" bestFit="1" customWidth="1"/>
    <col min="2" max="2" width="7" style="19" bestFit="1" customWidth="1"/>
    <col min="3" max="3" width="6" style="19" bestFit="1" customWidth="1"/>
    <col min="4" max="4" width="5.42578125" style="19" bestFit="1" customWidth="1"/>
    <col min="5" max="5" width="8.140625" style="19" bestFit="1" customWidth="1"/>
    <col min="6" max="6" width="11.42578125" style="19" bestFit="1" customWidth="1"/>
    <col min="7" max="7" width="17.85546875" style="19" bestFit="1" customWidth="1"/>
    <col min="8" max="8" width="13.42578125" style="19" bestFit="1" customWidth="1"/>
    <col min="9" max="9" width="11.42578125" style="19" bestFit="1" customWidth="1"/>
    <col min="10" max="11" width="7.140625" style="19" bestFit="1" customWidth="1"/>
    <col min="12" max="12" width="11.42578125" style="19" bestFit="1" customWidth="1"/>
    <col min="13" max="13" width="2.5703125" style="19" customWidth="1"/>
    <col min="14" max="16384" width="9.140625" style="19"/>
  </cols>
  <sheetData>
    <row r="1" spans="1:28" x14ac:dyDescent="0.25">
      <c r="A1" s="19" t="s">
        <v>20</v>
      </c>
      <c r="B1" s="19" t="s">
        <v>19</v>
      </c>
      <c r="C1" s="19" t="s">
        <v>18</v>
      </c>
      <c r="D1" s="19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42996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 t="shared" si="0"/>
        <v>2.0212500000000002</v>
      </c>
      <c r="H3" s="3">
        <f>F3*0.005%</f>
        <v>0.36749999999999999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17DF-AD8D-4011-9FBC-F9E81BE4369B}">
  <dimension ref="A1:AB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style="19" bestFit="1" customWidth="1"/>
    <col min="2" max="2" width="7" style="19" bestFit="1" customWidth="1"/>
    <col min="3" max="3" width="6" style="19" bestFit="1" customWidth="1"/>
    <col min="4" max="4" width="5.42578125" style="19" bestFit="1" customWidth="1"/>
    <col min="5" max="5" width="8.140625" style="19" bestFit="1" customWidth="1"/>
    <col min="6" max="6" width="11.42578125" style="19" bestFit="1" customWidth="1"/>
    <col min="7" max="7" width="17.85546875" style="19" bestFit="1" customWidth="1"/>
    <col min="8" max="8" width="13.42578125" style="19" bestFit="1" customWidth="1"/>
    <col min="9" max="9" width="11.42578125" style="19" bestFit="1" customWidth="1"/>
    <col min="10" max="11" width="7.140625" style="19" bestFit="1" customWidth="1"/>
    <col min="12" max="12" width="11.42578125" style="19" bestFit="1" customWidth="1"/>
    <col min="13" max="13" width="2.5703125" style="19" customWidth="1"/>
    <col min="14" max="16384" width="9.140625" style="19"/>
  </cols>
  <sheetData>
    <row r="1" spans="1:28" x14ac:dyDescent="0.25">
      <c r="A1" s="19" t="s">
        <v>20</v>
      </c>
      <c r="B1" s="19" t="s">
        <v>19</v>
      </c>
      <c r="C1" s="19" t="s">
        <v>18</v>
      </c>
      <c r="D1" s="19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42996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 t="shared" si="0"/>
        <v>2.0212500000000002</v>
      </c>
      <c r="H3" s="3">
        <f>F3*0.005%</f>
        <v>0.36749999999999999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A077-C6CF-4445-BC4A-493B69C7FE0B}">
  <dimension ref="A1:AB52"/>
  <sheetViews>
    <sheetView tabSelected="1" zoomScaleNormal="100" workbookViewId="0">
      <pane ySplit="1" topLeftCell="A5" activePane="bottomLeft" state="frozen"/>
      <selection activeCell="Q108" sqref="Q108"/>
      <selection pane="bottomLeft" activeCell="L37" sqref="L37"/>
    </sheetView>
  </sheetViews>
  <sheetFormatPr defaultColWidth="9.140625" defaultRowHeight="15" x14ac:dyDescent="0.25"/>
  <cols>
    <col min="1" max="1" width="11.5703125" style="19" bestFit="1" customWidth="1"/>
    <col min="2" max="3" width="9" style="19" bestFit="1" customWidth="1"/>
    <col min="4" max="4" width="10" style="19" bestFit="1" customWidth="1"/>
    <col min="5" max="5" width="10.140625" style="1" bestFit="1" customWidth="1"/>
    <col min="6" max="6" width="12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85546875" style="1" bestFit="1" customWidth="1"/>
    <col min="11" max="11" width="8.5703125" style="1" bestFit="1" customWidth="1"/>
    <col min="12" max="12" width="12.7109375" style="1" bestFit="1" customWidth="1"/>
    <col min="13" max="13" width="3.140625" style="2" customWidth="1"/>
    <col min="14" max="14" width="11.5703125" style="19" bestFit="1" customWidth="1"/>
    <col min="15" max="15" width="12.7109375" style="19" bestFit="1" customWidth="1"/>
    <col min="16" max="17" width="9.140625" style="19"/>
    <col min="18" max="18" width="10.7109375" style="1" bestFit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2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19" bestFit="1" customWidth="1"/>
    <col min="30" max="30" width="16.42578125" style="19" bestFit="1" customWidth="1"/>
    <col min="31" max="31" width="12.42578125" style="19" bestFit="1" customWidth="1"/>
    <col min="32" max="16384" width="9.140625" style="19"/>
  </cols>
  <sheetData>
    <row r="1" spans="1:28" x14ac:dyDescent="0.25">
      <c r="A1" s="19" t="s">
        <v>20</v>
      </c>
      <c r="B1" s="19" t="s">
        <v>19</v>
      </c>
      <c r="C1" s="19" t="s">
        <v>18</v>
      </c>
      <c r="D1" s="19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N1" s="1"/>
      <c r="O1" s="1"/>
      <c r="P1" s="1"/>
      <c r="Q1" s="1"/>
      <c r="T1" s="33"/>
      <c r="U1" s="19"/>
      <c r="V1" s="19"/>
      <c r="W1" s="19"/>
      <c r="X1" s="19"/>
      <c r="Y1" s="19"/>
      <c r="Z1" s="19"/>
      <c r="AA1" s="19"/>
      <c r="AB1" s="19"/>
    </row>
    <row r="2" spans="1:28" s="4" customFormat="1" x14ac:dyDescent="0.25">
      <c r="A2" s="5"/>
      <c r="B2" s="4" t="s">
        <v>48</v>
      </c>
      <c r="C2" s="4" t="s">
        <v>2</v>
      </c>
      <c r="D2" s="4">
        <v>-100</v>
      </c>
      <c r="E2" s="3">
        <v>15.34</v>
      </c>
      <c r="F2" s="34">
        <f>D2*E2</f>
        <v>-1534</v>
      </c>
      <c r="G2" s="32">
        <f>F2*0.0275%</f>
        <v>-0.42185</v>
      </c>
      <c r="H2" s="31">
        <v>-0.11</v>
      </c>
      <c r="I2" s="3">
        <v>15.99</v>
      </c>
      <c r="J2" s="3">
        <f>I2*5%+0.3</f>
        <v>1.0995000000000001</v>
      </c>
      <c r="K2" s="3"/>
      <c r="L2" s="3">
        <f>F2+G2+H2+I2+J2+0.3</f>
        <v>-1517.1423499999999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/>
      <c r="E3" s="3"/>
      <c r="F3" s="3"/>
      <c r="G3" s="3"/>
      <c r="H3" s="3"/>
      <c r="I3" s="3"/>
      <c r="J3" s="3"/>
      <c r="K3" s="3"/>
      <c r="L3" s="3"/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4">
        <v>39757</v>
      </c>
      <c r="C4" s="4" t="s">
        <v>1</v>
      </c>
      <c r="D4" s="4" t="s">
        <v>47</v>
      </c>
      <c r="E4" s="3">
        <v>25.19</v>
      </c>
      <c r="F4" s="3" t="e">
        <f>D4*E4</f>
        <v>#VALUE!</v>
      </c>
      <c r="G4" s="3" t="e">
        <f>F4*0.0275%</f>
        <v>#VALUE!</v>
      </c>
      <c r="H4" s="4" t="e">
        <f>F4*0.007%</f>
        <v>#VALUE!</v>
      </c>
      <c r="I4" s="8">
        <v>15.99</v>
      </c>
      <c r="J4" s="3">
        <f>I4*5%</f>
        <v>0.7995000000000001</v>
      </c>
      <c r="K4" s="3"/>
      <c r="L4" s="3" t="e">
        <f>F4+G4+H4+I4+J4</f>
        <v>#VALUE!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E5" s="3"/>
      <c r="F5" s="3"/>
      <c r="G5" s="3"/>
      <c r="H5" s="3"/>
      <c r="I5" s="3"/>
      <c r="J5" s="3"/>
      <c r="K5" s="3"/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x14ac:dyDescent="0.25">
      <c r="A6" s="5" t="s">
        <v>46</v>
      </c>
      <c r="B6" s="4">
        <v>-1662</v>
      </c>
      <c r="D6" s="9">
        <v>100</v>
      </c>
      <c r="E6" s="32">
        <v>27.5</v>
      </c>
      <c r="F6" s="32">
        <f>D6*E6</f>
        <v>2750</v>
      </c>
      <c r="G6" s="3">
        <v>0.76</v>
      </c>
      <c r="H6" s="8">
        <f>F6*0.007%+0.3</f>
        <v>0.49250000000000005</v>
      </c>
      <c r="I6" s="3" t="s">
        <v>31</v>
      </c>
      <c r="J6" s="3" t="s">
        <v>32</v>
      </c>
      <c r="K6" s="3"/>
      <c r="L6" s="4" t="e">
        <f>F6+G6+H6+I6+J6</f>
        <v>#VALUE!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x14ac:dyDescent="0.25">
      <c r="A7" s="5"/>
      <c r="E7" s="3"/>
      <c r="F7" s="7"/>
      <c r="G7" s="7"/>
      <c r="H7" s="7"/>
      <c r="I7" s="7"/>
      <c r="J7" s="7"/>
      <c r="K7" s="7"/>
      <c r="L7" s="7"/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x14ac:dyDescent="0.25">
      <c r="A8" s="5">
        <v>-39757</v>
      </c>
      <c r="B8" s="4">
        <v>1344</v>
      </c>
      <c r="C8" s="9" t="s">
        <v>7</v>
      </c>
      <c r="E8" s="3">
        <v>2.68</v>
      </c>
      <c r="F8" s="3">
        <f>D8*E8</f>
        <v>0</v>
      </c>
      <c r="G8" s="3">
        <f>F8*0.0275%</f>
        <v>0</v>
      </c>
      <c r="H8" s="31">
        <f>F8*0.007%</f>
        <v>0</v>
      </c>
      <c r="I8" s="8">
        <v>-15.99</v>
      </c>
      <c r="J8" s="3">
        <f>I8*5%</f>
        <v>-0.7995000000000001</v>
      </c>
      <c r="K8" s="3"/>
      <c r="L8" s="34">
        <f>F8+G8+H8+I8+J8</f>
        <v>-16.7895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x14ac:dyDescent="0.25">
      <c r="A9" s="5"/>
      <c r="E9" s="3"/>
      <c r="F9" s="3"/>
      <c r="G9" s="3"/>
      <c r="H9" s="3"/>
      <c r="I9" s="3"/>
      <c r="J9" s="3"/>
      <c r="K9" s="3"/>
      <c r="L9" s="3"/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x14ac:dyDescent="0.25">
      <c r="A10" s="5">
        <v>39758</v>
      </c>
      <c r="B10" s="9">
        <v>1344</v>
      </c>
      <c r="C10" s="4" t="s">
        <v>0</v>
      </c>
      <c r="D10" s="4">
        <v>100</v>
      </c>
      <c r="E10" s="3"/>
      <c r="F10" s="3">
        <f>D10*E10</f>
        <v>0</v>
      </c>
      <c r="G10" s="8">
        <f>F10*0.0275%</f>
        <v>0</v>
      </c>
      <c r="H10" s="3" t="s">
        <v>30</v>
      </c>
      <c r="I10" s="31">
        <v>15.99</v>
      </c>
      <c r="J10" s="3">
        <f>I10*5%</f>
        <v>0.7995000000000001</v>
      </c>
      <c r="K10" s="3">
        <v>0.01</v>
      </c>
      <c r="L10" s="3">
        <v>16.899999999999999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x14ac:dyDescent="0.25">
      <c r="A11" s="5">
        <v>39757</v>
      </c>
      <c r="B11" s="4">
        <v>1345</v>
      </c>
      <c r="C11" s="4" t="s">
        <v>3</v>
      </c>
      <c r="D11" s="4">
        <v>100</v>
      </c>
      <c r="E11" s="8">
        <v>7.69</v>
      </c>
      <c r="F11" s="3"/>
      <c r="G11" s="3">
        <f>F11*0.0275%</f>
        <v>0</v>
      </c>
      <c r="H11" s="3">
        <f>F11*0.007%</f>
        <v>0</v>
      </c>
      <c r="I11" s="3">
        <v>15.99</v>
      </c>
      <c r="J11" s="8">
        <f>I11*5%</f>
        <v>0.7995000000000001</v>
      </c>
      <c r="K11" s="8">
        <v>0</v>
      </c>
      <c r="L11" s="32">
        <f>F11+G11+H11+I11+J11</f>
        <v>16.7895</v>
      </c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x14ac:dyDescent="0.25">
      <c r="A12" s="5"/>
      <c r="E12" s="3"/>
      <c r="F12" s="7">
        <f t="shared" ref="F12:L12" si="0">SUM(F10:F11)+0.3</f>
        <v>0.3</v>
      </c>
      <c r="G12" s="7">
        <f t="shared" si="0"/>
        <v>0.3</v>
      </c>
      <c r="H12" s="7">
        <f t="shared" si="0"/>
        <v>0.3</v>
      </c>
      <c r="I12" s="7">
        <f t="shared" si="0"/>
        <v>32.28</v>
      </c>
      <c r="J12" s="7">
        <f t="shared" si="0"/>
        <v>1.8990000000000002</v>
      </c>
      <c r="K12" s="7">
        <f t="shared" si="0"/>
        <v>0.31</v>
      </c>
      <c r="L12" s="7">
        <f t="shared" si="0"/>
        <v>33.989499999999992</v>
      </c>
      <c r="M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x14ac:dyDescent="0.25">
      <c r="A13" s="5"/>
      <c r="E13" s="3"/>
      <c r="F13" s="7"/>
      <c r="G13" s="7"/>
      <c r="H13" s="7"/>
      <c r="I13" s="7"/>
      <c r="J13" s="7"/>
      <c r="K13" s="7"/>
      <c r="L13" s="7"/>
      <c r="M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x14ac:dyDescent="0.25">
      <c r="A14" s="10">
        <v>39758</v>
      </c>
      <c r="B14" s="4">
        <v>1344</v>
      </c>
      <c r="C14" s="4" t="s">
        <v>0</v>
      </c>
      <c r="D14" s="4">
        <v>100</v>
      </c>
      <c r="E14" s="3" t="s">
        <v>27</v>
      </c>
      <c r="F14" s="3" t="e">
        <f>D14*E14</f>
        <v>#VALUE!</v>
      </c>
      <c r="G14" s="3"/>
      <c r="H14" s="3" t="e">
        <f>F14*0.007%</f>
        <v>#VALUE!</v>
      </c>
      <c r="I14" s="3">
        <v>15.99</v>
      </c>
      <c r="J14" s="3">
        <f>I14*5%</f>
        <v>0.7995000000000001</v>
      </c>
      <c r="K14" s="3"/>
      <c r="L14" s="3" t="e">
        <f>F14+G14+H14+I14+J14</f>
        <v>#VALUE!</v>
      </c>
      <c r="M14" s="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x14ac:dyDescent="0.25">
      <c r="A15" s="5"/>
      <c r="E15" s="3"/>
      <c r="F15" s="7"/>
      <c r="G15" s="7"/>
      <c r="H15" s="7"/>
      <c r="I15" s="7"/>
      <c r="J15" s="7"/>
      <c r="K15" s="7"/>
      <c r="L15" s="7"/>
      <c r="M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9" customFormat="1" x14ac:dyDescent="0.25">
      <c r="A16" s="5">
        <v>39849</v>
      </c>
      <c r="B16" s="9">
        <v>1319</v>
      </c>
      <c r="C16" s="9" t="s">
        <v>4</v>
      </c>
      <c r="D16" s="4">
        <v>100</v>
      </c>
      <c r="E16" s="34">
        <v>-31.5</v>
      </c>
      <c r="F16" s="34">
        <f>ABS(D16*E16)</f>
        <v>3150</v>
      </c>
      <c r="G16" s="3">
        <f>F16*0.0275%+0.3</f>
        <v>1.16625</v>
      </c>
      <c r="H16" s="8"/>
      <c r="I16" s="8">
        <v>15.99</v>
      </c>
      <c r="J16" s="30">
        <f>I16*5%</f>
        <v>0.7995000000000001</v>
      </c>
      <c r="K16" s="30">
        <v>0</v>
      </c>
      <c r="L16" s="34">
        <f>F16-G16-H16-I16-J16+0.3</f>
        <v>3132.3442500000001</v>
      </c>
      <c r="M16" s="6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9" customFormat="1" x14ac:dyDescent="0.25">
      <c r="A17" s="10">
        <v>39849</v>
      </c>
      <c r="B17" s="4">
        <v>1319</v>
      </c>
      <c r="C17" s="9" t="s">
        <v>4</v>
      </c>
      <c r="D17" s="9">
        <v>100</v>
      </c>
      <c r="E17" s="3">
        <v>31.5</v>
      </c>
      <c r="F17" s="8">
        <v>3150</v>
      </c>
      <c r="G17" s="8" t="s">
        <v>45</v>
      </c>
      <c r="H17" s="3">
        <f>F17*0.007%</f>
        <v>0.22050000000000003</v>
      </c>
      <c r="I17" s="8"/>
      <c r="J17" s="8">
        <f>I17*5%</f>
        <v>0</v>
      </c>
      <c r="K17" s="8" t="s">
        <v>33</v>
      </c>
      <c r="L17" s="3" t="e">
        <f>F17-G17-H17-I17-J17</f>
        <v>#VALUE!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39849</v>
      </c>
      <c r="B18" s="9">
        <v>1319</v>
      </c>
      <c r="C18" s="4" t="s">
        <v>2</v>
      </c>
      <c r="D18" s="9">
        <v>100</v>
      </c>
      <c r="E18" s="8">
        <v>17.7</v>
      </c>
      <c r="F18" s="4" t="str">
        <f>_xlfn.CONCAT("R$ ",D18*E18,",OO")</f>
        <v>R$ 1770,OO</v>
      </c>
      <c r="G18" s="8" t="e">
        <f>F18*0.0275%</f>
        <v>#VALUE!</v>
      </c>
      <c r="H18" s="8" t="e">
        <f>F18*0.007%</f>
        <v>#VALUE!</v>
      </c>
      <c r="I18" s="3">
        <v>15.99</v>
      </c>
      <c r="J18" s="8"/>
      <c r="K18" s="34">
        <v>-0.5</v>
      </c>
      <c r="L18" s="8" t="str">
        <f>_xlfn.CONCAT("R$ ","l.753,43")</f>
        <v>R$ l.753,43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>
        <v>39849</v>
      </c>
      <c r="B19" s="9">
        <v>1319</v>
      </c>
      <c r="C19" s="9" t="s">
        <v>1</v>
      </c>
      <c r="D19" s="9">
        <v>200</v>
      </c>
      <c r="E19" s="8">
        <v>26.1</v>
      </c>
      <c r="F19" s="8">
        <f>D19*E19</f>
        <v>5220</v>
      </c>
      <c r="G19" s="8">
        <f>F19*0.0275%</f>
        <v>1.4355</v>
      </c>
      <c r="H19" s="8">
        <f>F19*0.007%</f>
        <v>0.36540000000000006</v>
      </c>
      <c r="I19" s="8">
        <v>15.99</v>
      </c>
      <c r="J19" s="3">
        <f>I19*5%</f>
        <v>0.7995000000000001</v>
      </c>
      <c r="K19" s="3">
        <v>0.05</v>
      </c>
      <c r="L19" s="8"/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9" customFormat="1" x14ac:dyDescent="0.25">
      <c r="A20" s="29">
        <f>SUM(A16:A19)</f>
        <v>159396</v>
      </c>
      <c r="B20" s="28">
        <f>SUM(B16:B19)</f>
        <v>5276</v>
      </c>
      <c r="C20" s="9" t="s">
        <v>1</v>
      </c>
      <c r="D20" s="28">
        <f t="shared" ref="D20:L20" si="1">SUM(D16:D19)</f>
        <v>500</v>
      </c>
      <c r="E20" s="11">
        <f t="shared" si="1"/>
        <v>43.8</v>
      </c>
      <c r="F20" s="26">
        <f t="shared" si="1"/>
        <v>11520</v>
      </c>
      <c r="G20" s="26" t="e">
        <f t="shared" si="1"/>
        <v>#VALUE!</v>
      </c>
      <c r="H20" s="26" t="e">
        <f t="shared" si="1"/>
        <v>#VALUE!</v>
      </c>
      <c r="I20" s="26">
        <f t="shared" si="1"/>
        <v>47.97</v>
      </c>
      <c r="J20" s="26">
        <f t="shared" si="1"/>
        <v>1.5990000000000002</v>
      </c>
      <c r="K20" s="27">
        <f t="shared" si="1"/>
        <v>-0.45</v>
      </c>
      <c r="L20" s="26" t="e">
        <f t="shared" si="1"/>
        <v>#VALUE!</v>
      </c>
      <c r="M20" s="6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5">
      <c r="A21" s="14"/>
      <c r="M21" s="6"/>
    </row>
    <row r="22" spans="1:28" s="4" customFormat="1" x14ac:dyDescent="0.25">
      <c r="A22" s="15">
        <v>39854</v>
      </c>
      <c r="B22" s="18">
        <v>1368</v>
      </c>
      <c r="C22" s="18" t="s">
        <v>43</v>
      </c>
      <c r="D22" s="18">
        <v>500</v>
      </c>
      <c r="E22" s="13">
        <v>7.23</v>
      </c>
      <c r="F22" s="13">
        <f>D22*E22</f>
        <v>3615</v>
      </c>
      <c r="G22" s="13">
        <f>F22*0.0275%</f>
        <v>0.99412500000000004</v>
      </c>
      <c r="H22" s="13">
        <f>F22*0.007%</f>
        <v>0.25305000000000005</v>
      </c>
      <c r="I22" s="13">
        <v>15.99</v>
      </c>
      <c r="J22" s="13">
        <v>0.8</v>
      </c>
      <c r="K22" s="13">
        <v>0</v>
      </c>
      <c r="L22" s="13">
        <f>F22+G22+H22+I22+J22</f>
        <v>3633.0371749999999</v>
      </c>
      <c r="M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x14ac:dyDescent="0.25">
      <c r="A23" s="5">
        <v>39854</v>
      </c>
      <c r="B23" s="4">
        <v>1368</v>
      </c>
      <c r="C23" s="4" t="s">
        <v>44</v>
      </c>
      <c r="D23" s="4">
        <v>200</v>
      </c>
      <c r="E23" s="3">
        <v>5.89</v>
      </c>
      <c r="F23" s="3">
        <f>D23*E23</f>
        <v>1178</v>
      </c>
      <c r="G23" s="3">
        <f>F23*0.0275%</f>
        <v>0.32395000000000002</v>
      </c>
      <c r="H23" s="3">
        <f>F23*0.007%</f>
        <v>8.2460000000000006E-2</v>
      </c>
      <c r="I23" s="3">
        <v>15.99</v>
      </c>
      <c r="J23" s="3">
        <v>0.8</v>
      </c>
      <c r="K23" s="3">
        <v>0</v>
      </c>
      <c r="L23" s="3">
        <f>F23+G23+H23+I23+J23</f>
        <v>1195.19641</v>
      </c>
      <c r="M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x14ac:dyDescent="0.25">
      <c r="A24" s="25"/>
      <c r="E24" s="3"/>
      <c r="F24" s="7">
        <v>2437</v>
      </c>
      <c r="G24" s="7">
        <v>1.32</v>
      </c>
      <c r="H24" s="7">
        <v>0.34</v>
      </c>
      <c r="I24" s="7">
        <v>31.98</v>
      </c>
      <c r="J24" s="7">
        <v>1.6</v>
      </c>
      <c r="K24" s="7">
        <v>0</v>
      </c>
      <c r="L24" s="7">
        <v>2437.84</v>
      </c>
      <c r="M24" s="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x14ac:dyDescent="0.25">
      <c r="A25" s="5"/>
      <c r="E25" s="3"/>
      <c r="F25" s="7"/>
      <c r="G25" s="7"/>
      <c r="H25" s="7"/>
      <c r="I25" s="7"/>
      <c r="J25" s="7"/>
      <c r="K25" s="7"/>
      <c r="L25" s="7"/>
      <c r="M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x14ac:dyDescent="0.25">
      <c r="A26" s="5" t="s">
        <v>36</v>
      </c>
      <c r="B26" s="4">
        <v>903</v>
      </c>
      <c r="C26" s="4" t="s">
        <v>2</v>
      </c>
      <c r="D26" s="4">
        <v>200</v>
      </c>
      <c r="E26" s="3">
        <v>12.47</v>
      </c>
      <c r="F26" s="3">
        <f>D26*E26</f>
        <v>2494</v>
      </c>
      <c r="G26" s="3">
        <f>F26*0.0275%</f>
        <v>0.68585000000000007</v>
      </c>
      <c r="H26" s="3">
        <f>F26*0.007%</f>
        <v>0.17458000000000001</v>
      </c>
      <c r="I26" s="3">
        <v>15.99</v>
      </c>
      <c r="J26" s="3">
        <v>0.8</v>
      </c>
      <c r="K26" s="3"/>
      <c r="L26" s="3">
        <f>F26+G26+H26+I26+J26</f>
        <v>2511.6504299999997</v>
      </c>
      <c r="M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x14ac:dyDescent="0.25">
      <c r="A27" s="5">
        <v>39869</v>
      </c>
      <c r="B27" s="4">
        <v>903</v>
      </c>
      <c r="C27" s="4" t="s">
        <v>1</v>
      </c>
      <c r="D27" s="4">
        <v>200</v>
      </c>
      <c r="E27" s="3">
        <v>26.1</v>
      </c>
      <c r="F27" s="3">
        <f>D27*E27</f>
        <v>5220</v>
      </c>
      <c r="G27" s="3">
        <f>F27*0.0275%</f>
        <v>1.4355</v>
      </c>
      <c r="H27" s="3">
        <f>F27*0.007%</f>
        <v>0.36540000000000006</v>
      </c>
      <c r="I27" s="3">
        <v>15.99</v>
      </c>
      <c r="J27" s="3">
        <v>-0.8</v>
      </c>
      <c r="K27" s="3"/>
      <c r="L27" s="3">
        <f>F27+G27+H27+I27+J27</f>
        <v>5236.9908999999989</v>
      </c>
      <c r="M27" s="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9" customFormat="1" x14ac:dyDescent="0.25">
      <c r="A28" s="10">
        <v>39869</v>
      </c>
      <c r="B28" s="9">
        <v>903</v>
      </c>
      <c r="C28" s="9" t="s">
        <v>1</v>
      </c>
      <c r="D28" s="9">
        <v>200</v>
      </c>
      <c r="E28" s="8">
        <v>26.1</v>
      </c>
      <c r="F28" s="8">
        <f>D28*E28</f>
        <v>5220</v>
      </c>
      <c r="G28" s="8">
        <f>F28*0.0275%</f>
        <v>1.4355</v>
      </c>
      <c r="H28" s="8">
        <f>F28*0.007%</f>
        <v>0.36540000000000006</v>
      </c>
      <c r="I28" s="8">
        <v>15.99</v>
      </c>
      <c r="J28" s="8">
        <v>0.8</v>
      </c>
      <c r="K28" s="8">
        <v>0.26</v>
      </c>
      <c r="L28" s="8">
        <f>F28-G28-H28-I28-J28</f>
        <v>5201.4091000000008</v>
      </c>
      <c r="M28" s="6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s="4" customFormat="1" x14ac:dyDescent="0.25">
      <c r="A29" s="5"/>
      <c r="E29" s="3"/>
      <c r="F29" s="11">
        <f t="shared" ref="F29:L29" si="2">SUM(F26:F28)</f>
        <v>12934</v>
      </c>
      <c r="G29" s="35">
        <f t="shared" si="2"/>
        <v>3.5568499999999998</v>
      </c>
      <c r="H29" s="35">
        <f t="shared" si="2"/>
        <v>0.90538000000000018</v>
      </c>
      <c r="I29" s="11">
        <f t="shared" si="2"/>
        <v>47.97</v>
      </c>
      <c r="J29" s="11">
        <f t="shared" si="2"/>
        <v>0.8</v>
      </c>
      <c r="K29" s="11">
        <f t="shared" si="2"/>
        <v>0.26</v>
      </c>
      <c r="L29" s="11">
        <f t="shared" si="2"/>
        <v>12950.050429999999</v>
      </c>
      <c r="M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x14ac:dyDescent="0.25">
      <c r="A30" s="5"/>
      <c r="E30" s="3"/>
      <c r="F30" s="7"/>
      <c r="G30" s="7"/>
      <c r="H30" s="7"/>
      <c r="I30" s="7"/>
      <c r="J30" s="7"/>
      <c r="K30" s="7"/>
      <c r="L30" s="7"/>
      <c r="M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x14ac:dyDescent="0.25">
      <c r="A31" s="5">
        <v>39854</v>
      </c>
      <c r="B31" s="4">
        <v>1368</v>
      </c>
      <c r="C31" s="4" t="s">
        <v>43</v>
      </c>
      <c r="D31" s="4">
        <v>500</v>
      </c>
      <c r="E31" s="3">
        <v>7.23</v>
      </c>
      <c r="F31" s="3">
        <f>D31*E31</f>
        <v>3615</v>
      </c>
      <c r="G31" s="3">
        <f>F31*0.0275%</f>
        <v>0.99412500000000004</v>
      </c>
      <c r="H31" s="3">
        <f>F31*0.007%</f>
        <v>0.25305000000000005</v>
      </c>
      <c r="I31" s="3">
        <v>15.99</v>
      </c>
      <c r="J31" s="3">
        <v>0.8</v>
      </c>
      <c r="K31" s="3">
        <v>0</v>
      </c>
      <c r="L31" s="3">
        <f>F31+G31+H31+I31+J31</f>
        <v>3633.0371749999999</v>
      </c>
      <c r="M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x14ac:dyDescent="0.25">
      <c r="A32" s="5">
        <v>39854</v>
      </c>
      <c r="B32" s="4">
        <v>1368</v>
      </c>
      <c r="C32" s="4" t="s">
        <v>44</v>
      </c>
      <c r="D32" s="4">
        <v>200</v>
      </c>
      <c r="E32" s="3">
        <v>5.89</v>
      </c>
      <c r="F32" s="3">
        <f>D32*E32</f>
        <v>1178</v>
      </c>
      <c r="G32" s="3">
        <f>F32*0.0275%</f>
        <v>0.32395000000000002</v>
      </c>
      <c r="H32" s="3">
        <f>F32*0.007%</f>
        <v>8.2460000000000006E-2</v>
      </c>
      <c r="I32" s="3">
        <v>15.99</v>
      </c>
      <c r="J32" s="3">
        <v>0.8</v>
      </c>
      <c r="K32" s="3">
        <v>0</v>
      </c>
      <c r="L32" s="3">
        <f>F32+G32+H32+I32+J32</f>
        <v>1195.19641</v>
      </c>
      <c r="M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x14ac:dyDescent="0.25">
      <c r="A33" s="25"/>
      <c r="E33" s="3"/>
      <c r="F33" s="11" t="str">
        <f>_xlfn.CONCAT("R$ ","4.793,OO")</f>
        <v>R$ 4.793,OO</v>
      </c>
      <c r="G33" s="11" t="str">
        <f>_xlfn.CONCAT("R$ ","l,32")</f>
        <v>R$ l,32</v>
      </c>
      <c r="H33" s="11" t="str">
        <f>_xlfn.CONCAT("R$ ","O,34")</f>
        <v>R$ O,34</v>
      </c>
      <c r="I33" s="11" t="str">
        <f>_xlfn.CONCAT("R$ ","3l,98")</f>
        <v>R$ 3l,98</v>
      </c>
      <c r="J33" s="11" t="str">
        <f>_xlfn.CONCAT("R$ ","1,6O")</f>
        <v>R$ 1,6O</v>
      </c>
      <c r="K33" s="11" t="str">
        <f>_xlfn.CONCAT("R$ ","O,OO")</f>
        <v>R$ O,OO</v>
      </c>
      <c r="L33" s="11" t="str">
        <f>_xlfn.CONCAT("R$ ","4.828,2E")</f>
        <v>R$ 4.828,2E</v>
      </c>
      <c r="M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x14ac:dyDescent="0.25">
      <c r="A34" s="5"/>
      <c r="E34" s="3"/>
      <c r="F34" s="7"/>
      <c r="G34" s="7"/>
      <c r="H34" s="7"/>
      <c r="I34" s="7"/>
      <c r="J34" s="7"/>
      <c r="K34" s="7"/>
      <c r="L34" s="7"/>
      <c r="M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9" customFormat="1" x14ac:dyDescent="0.25">
      <c r="A35" s="10">
        <v>39912</v>
      </c>
      <c r="B35" s="9">
        <v>1401</v>
      </c>
      <c r="C35" s="9" t="s">
        <v>43</v>
      </c>
      <c r="D35" s="9">
        <v>500</v>
      </c>
      <c r="E35" s="8">
        <v>8.58</v>
      </c>
      <c r="F35" s="8">
        <f>D35*E35</f>
        <v>4290</v>
      </c>
      <c r="G35" s="8">
        <f>F35*0.0275%</f>
        <v>1.1797500000000001</v>
      </c>
      <c r="H35" s="8">
        <f>F35*0.007%</f>
        <v>0.30030000000000001</v>
      </c>
      <c r="I35" s="8">
        <v>15.99</v>
      </c>
      <c r="J35" s="8">
        <v>0.8</v>
      </c>
      <c r="K35" s="8">
        <v>0.21</v>
      </c>
      <c r="L35" s="8">
        <f>F35-G35-H35-I35-J35</f>
        <v>4271.7299499999999</v>
      </c>
      <c r="M35" s="6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9" customFormat="1" x14ac:dyDescent="0.25">
      <c r="A36" s="10">
        <v>39912</v>
      </c>
      <c r="B36" s="9">
        <v>1401</v>
      </c>
      <c r="C36" s="9" t="s">
        <v>2</v>
      </c>
      <c r="D36" s="9">
        <v>200</v>
      </c>
      <c r="E36" s="8">
        <v>14.54</v>
      </c>
      <c r="F36" s="8">
        <f>D36*E36</f>
        <v>2908</v>
      </c>
      <c r="G36" s="8">
        <f>F36*0.0275%</f>
        <v>0.79970000000000008</v>
      </c>
      <c r="H36" s="8">
        <f>F36*0.007%</f>
        <v>0.20356000000000002</v>
      </c>
      <c r="I36" s="8">
        <v>15.99</v>
      </c>
      <c r="J36" s="8">
        <v>0.8</v>
      </c>
      <c r="K36" s="8">
        <v>0.14000000000000001</v>
      </c>
      <c r="L36" s="8">
        <f>F36-G36-H36-I36-J36</f>
        <v>2890.2067400000001</v>
      </c>
      <c r="M36" s="6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s="9" customFormat="1" x14ac:dyDescent="0.25">
      <c r="A37" s="10"/>
      <c r="E37" s="8"/>
      <c r="F37" s="7">
        <f t="shared" ref="F37:L37" si="3">SUM(F35:F36)</f>
        <v>7198</v>
      </c>
      <c r="G37" s="7">
        <f t="shared" si="3"/>
        <v>1.9794500000000002</v>
      </c>
      <c r="H37" s="7">
        <f t="shared" si="3"/>
        <v>0.50385999999999997</v>
      </c>
      <c r="I37" s="7">
        <f t="shared" si="3"/>
        <v>31.98</v>
      </c>
      <c r="J37" s="7">
        <f t="shared" si="3"/>
        <v>1.6</v>
      </c>
      <c r="K37" s="7">
        <f t="shared" si="3"/>
        <v>0.35</v>
      </c>
      <c r="L37" s="36">
        <f t="shared" si="3"/>
        <v>7161.9366900000005</v>
      </c>
      <c r="M37" s="6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E38" s="3"/>
      <c r="F38" s="7"/>
      <c r="G38" s="7"/>
      <c r="H38" s="7"/>
      <c r="I38" s="7"/>
      <c r="J38" s="7"/>
      <c r="K38" s="7"/>
      <c r="L38" s="7"/>
      <c r="M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x14ac:dyDescent="0.25">
      <c r="A39" s="5">
        <v>39869</v>
      </c>
      <c r="C39" s="4" t="s">
        <v>2</v>
      </c>
      <c r="D39" s="4">
        <v>200</v>
      </c>
      <c r="E39" s="8">
        <v>12.47</v>
      </c>
      <c r="F39" s="8">
        <f>D39*E39</f>
        <v>2494</v>
      </c>
      <c r="G39" s="8">
        <f>F39*0.0275%</f>
        <v>0.68585000000000007</v>
      </c>
      <c r="H39" s="8">
        <f>F39*0.007%</f>
        <v>0.17458000000000001</v>
      </c>
      <c r="I39" s="8">
        <v>15.99</v>
      </c>
      <c r="J39" s="3">
        <v>0.8</v>
      </c>
      <c r="K39" s="3"/>
      <c r="L39" s="3">
        <f>F39+G39+H39+I39+J39</f>
        <v>2511.6504299999997</v>
      </c>
      <c r="M39" s="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9" customFormat="1" x14ac:dyDescent="0.25">
      <c r="A40" s="10">
        <v>39869</v>
      </c>
      <c r="C40" s="9" t="s">
        <v>1</v>
      </c>
      <c r="D40" s="9">
        <v>200</v>
      </c>
      <c r="E40" s="8">
        <v>26.1</v>
      </c>
      <c r="F40" s="13">
        <f>D40*E40</f>
        <v>5220</v>
      </c>
      <c r="G40" s="13">
        <f>F40*0.0275%</f>
        <v>1.4355</v>
      </c>
      <c r="H40" s="3">
        <f>F40*0.007%</f>
        <v>0.36540000000000006</v>
      </c>
      <c r="I40" s="3">
        <v>15.99</v>
      </c>
      <c r="J40" s="3">
        <v>0.8</v>
      </c>
      <c r="K40" s="3"/>
      <c r="L40" s="3">
        <f>F40-G40-H40-I40-J40</f>
        <v>5201.4091000000008</v>
      </c>
      <c r="M40" s="6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E41" s="3"/>
      <c r="F41" s="7">
        <f>F40-F39</f>
        <v>2726</v>
      </c>
      <c r="G41" s="7">
        <f>SUM(G39:G40)</f>
        <v>2.1213500000000001</v>
      </c>
      <c r="H41" s="7">
        <f>SUM(H39:H40)</f>
        <v>0.53998000000000013</v>
      </c>
      <c r="I41" s="7">
        <f>SUM(I39:I40)</f>
        <v>31.98</v>
      </c>
      <c r="J41" s="7">
        <f>SUM(J39:J40)</f>
        <v>1.6</v>
      </c>
      <c r="K41" s="7">
        <f>SUM(K39:K40)</f>
        <v>0</v>
      </c>
      <c r="L41" s="7">
        <f>L40-L39</f>
        <v>2689.7586700000011</v>
      </c>
      <c r="M41" s="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x14ac:dyDescent="0.25">
      <c r="A42" s="5"/>
      <c r="E42" s="3"/>
      <c r="F42" s="7"/>
      <c r="G42" s="7"/>
      <c r="H42" s="7"/>
      <c r="I42" s="7"/>
      <c r="J42" s="7"/>
      <c r="K42" s="7"/>
      <c r="L42" s="7"/>
      <c r="M42" s="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9" customFormat="1" x14ac:dyDescent="0.25">
      <c r="A43" s="10">
        <v>39912</v>
      </c>
      <c r="B43" s="9">
        <v>1401</v>
      </c>
      <c r="C43" s="9" t="s">
        <v>43</v>
      </c>
      <c r="D43" s="9">
        <v>500</v>
      </c>
      <c r="E43" s="8">
        <v>8.58</v>
      </c>
      <c r="F43" s="8">
        <f>D43*E43</f>
        <v>4290</v>
      </c>
      <c r="G43" s="8">
        <f>F43*0.0275%</f>
        <v>1.1797500000000001</v>
      </c>
      <c r="H43" s="8">
        <f>F43*0.007%</f>
        <v>0.30030000000000001</v>
      </c>
      <c r="I43" s="8">
        <v>15.99</v>
      </c>
      <c r="J43" s="8">
        <v>0.8</v>
      </c>
      <c r="K43" s="8">
        <v>0.21</v>
      </c>
      <c r="L43" s="8">
        <f>F43-G43-H43-I43-J43</f>
        <v>4271.7299499999999</v>
      </c>
      <c r="M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9" customFormat="1" x14ac:dyDescent="0.25">
      <c r="A44" s="10">
        <v>39912</v>
      </c>
      <c r="B44" s="9">
        <v>1401</v>
      </c>
      <c r="C44" s="9" t="s">
        <v>2</v>
      </c>
      <c r="D44" s="9">
        <v>200</v>
      </c>
      <c r="E44" s="8">
        <v>14.54</v>
      </c>
      <c r="F44" s="8">
        <f>D44*E44</f>
        <v>2908</v>
      </c>
      <c r="G44" s="8">
        <f>F44*0.0275%</f>
        <v>0.79970000000000008</v>
      </c>
      <c r="H44" s="8">
        <f>F44*0.007%</f>
        <v>0.20356000000000002</v>
      </c>
      <c r="I44" s="8">
        <v>15.99</v>
      </c>
      <c r="J44" s="8">
        <v>0.8</v>
      </c>
      <c r="K44" s="8">
        <v>0.14000000000000001</v>
      </c>
      <c r="L44" s="8">
        <f>F44-G44-H44-I44-J44</f>
        <v>2890.2067400000001</v>
      </c>
      <c r="M44" s="6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9" customFormat="1" x14ac:dyDescent="0.25">
      <c r="A45" s="10"/>
      <c r="E45" s="8"/>
      <c r="F45" s="11"/>
      <c r="G45" s="11"/>
      <c r="H45" s="11"/>
      <c r="I45" s="11"/>
      <c r="J45" s="11"/>
      <c r="K45" s="11"/>
      <c r="L45" s="11"/>
      <c r="M45" s="6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9" customFormat="1" x14ac:dyDescent="0.25">
      <c r="A46" s="10">
        <v>39912</v>
      </c>
      <c r="B46" s="9">
        <v>1401</v>
      </c>
      <c r="C46" s="9" t="s">
        <v>43</v>
      </c>
      <c r="D46" s="9">
        <v>500</v>
      </c>
      <c r="E46" s="8">
        <v>8.58</v>
      </c>
      <c r="F46" s="8">
        <f>D46*E46</f>
        <v>4290</v>
      </c>
      <c r="G46" s="8">
        <f>F46*0.0275%</f>
        <v>1.1797500000000001</v>
      </c>
      <c r="H46" s="8">
        <f>F46*0.007%</f>
        <v>0.30030000000000001</v>
      </c>
      <c r="I46" s="8">
        <v>15.99</v>
      </c>
      <c r="J46" s="8">
        <v>0.8</v>
      </c>
      <c r="K46" s="8">
        <v>0.21</v>
      </c>
      <c r="L46" s="8">
        <f>F46-G46-H46-I46-J46</f>
        <v>4271.7299499999999</v>
      </c>
      <c r="M46" s="6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9" customFormat="1" x14ac:dyDescent="0.25">
      <c r="A47" s="10">
        <v>39912</v>
      </c>
      <c r="B47" s="9">
        <v>1401</v>
      </c>
      <c r="C47" s="9" t="s">
        <v>2</v>
      </c>
      <c r="D47" s="9">
        <v>200</v>
      </c>
      <c r="E47" s="8">
        <v>14.54</v>
      </c>
      <c r="F47" s="8">
        <f>D47*E47</f>
        <v>2908</v>
      </c>
      <c r="G47" s="8">
        <f>F47*0.0275%</f>
        <v>0.79970000000000008</v>
      </c>
      <c r="H47" s="8">
        <f>F47*0.007%</f>
        <v>0.20356000000000002</v>
      </c>
      <c r="I47" s="8">
        <v>15.99</v>
      </c>
      <c r="J47" s="8">
        <v>0.8</v>
      </c>
      <c r="K47" s="8">
        <v>0.14000000000000001</v>
      </c>
      <c r="L47" s="8">
        <f>F47-G47-H47-I47-J47</f>
        <v>2890.2067400000001</v>
      </c>
      <c r="M47" s="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s="9" customFormat="1" x14ac:dyDescent="0.25">
      <c r="A48" s="10"/>
      <c r="E48" s="8"/>
      <c r="F48" s="7"/>
      <c r="G48" s="7"/>
      <c r="H48" s="7"/>
      <c r="I48" s="7"/>
      <c r="J48" s="7"/>
      <c r="K48" s="7"/>
      <c r="L48" s="11">
        <f>SUM(L46:L47)</f>
        <v>7161.9366900000005</v>
      </c>
      <c r="M48" s="6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50" spans="1:28" s="9" customFormat="1" x14ac:dyDescent="0.25">
      <c r="A50" s="10">
        <v>39912</v>
      </c>
      <c r="B50" s="9">
        <v>1401</v>
      </c>
      <c r="C50" s="9" t="s">
        <v>43</v>
      </c>
      <c r="D50" s="9">
        <v>500</v>
      </c>
      <c r="E50" s="8">
        <v>8.58</v>
      </c>
      <c r="F50" s="8">
        <f>D50*E50</f>
        <v>4290</v>
      </c>
      <c r="G50" s="8">
        <f>F50*0.0275%</f>
        <v>1.1797500000000001</v>
      </c>
      <c r="H50" s="8">
        <f>F50*0.007%</f>
        <v>0.30030000000000001</v>
      </c>
      <c r="I50" s="8">
        <v>15.99</v>
      </c>
      <c r="J50" s="8">
        <v>0.8</v>
      </c>
      <c r="K50" s="8">
        <v>0.21</v>
      </c>
      <c r="L50" s="8">
        <f>F50-G50-H50-I50-J50</f>
        <v>4271.7299499999999</v>
      </c>
      <c r="M50" s="6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9" customFormat="1" x14ac:dyDescent="0.25">
      <c r="A51" s="10">
        <v>39912</v>
      </c>
      <c r="B51" s="9">
        <v>1401</v>
      </c>
      <c r="C51" s="9" t="s">
        <v>2</v>
      </c>
      <c r="D51" s="9">
        <v>200</v>
      </c>
      <c r="E51" s="8">
        <v>14.54</v>
      </c>
      <c r="F51" s="8">
        <f>D51*E51</f>
        <v>2908</v>
      </c>
      <c r="G51" s="8">
        <f>F51*0.0275%</f>
        <v>0.79970000000000008</v>
      </c>
      <c r="H51" s="8">
        <f>F51*0.007%</f>
        <v>0.20356000000000002</v>
      </c>
      <c r="I51" s="8">
        <v>15.99</v>
      </c>
      <c r="J51" s="8">
        <v>0.8</v>
      </c>
      <c r="K51" s="8">
        <v>0.14000000000000001</v>
      </c>
      <c r="L51" s="8">
        <f>F51-G51-H51-I51-J51</f>
        <v>2890.2067400000001</v>
      </c>
      <c r="M51" s="6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9" customFormat="1" x14ac:dyDescent="0.25">
      <c r="A52" s="10"/>
      <c r="E52" s="8"/>
      <c r="F52" s="11">
        <f t="shared" ref="F52:K52" si="4">SUM(F50:F51)</f>
        <v>7198</v>
      </c>
      <c r="G52" s="11">
        <f t="shared" si="4"/>
        <v>1.9794500000000002</v>
      </c>
      <c r="H52" s="11">
        <f t="shared" si="4"/>
        <v>0.50385999999999997</v>
      </c>
      <c r="I52" s="11">
        <f t="shared" si="4"/>
        <v>31.98</v>
      </c>
      <c r="J52" s="11">
        <f t="shared" si="4"/>
        <v>1.6</v>
      </c>
      <c r="K52" s="11">
        <f t="shared" si="4"/>
        <v>0.35</v>
      </c>
      <c r="L52" s="11"/>
      <c r="M52" s="6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4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9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4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9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4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9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3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8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3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8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3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8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3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8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 t="s">
        <v>36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3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8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8554687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3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8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3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8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1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3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</v>
      </c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32E-230B-4094-BFCC-10DDA6566518}">
  <dimension ref="A1:AC3"/>
  <sheetViews>
    <sheetView workbookViewId="0">
      <pane ySplit="1" topLeftCell="A2" activePane="bottomLeft" state="frozen"/>
      <selection activeCell="Q108" sqref="Q108"/>
      <selection pane="bottomLeft" activeCell="A2" activeCellId="2" sqref="L2 C2:J2 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/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123F-5F70-4F53-8981-261F8E238FD8}">
  <dimension ref="A1:AC3"/>
  <sheetViews>
    <sheetView workbookViewId="0">
      <pane ySplit="1" topLeftCell="A2" activePane="bottomLeft" state="frozen"/>
      <selection activeCell="Q108" sqref="Q108"/>
      <selection pane="bottomLeft" activeCell="H2" activeCellId="1" sqref="A2:E2 H2:L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3">
        <f>D2*E2</f>
        <v>1534</v>
      </c>
      <c r="G2" s="13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</v>
      </c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B2" s="9">
        <v>1662</v>
      </c>
      <c r="C2" s="9" t="s">
        <v>2</v>
      </c>
      <c r="D2" s="9">
        <v>100</v>
      </c>
      <c r="E2" s="8">
        <v>15.34</v>
      </c>
      <c r="F2" s="8">
        <f>D2*E2</f>
        <v>1534</v>
      </c>
      <c r="G2" s="8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>
        <v>0.08</v>
      </c>
      <c r="L2" s="8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12F6-3B26-4F33-9E38-927D2FBD04F7}">
  <dimension ref="A1:AC3"/>
  <sheetViews>
    <sheetView workbookViewId="0">
      <pane ySplit="1" topLeftCell="A2" activePane="bottomLeft" state="frozen"/>
      <selection activeCell="Q108" sqref="Q108"/>
      <selection pane="bottomLeft" activeCell="A2" activeCellId="3" sqref="L2 H2:J2 C2:E2 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13">
        <f>D2*E2</f>
        <v>1534</v>
      </c>
      <c r="G2" s="13">
        <f>F2*0.0275%</f>
        <v>0.42185</v>
      </c>
      <c r="H2" s="8">
        <f>F2*0.007%</f>
        <v>0.10738000000000002</v>
      </c>
      <c r="I2" s="8">
        <v>15.99</v>
      </c>
      <c r="J2" s="8">
        <v>0.8</v>
      </c>
      <c r="K2" s="8"/>
      <c r="L2" s="8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/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9E35-59DD-4BFE-85ED-FEBCDF6FBC64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 t="s">
        <v>37</v>
      </c>
      <c r="G5" s="7">
        <f t="shared" ref="G5:K5" si="3">SUM(G2:G4)</f>
        <v>2.5635500000000002</v>
      </c>
      <c r="H5" s="7">
        <f t="shared" si="3"/>
        <v>0.65254000000000012</v>
      </c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/>
      <c r="H5" s="3">
        <f t="shared" ref="H5:K5" si="3">SUM(H2:H4)</f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412-8036-47C8-B9B4-428201885427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 t="s">
        <v>38</v>
      </c>
      <c r="H5" s="7">
        <f t="shared" ref="H5:K5" si="3">SUM(H2:H4)</f>
        <v>0.65254000000000012</v>
      </c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/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5F14-F556-47C1-ACA4-DAD078A04526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 t="s">
        <v>39</v>
      </c>
      <c r="I5" s="7">
        <f t="shared" ref="I5:K5" si="3">SUM(I2:I4)</f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/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0EC-00CB-4A3F-9A04-EA11DAB91746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 t="s">
        <v>40</v>
      </c>
      <c r="J5" s="7">
        <f t="shared" ref="J5:K5" si="3">SUM(J2:J4)</f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/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10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F36-1AF2-4E16-BE2C-A34F986E12D7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>
        <f>SUM(I2:I4)</f>
        <v>47.97</v>
      </c>
      <c r="J5" s="7" t="s">
        <v>41</v>
      </c>
      <c r="K5" s="7">
        <f t="shared" ref="K5" si="3">SUM(K2:K4)</f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F50-A797-434C-91EA-F28BA63DDC65}">
  <dimension ref="A1:AB6"/>
  <sheetViews>
    <sheetView topLeftCell="B1"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 t="s">
        <v>33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A49-F37A-4498-8E3D-716B98048555}">
  <dimension ref="A1:AB6"/>
  <sheetViews>
    <sheetView topLeftCell="B1"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8.42578125" style="13" bestFit="1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4">
        <f>-SUM(F2:F4)</f>
        <v>-9322</v>
      </c>
      <c r="G5" s="24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>
        <f>SUM(K2:K4)</f>
        <v>0</v>
      </c>
      <c r="L5" s="24" t="s">
        <v>42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3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112</vt:i4>
      </vt:variant>
    </vt:vector>
  </HeadingPairs>
  <TitlesOfParts>
    <vt:vector size="112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NonEmptyAttribsHalfOfEachColor</vt:lpstr>
      <vt:lpstr>ValidColoredAttribHalfEachColor</vt:lpstr>
      <vt:lpstr>NEValidColorAttrHalfEachColor</vt:lpstr>
      <vt:lpstr>VolumeSummaryMissing</vt:lpstr>
      <vt:lpstr>VolumeSummaryExtraneousChars</vt:lpstr>
      <vt:lpstr>SettlementFeeSummaryMissing</vt:lpstr>
      <vt:lpstr>SettlementFeeSummaryExtrChars</vt:lpstr>
      <vt:lpstr>TradingFeesSummaryMissing</vt:lpstr>
      <vt:lpstr>TradingFeesSummaryExtrChars</vt:lpstr>
      <vt:lpstr>BrokerageSummaryMissing</vt:lpstr>
      <vt:lpstr>BrokerageSummaryExtraneousChars</vt:lpstr>
      <vt:lpstr>ServiceTaxSummaryMissing</vt:lpstr>
      <vt:lpstr>ServiceTaxSummaryExtrChars</vt:lpstr>
      <vt:lpstr>IncomeTaxAtSourceSummExtrChars</vt:lpstr>
      <vt:lpstr>TotalSummaryMissing</vt:lpstr>
      <vt:lpstr>TotalSummaryExtraneousChars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InvalidVolumeSummaryHomogGroups</vt:lpstr>
      <vt:lpstr>InvalidVolumeSummaryMixedGroups</vt:lpstr>
      <vt:lpstr>InvalidTotalSummaryHomogGroups</vt:lpstr>
      <vt:lpstr>InvalidTotalSummaryMixedGroups</vt:lpstr>
      <vt:lpstr>MultipleErrors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2022-06-08T00:05:00Z</dcterms:modified>
</cp:coreProperties>
</file>