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ril Aye Thagyan\Desktop\MEITI - FInal\1) Appendix\To Upload MAP\"/>
    </mc:Choice>
  </mc:AlternateContent>
  <bookViews>
    <workbookView xWindow="0" yWindow="0" windowWidth="19200" windowHeight="7050"/>
  </bookViews>
  <sheets>
    <sheet name="Summary" sheetId="5" r:id="rId1"/>
    <sheet name="MOGE's Sale (Onshore)" sheetId="1" r:id="rId2"/>
    <sheet name="MOGE's Sale (Offshore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16" i="3" l="1"/>
  <c r="J917" i="3"/>
  <c r="I368" i="3"/>
  <c r="G368" i="3"/>
  <c r="I367" i="3"/>
  <c r="G367" i="3"/>
  <c r="I366" i="3"/>
  <c r="G366" i="3"/>
  <c r="I365" i="3"/>
  <c r="G365" i="3"/>
  <c r="I364" i="3"/>
  <c r="G364" i="3"/>
  <c r="I363" i="3"/>
  <c r="G363" i="3"/>
  <c r="I362" i="3"/>
  <c r="G362" i="3"/>
  <c r="I361" i="3"/>
  <c r="G361" i="3"/>
  <c r="I360" i="3"/>
  <c r="G360" i="3"/>
  <c r="I359" i="3"/>
  <c r="G359" i="3"/>
  <c r="I358" i="3"/>
  <c r="G358" i="3"/>
  <c r="I357" i="3"/>
  <c r="G357" i="3"/>
  <c r="I356" i="3"/>
  <c r="G356" i="3"/>
  <c r="I355" i="3"/>
  <c r="G355" i="3"/>
  <c r="I354" i="3"/>
  <c r="G354" i="3"/>
  <c r="I353" i="3"/>
  <c r="G353" i="3"/>
  <c r="I352" i="3"/>
  <c r="G352" i="3"/>
  <c r="I350" i="3"/>
  <c r="G350" i="3"/>
  <c r="I349" i="3"/>
  <c r="G349" i="3"/>
  <c r="I348" i="3"/>
  <c r="G348" i="3"/>
  <c r="I347" i="3"/>
  <c r="G347" i="3"/>
  <c r="I346" i="3"/>
  <c r="G346" i="3"/>
  <c r="I345" i="3"/>
  <c r="G345" i="3"/>
  <c r="I344" i="3"/>
  <c r="G344" i="3"/>
  <c r="I343" i="3"/>
  <c r="G343" i="3"/>
  <c r="I342" i="3"/>
  <c r="G342" i="3"/>
  <c r="I341" i="3"/>
  <c r="I340" i="3"/>
  <c r="G340" i="3"/>
  <c r="I339" i="3"/>
  <c r="I338" i="3"/>
  <c r="G338" i="3"/>
  <c r="I337" i="3"/>
  <c r="G337" i="3"/>
  <c r="I336" i="3"/>
  <c r="G336" i="3"/>
  <c r="I335" i="3"/>
  <c r="G335" i="3"/>
  <c r="I326" i="3"/>
  <c r="G326" i="3"/>
  <c r="I325" i="3"/>
  <c r="G325" i="3"/>
  <c r="I324" i="3"/>
  <c r="G324" i="3"/>
  <c r="I323" i="3"/>
  <c r="G323" i="3"/>
  <c r="I322" i="3"/>
  <c r="G322" i="3"/>
  <c r="I321" i="3"/>
  <c r="G321" i="3"/>
  <c r="I320" i="3"/>
  <c r="G320" i="3"/>
  <c r="I319" i="3"/>
  <c r="G319" i="3"/>
  <c r="I318" i="3"/>
  <c r="G318" i="3"/>
  <c r="I317" i="3"/>
  <c r="G317" i="3"/>
  <c r="I316" i="3"/>
  <c r="G316" i="3"/>
  <c r="I315" i="3"/>
  <c r="G315" i="3"/>
  <c r="I314" i="3"/>
  <c r="G314" i="3"/>
  <c r="I170" i="3"/>
  <c r="G170" i="3"/>
  <c r="I169" i="3"/>
  <c r="G169" i="3"/>
  <c r="I168" i="3"/>
  <c r="G168" i="3"/>
  <c r="I167" i="3"/>
  <c r="G167" i="3"/>
  <c r="I166" i="3"/>
  <c r="G166" i="3"/>
  <c r="I165" i="3"/>
  <c r="G165" i="3"/>
  <c r="I164" i="3"/>
  <c r="G164" i="3"/>
  <c r="I163" i="3"/>
  <c r="G163" i="3"/>
  <c r="I162" i="3"/>
  <c r="G162" i="3"/>
  <c r="I161" i="3"/>
  <c r="G161" i="3"/>
  <c r="I160" i="3"/>
  <c r="G160" i="3"/>
  <c r="I158" i="3"/>
  <c r="G158" i="3"/>
  <c r="I157" i="3"/>
  <c r="G157" i="3"/>
  <c r="I156" i="3"/>
  <c r="G156" i="3"/>
  <c r="I155" i="3"/>
  <c r="G155" i="3"/>
  <c r="I154" i="3"/>
  <c r="G154" i="3"/>
  <c r="I153" i="3"/>
  <c r="G153" i="3"/>
  <c r="I152" i="3"/>
  <c r="G152" i="3"/>
  <c r="I151" i="3"/>
  <c r="G151" i="3"/>
  <c r="I150" i="3"/>
  <c r="G150" i="3"/>
  <c r="I149" i="3"/>
  <c r="G149" i="3"/>
  <c r="I148" i="3"/>
  <c r="G148" i="3"/>
  <c r="I147" i="3"/>
  <c r="G147" i="3"/>
  <c r="I146" i="3"/>
  <c r="G146" i="3"/>
  <c r="I145" i="3"/>
  <c r="G145" i="3"/>
  <c r="I144" i="3"/>
  <c r="G144" i="3"/>
  <c r="I143" i="3"/>
  <c r="G143" i="3"/>
  <c r="I142" i="3"/>
  <c r="G142" i="3"/>
  <c r="I141" i="3"/>
  <c r="G141" i="3"/>
  <c r="I139" i="3"/>
  <c r="G139" i="3"/>
  <c r="I138" i="3"/>
  <c r="G138" i="3"/>
  <c r="I137" i="3"/>
  <c r="G137" i="3"/>
  <c r="I136" i="3"/>
  <c r="G136" i="3"/>
  <c r="I135" i="3"/>
  <c r="G135" i="3"/>
  <c r="I134" i="3"/>
  <c r="G134" i="3"/>
  <c r="I133" i="3"/>
  <c r="G133" i="3"/>
  <c r="I132" i="3"/>
  <c r="G132" i="3"/>
  <c r="I131" i="3"/>
  <c r="G131" i="3"/>
  <c r="I130" i="3"/>
  <c r="G130" i="3"/>
  <c r="I129" i="3"/>
  <c r="G129" i="3"/>
  <c r="I128" i="3"/>
  <c r="G128" i="3"/>
  <c r="I127" i="3"/>
  <c r="G127" i="3"/>
  <c r="I126" i="3"/>
  <c r="G126" i="3"/>
  <c r="I125" i="3"/>
  <c r="G125" i="3"/>
  <c r="I124" i="3"/>
  <c r="G124" i="3"/>
  <c r="I123" i="3"/>
  <c r="G123" i="3"/>
  <c r="I121" i="3"/>
  <c r="G121" i="3"/>
  <c r="I120" i="3"/>
  <c r="G120" i="3"/>
  <c r="I119" i="3"/>
  <c r="G119" i="3"/>
  <c r="I118" i="3"/>
  <c r="G118" i="3"/>
  <c r="I117" i="3"/>
  <c r="G117" i="3"/>
  <c r="I116" i="3"/>
  <c r="G116" i="3"/>
  <c r="I115" i="3"/>
  <c r="G115" i="3"/>
  <c r="I114" i="3"/>
  <c r="G114" i="3"/>
  <c r="I113" i="3"/>
  <c r="G113" i="3"/>
  <c r="I112" i="3"/>
  <c r="G112" i="3"/>
  <c r="I111" i="3"/>
  <c r="G111" i="3"/>
  <c r="I110" i="3"/>
  <c r="G110" i="3"/>
  <c r="I109" i="3"/>
  <c r="G109" i="3"/>
  <c r="I108" i="3"/>
  <c r="G108" i="3"/>
  <c r="I107" i="3"/>
  <c r="G107" i="3"/>
  <c r="I106" i="3"/>
  <c r="G106" i="3"/>
  <c r="I104" i="3"/>
  <c r="G104" i="3"/>
  <c r="I103" i="3"/>
  <c r="G103" i="3"/>
  <c r="I102" i="3"/>
  <c r="G102" i="3"/>
  <c r="I101" i="3"/>
  <c r="G101" i="3"/>
  <c r="I100" i="3"/>
  <c r="G100" i="3"/>
  <c r="I99" i="3"/>
  <c r="G99" i="3"/>
  <c r="I98" i="3"/>
  <c r="G98" i="3"/>
  <c r="I96" i="3"/>
  <c r="G96" i="3"/>
  <c r="I95" i="3"/>
  <c r="G95" i="3"/>
  <c r="I94" i="3"/>
  <c r="G94" i="3"/>
  <c r="I93" i="3"/>
  <c r="G93" i="3"/>
  <c r="I92" i="3"/>
  <c r="G92" i="3"/>
  <c r="I91" i="3"/>
  <c r="G91" i="3"/>
  <c r="I90" i="3"/>
  <c r="G90" i="3"/>
  <c r="I88" i="3"/>
  <c r="G88" i="3"/>
  <c r="I87" i="3"/>
  <c r="G87" i="3"/>
  <c r="I86" i="3"/>
  <c r="G86" i="3"/>
  <c r="I85" i="3"/>
  <c r="G85" i="3"/>
  <c r="I84" i="3"/>
  <c r="G84" i="3"/>
  <c r="I83" i="3"/>
  <c r="G83" i="3"/>
  <c r="I82" i="3"/>
  <c r="G82" i="3"/>
  <c r="I81" i="3"/>
  <c r="G81" i="3"/>
  <c r="I79" i="3"/>
  <c r="G79" i="3"/>
  <c r="I78" i="3"/>
  <c r="G78" i="3"/>
  <c r="I77" i="3"/>
  <c r="G77" i="3"/>
  <c r="I76" i="3"/>
  <c r="G76" i="3"/>
  <c r="I75" i="3"/>
  <c r="G75" i="3"/>
  <c r="I74" i="3"/>
  <c r="G74" i="3"/>
  <c r="I73" i="3"/>
  <c r="G73" i="3"/>
  <c r="I72" i="3"/>
  <c r="G72" i="3"/>
  <c r="I70" i="3"/>
  <c r="G70" i="3"/>
  <c r="I69" i="3"/>
  <c r="G69" i="3"/>
  <c r="I68" i="3"/>
  <c r="G68" i="3"/>
  <c r="I67" i="3"/>
  <c r="G67" i="3"/>
  <c r="I66" i="3"/>
  <c r="G66" i="3"/>
  <c r="I65" i="3"/>
  <c r="G65" i="3"/>
  <c r="I64" i="3"/>
  <c r="G64" i="3"/>
  <c r="I63" i="3"/>
  <c r="G63" i="3"/>
  <c r="I61" i="3"/>
  <c r="G61" i="3"/>
  <c r="I60" i="3"/>
  <c r="G60" i="3"/>
  <c r="I59" i="3"/>
  <c r="G59" i="3"/>
  <c r="I58" i="3"/>
  <c r="G58" i="3"/>
  <c r="I57" i="3"/>
  <c r="G57" i="3"/>
  <c r="I56" i="3"/>
  <c r="G56" i="3"/>
  <c r="I55" i="3"/>
  <c r="G55" i="3"/>
  <c r="I53" i="3"/>
  <c r="G53" i="3"/>
  <c r="I52" i="3"/>
  <c r="G52" i="3"/>
  <c r="I51" i="3"/>
  <c r="G51" i="3"/>
  <c r="I50" i="3"/>
  <c r="G50" i="3"/>
  <c r="I49" i="3"/>
  <c r="G49" i="3"/>
  <c r="I48" i="3"/>
  <c r="G48" i="3"/>
  <c r="I47" i="3"/>
  <c r="G47" i="3"/>
  <c r="I45" i="3"/>
  <c r="G45" i="3"/>
  <c r="I44" i="3"/>
  <c r="G44" i="3"/>
  <c r="I43" i="3"/>
  <c r="G43" i="3"/>
  <c r="I42" i="3"/>
  <c r="G42" i="3"/>
  <c r="I41" i="3"/>
  <c r="G41" i="3"/>
  <c r="I40" i="3"/>
  <c r="G40" i="3"/>
  <c r="I39" i="3"/>
  <c r="G39" i="3"/>
  <c r="I38" i="3"/>
  <c r="G38" i="3"/>
  <c r="I36" i="3"/>
  <c r="G36" i="3"/>
  <c r="I35" i="3"/>
  <c r="G35" i="3"/>
  <c r="I34" i="3"/>
  <c r="G34" i="3"/>
  <c r="I33" i="3"/>
  <c r="G33" i="3"/>
  <c r="I32" i="3"/>
  <c r="G32" i="3"/>
  <c r="I31" i="3"/>
  <c r="G31" i="3"/>
  <c r="I30" i="3"/>
  <c r="G30" i="3"/>
  <c r="I28" i="3"/>
  <c r="G28" i="3"/>
  <c r="I27" i="3"/>
  <c r="G27" i="3"/>
  <c r="I26" i="3"/>
  <c r="G26" i="3"/>
  <c r="I25" i="3"/>
  <c r="G25" i="3"/>
  <c r="I24" i="3"/>
  <c r="G24" i="3"/>
  <c r="I23" i="3"/>
  <c r="G23" i="3"/>
  <c r="I22" i="3"/>
  <c r="G22" i="3"/>
  <c r="I20" i="3"/>
  <c r="G20" i="3"/>
  <c r="I19" i="3"/>
  <c r="G19" i="3"/>
  <c r="I18" i="3"/>
  <c r="G18" i="3"/>
  <c r="I17" i="3"/>
  <c r="G17" i="3"/>
  <c r="I16" i="3"/>
  <c r="G16" i="3"/>
  <c r="I15" i="3"/>
  <c r="G15" i="3"/>
  <c r="I14" i="3"/>
  <c r="G14" i="3"/>
  <c r="I12" i="3"/>
  <c r="G12" i="3"/>
  <c r="I11" i="3"/>
  <c r="G11" i="3"/>
  <c r="I10" i="3"/>
  <c r="G10" i="3"/>
  <c r="I9" i="3"/>
  <c r="G9" i="3"/>
  <c r="I8" i="3"/>
  <c r="G8" i="3"/>
  <c r="I7" i="3"/>
  <c r="G7" i="3"/>
  <c r="I6" i="3"/>
  <c r="G6" i="3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L20" i="1"/>
  <c r="K18" i="1"/>
  <c r="K33" i="1" s="1"/>
  <c r="K48" i="1" s="1"/>
  <c r="K64" i="1" s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I105" i="3" l="1"/>
  <c r="I334" i="3"/>
  <c r="I369" i="3"/>
  <c r="J33" i="1"/>
  <c r="I33" i="1"/>
  <c r="I48" i="1"/>
  <c r="J48" i="1"/>
  <c r="I64" i="1"/>
  <c r="I18" i="1"/>
  <c r="J18" i="1"/>
  <c r="J64" i="1"/>
  <c r="I917" i="3" l="1"/>
</calcChain>
</file>

<file path=xl/sharedStrings.xml><?xml version="1.0" encoding="utf-8"?>
<sst xmlns="http://schemas.openxmlformats.org/spreadsheetml/2006/main" count="3769" uniqueCount="216">
  <si>
    <t>Period covered: 1 April 2016 to 31 March 2017</t>
  </si>
  <si>
    <t>Onshore</t>
  </si>
  <si>
    <t>Date of Sale</t>
  </si>
  <si>
    <t xml:space="preserve">Payment receipt date </t>
  </si>
  <si>
    <t xml:space="preserve">Commodity </t>
  </si>
  <si>
    <t>Volume 
(bbl)</t>
  </si>
  <si>
    <t>Unit
(MMK)</t>
  </si>
  <si>
    <t>Buyer (name of entity)</t>
  </si>
  <si>
    <t>Incoterms (FOB/FAS/CFR/ CIF)</t>
  </si>
  <si>
    <t>Buying company</t>
  </si>
  <si>
    <t xml:space="preserve">Volumes sold </t>
  </si>
  <si>
    <t xml:space="preserve">Revenues received </t>
  </si>
  <si>
    <t>Currency</t>
  </si>
  <si>
    <t>Remark</t>
  </si>
  <si>
    <t>Crude Oil</t>
  </si>
  <si>
    <t>MPE</t>
  </si>
  <si>
    <t>MMK</t>
  </si>
  <si>
    <t>Mann Oil Field</t>
  </si>
  <si>
    <t>Total</t>
  </si>
  <si>
    <t>Volume 
(MMCF)</t>
  </si>
  <si>
    <t>Gas</t>
  </si>
  <si>
    <t>Chauk Oil Field</t>
  </si>
  <si>
    <t>Yennagyaung Oil Field</t>
  </si>
  <si>
    <t>Offshore</t>
  </si>
  <si>
    <t>Type of Minerals</t>
  </si>
  <si>
    <t>Volume Sold (MMSCF)</t>
  </si>
  <si>
    <t>Volume Sold (MMBTU)</t>
  </si>
  <si>
    <t xml:space="preserve">Value/Rate </t>
  </si>
  <si>
    <t>Revenue Received (USD)</t>
  </si>
  <si>
    <t>Exchange Rate</t>
  </si>
  <si>
    <t xml:space="preserve">Revenues received (MMK) </t>
  </si>
  <si>
    <t>Project</t>
  </si>
  <si>
    <t>Destination</t>
  </si>
  <si>
    <t xml:space="preserve">Gas </t>
  </si>
  <si>
    <t xml:space="preserve">Shwe </t>
  </si>
  <si>
    <t>Kyauk Se Glass</t>
  </si>
  <si>
    <t xml:space="preserve">Myanmar </t>
  </si>
  <si>
    <t>Kyauk Se GEG</t>
  </si>
  <si>
    <t>No (13) Heavy Industries</t>
  </si>
  <si>
    <t>Defence Tarpaulin</t>
  </si>
  <si>
    <t>Cement Ton (500)</t>
  </si>
  <si>
    <t>MEPE (Myin Chan)</t>
  </si>
  <si>
    <t xml:space="preserve">MEPE Kyauk Phyu </t>
  </si>
  <si>
    <t>EPGE (Myin Chan)</t>
  </si>
  <si>
    <t>Steel Mill (Myin Chan)</t>
  </si>
  <si>
    <t>Steel Mill (2) PP</t>
  </si>
  <si>
    <t xml:space="preserve">EPGE Kyauk Phyu </t>
  </si>
  <si>
    <t>Cement (Max Myanmar)</t>
  </si>
  <si>
    <t>Steel Mill 1(Myin Chan)</t>
  </si>
  <si>
    <t>Defence Tarpaulin (HT)</t>
  </si>
  <si>
    <t>Sub-total for Shwe Project</t>
  </si>
  <si>
    <t>Zawtika</t>
  </si>
  <si>
    <t>MEC (Ton) 4000</t>
  </si>
  <si>
    <t>MEC (Ton) 900</t>
  </si>
  <si>
    <t>Glass (MEC)</t>
  </si>
  <si>
    <t>Packing (Thanlyin)</t>
  </si>
  <si>
    <t>Belin Redial Tyre</t>
  </si>
  <si>
    <t>MEPE (New)</t>
  </si>
  <si>
    <t>MEPE (Old)</t>
  </si>
  <si>
    <t>MEPE (MLM)</t>
  </si>
  <si>
    <t>MEPE (TKA)</t>
  </si>
  <si>
    <t>MEPE (KBK Genset)</t>
  </si>
  <si>
    <t>Tin Smelting (Thanlyin)</t>
  </si>
  <si>
    <t>Suzuki Myanmar Co;</t>
  </si>
  <si>
    <t>Asia World Ltd( Paper )</t>
  </si>
  <si>
    <t>Belin Sprit ( BIADC )</t>
  </si>
  <si>
    <t>Taung Pyar Dan Co;</t>
  </si>
  <si>
    <t>Shwe Gyee Factory</t>
  </si>
  <si>
    <t>Asia World Ltd( Malt )</t>
  </si>
  <si>
    <t>EPGE (Old)</t>
  </si>
  <si>
    <t>EPGE (MLM)</t>
  </si>
  <si>
    <t>EPGE (TKA)</t>
  </si>
  <si>
    <t>EPGE (HLK)</t>
  </si>
  <si>
    <t>EPGE (KBK Genset)</t>
  </si>
  <si>
    <t>Refinery (Thannlyinn)</t>
  </si>
  <si>
    <t>EPGE (Thilawa)</t>
  </si>
  <si>
    <t>EPGE (New)</t>
  </si>
  <si>
    <t>Refinery (Thanlyin)</t>
  </si>
  <si>
    <t>Asia World Ltd( Malt)</t>
  </si>
  <si>
    <t>EPGE (NEW)</t>
  </si>
  <si>
    <t>EPGE (OLD)</t>
  </si>
  <si>
    <t>EPGE (KBK)</t>
  </si>
  <si>
    <t>EPGE (THILAWA)</t>
  </si>
  <si>
    <t>MEC (TON) 900</t>
  </si>
  <si>
    <t>BELINE RADIAL TYRE</t>
  </si>
  <si>
    <t>PACKING (THANLYN)</t>
  </si>
  <si>
    <t>Suzuki Myanmar Co,</t>
  </si>
  <si>
    <t>Asia World Co. (Paper)</t>
  </si>
  <si>
    <t>Asia World Co. (Malt)</t>
  </si>
  <si>
    <t>Belin Spirit (BIADC)</t>
  </si>
  <si>
    <t>Taung Pyar Dan Co.</t>
  </si>
  <si>
    <t>Shwe Gyi Factory</t>
  </si>
  <si>
    <t>Myanma CAN</t>
  </si>
  <si>
    <t>EPGE (KBK GENSET)</t>
  </si>
  <si>
    <t>MEC (TON) 4000</t>
  </si>
  <si>
    <t>Belin Radial Tyre(AHM Co.)</t>
  </si>
  <si>
    <t>EPGE(MLM)</t>
  </si>
  <si>
    <t>GLASS MEC</t>
  </si>
  <si>
    <t>EPGE(KBK)</t>
  </si>
  <si>
    <t>EPGE(THILAWA)</t>
  </si>
  <si>
    <t>EPGE(HLK)</t>
  </si>
  <si>
    <t>Shwe Kyee Factory</t>
  </si>
  <si>
    <t>3 &amp; 1 Coffee</t>
  </si>
  <si>
    <t>Sub-total for Zawtika Project</t>
  </si>
  <si>
    <t>Yadanar (20")</t>
  </si>
  <si>
    <t>Myanmar</t>
  </si>
  <si>
    <t>Asia (Paper)</t>
  </si>
  <si>
    <t>Taung Par Dan (Soft Drink)</t>
  </si>
  <si>
    <t>Shwe Kyee</t>
  </si>
  <si>
    <t>Tariff</t>
  </si>
  <si>
    <t>Ton 4000 (MEC)</t>
  </si>
  <si>
    <t>Packing (Thanlin )</t>
  </si>
  <si>
    <t>Belin Radial Tyre</t>
  </si>
  <si>
    <t>Asia World (Maltose)</t>
  </si>
  <si>
    <t>Ton 900 (MEC)</t>
  </si>
  <si>
    <t>Sub-total for Yadanar (20")</t>
  </si>
  <si>
    <t>Yadanar (24")</t>
  </si>
  <si>
    <t>Brick (DYGM) Mother Ind;</t>
  </si>
  <si>
    <t>Shoe  (REVA Co,)</t>
  </si>
  <si>
    <t>MPF</t>
  </si>
  <si>
    <t>INNTYWA / Family United</t>
  </si>
  <si>
    <t>Myanma Railways</t>
  </si>
  <si>
    <t>Asphalt (SPT)</t>
  </si>
  <si>
    <t>Textile (TMG)</t>
  </si>
  <si>
    <t xml:space="preserve">Metal Ware </t>
  </si>
  <si>
    <t xml:space="preserve">Myanmar Army Recruiting </t>
  </si>
  <si>
    <t>C.I.P.C.S</t>
  </si>
  <si>
    <t>Defence Ball (Hmawbi)</t>
  </si>
  <si>
    <t>Raw Material (Hmawbi)</t>
  </si>
  <si>
    <t>Biscuit (Hmawbi)</t>
  </si>
  <si>
    <t>Instant Noodle (Hmawbi)</t>
  </si>
  <si>
    <t>Hapatitis (B) Viaccine</t>
  </si>
  <si>
    <t>Steel Mill (2)</t>
  </si>
  <si>
    <t>Steel Mill (3)</t>
  </si>
  <si>
    <t>Textile (SDG)+(F)</t>
  </si>
  <si>
    <t>Fire Brick (AL)</t>
  </si>
  <si>
    <t>MEPE (MAG)</t>
  </si>
  <si>
    <t>Cemant (TYT)</t>
  </si>
  <si>
    <t>Textile (9) (UPC)</t>
  </si>
  <si>
    <t>MEPE (SDG)</t>
  </si>
  <si>
    <t>Defence Hospital No(6)</t>
  </si>
  <si>
    <t>MEPE (YWAMA)</t>
  </si>
  <si>
    <t>MEPE (HLk)</t>
  </si>
  <si>
    <t>MEPE (AHLONE)</t>
  </si>
  <si>
    <t>MEPE (YWA) EGAT</t>
  </si>
  <si>
    <t>TYRE (MEC)</t>
  </si>
  <si>
    <t>Great Myanmar Co;</t>
  </si>
  <si>
    <t>Tet Phyo Wai Fact;</t>
  </si>
  <si>
    <t>Yangon Tyre</t>
  </si>
  <si>
    <t>Proven Techology</t>
  </si>
  <si>
    <t>Yangon Crown</t>
  </si>
  <si>
    <t>Best Industrial Co;</t>
  </si>
  <si>
    <t>Godzilla Mosquites</t>
  </si>
  <si>
    <t>Yangon Metal Co.Ltd</t>
  </si>
  <si>
    <t>Thit San Glass</t>
  </si>
  <si>
    <t xml:space="preserve">Ve Ve Soft </t>
  </si>
  <si>
    <t>Ngwe Pin Lae (CTB)</t>
  </si>
  <si>
    <t>Ngwe Pin Lae (Fishmeal)</t>
  </si>
  <si>
    <t>Brick (Hmawbi)</t>
  </si>
  <si>
    <t>New General Co.Ltd</t>
  </si>
  <si>
    <t>Wa Minn Co; Ltd;</t>
  </si>
  <si>
    <t>Cemant (KSG)</t>
  </si>
  <si>
    <t>Kyankin Cement (KCG)</t>
  </si>
  <si>
    <t>DPF/Yee Shin Co Ltd;</t>
  </si>
  <si>
    <t xml:space="preserve">Defence Pharmaceutical </t>
  </si>
  <si>
    <t>Brick (DYGN) Mother Industry</t>
  </si>
  <si>
    <t>InnYwa/Family United Power</t>
  </si>
  <si>
    <t>Hepatitis (B) Vaccine</t>
  </si>
  <si>
    <t>Brick 2(Hmawbi)</t>
  </si>
  <si>
    <t>Steel Mill (KSG)</t>
  </si>
  <si>
    <t>MEPE(MAG)</t>
  </si>
  <si>
    <t>EPGE (YWAMA)</t>
  </si>
  <si>
    <t>EPGE(HLk)</t>
  </si>
  <si>
    <t>EPGE(YWAMA)EGAT</t>
  </si>
  <si>
    <t>EPGE (AHLONE)</t>
  </si>
  <si>
    <t>DPS/YEE SHIN Co</t>
  </si>
  <si>
    <t>TEX (9) UPC</t>
  </si>
  <si>
    <t>Myanmar Lighting</t>
  </si>
  <si>
    <t>Ve Ve Soft Drink</t>
  </si>
  <si>
    <t>Brick 2 (Hmawbi)</t>
  </si>
  <si>
    <t>Light Fire Brick (Mother Indu)</t>
  </si>
  <si>
    <t>Textile ((9) UPC</t>
  </si>
  <si>
    <t>EPGE (HLk)</t>
  </si>
  <si>
    <t>EPGE (YMA) EGAT</t>
  </si>
  <si>
    <t>(DDF)/YEE Shin Co.</t>
  </si>
  <si>
    <t>Ve Ve Soft Drinking</t>
  </si>
  <si>
    <t>Myanmar Army Recruiting U-1</t>
  </si>
  <si>
    <t>Steel Mill (2) MDG</t>
  </si>
  <si>
    <t>Steel Mill (3) INSEIN</t>
  </si>
  <si>
    <t>AAC/APC(Mother Indus;)</t>
  </si>
  <si>
    <t>TEX(9) UPC</t>
  </si>
  <si>
    <t>MEPE (HLK)</t>
  </si>
  <si>
    <t>EPGE(AHLONE)</t>
  </si>
  <si>
    <t>EPGE(YMA) EGAT</t>
  </si>
  <si>
    <t>(DPF)/ YEE SHIN Co;</t>
  </si>
  <si>
    <t xml:space="preserve">Shoe </t>
  </si>
  <si>
    <t>Myanmar Army Recruiting U 1</t>
  </si>
  <si>
    <t>Steel Mill (2)( MDG)</t>
  </si>
  <si>
    <t>Steel Mill (3)(INSEIN)</t>
  </si>
  <si>
    <t>EPGE(YWAMA)</t>
  </si>
  <si>
    <t>(DPF)/YEE SHIN Co;</t>
  </si>
  <si>
    <t>Ngwe Pin Lae (FM)</t>
  </si>
  <si>
    <t>Textile (9) UPC</t>
  </si>
  <si>
    <t xml:space="preserve">Raw Material </t>
  </si>
  <si>
    <t>Maltose Suger Fact;</t>
  </si>
  <si>
    <t>Myanma  SUZUKI CO;</t>
  </si>
  <si>
    <t xml:space="preserve">Instant Noodle </t>
  </si>
  <si>
    <t>Sub-total for Yadanar (24")</t>
  </si>
  <si>
    <t xml:space="preserve"> Grand Total for  Offshore </t>
  </si>
  <si>
    <t>MOGE's Sale Oil and Gas by buying company</t>
  </si>
  <si>
    <t>S/N</t>
  </si>
  <si>
    <t>Description</t>
  </si>
  <si>
    <t xml:space="preserve"> Link </t>
  </si>
  <si>
    <t>Appendix 24 - MOGE's Sales of Production by Individual Buying Company for FY2016-2017</t>
  </si>
  <si>
    <t>MOGE's Sale (Onshore)</t>
  </si>
  <si>
    <t>MOGE's Sale (Offshore)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</si>
</sst>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0.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indexed="8"/>
      <name val="Georgia"/>
      <family val="1"/>
    </font>
    <font>
      <b/>
      <sz val="10"/>
      <color indexed="63"/>
      <name val="Georgia"/>
      <family val="1"/>
    </font>
    <font>
      <b/>
      <sz val="10"/>
      <color rgb="FF000000"/>
      <name val="Arial"/>
      <family val="2"/>
    </font>
    <font>
      <b/>
      <sz val="10"/>
      <color theme="1"/>
      <name val="Georgia"/>
      <family val="1"/>
    </font>
    <font>
      <b/>
      <sz val="10"/>
      <color indexed="8"/>
      <name val="Georgia"/>
      <family val="1"/>
    </font>
    <font>
      <b/>
      <sz val="12"/>
      <color indexed="8"/>
      <name val="Georgia"/>
      <family val="1"/>
    </font>
    <font>
      <sz val="12"/>
      <color indexed="8"/>
      <name val="Georgia"/>
      <family val="1"/>
    </font>
    <font>
      <sz val="10"/>
      <name val="Arial"/>
      <family val="2"/>
    </font>
    <font>
      <b/>
      <sz val="10"/>
      <name val="Georgia"/>
      <family val="1"/>
    </font>
    <font>
      <sz val="11"/>
      <name val="Arial"/>
      <family val="2"/>
    </font>
    <font>
      <sz val="14"/>
      <color theme="1"/>
      <name val="Myanmar3"/>
      <family val="1"/>
    </font>
    <font>
      <b/>
      <sz val="12"/>
      <color theme="5"/>
      <name val="Arial"/>
      <family val="2"/>
    </font>
    <font>
      <sz val="10"/>
      <color indexed="8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4D2307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/>
    <xf numFmtId="0" fontId="23" fillId="0" borderId="0" applyNumberFormat="0" applyFill="0" applyBorder="0" applyAlignment="0" applyProtection="0"/>
  </cellStyleXfs>
  <cellXfs count="118">
    <xf numFmtId="0" fontId="0" fillId="0" borderId="0" xfId="0"/>
    <xf numFmtId="0" fontId="3" fillId="0" borderId="0" xfId="3" applyFont="1" applyAlignment="1">
      <alignment horizontal="center" vertical="center"/>
    </xf>
    <xf numFmtId="0" fontId="3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0" fontId="7" fillId="0" borderId="0" xfId="3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165" fontId="7" fillId="0" borderId="0" xfId="3" applyNumberFormat="1" applyFont="1" applyAlignment="1">
      <alignment horizontal="center" vertical="center"/>
    </xf>
    <xf numFmtId="43" fontId="7" fillId="0" borderId="0" xfId="3" applyNumberFormat="1" applyFont="1" applyAlignment="1">
      <alignment horizontal="center" vertical="center"/>
    </xf>
    <xf numFmtId="164" fontId="7" fillId="0" borderId="0" xfId="3" applyNumberFormat="1" applyFont="1" applyAlignment="1">
      <alignment horizontal="center" vertical="center"/>
    </xf>
    <xf numFmtId="43" fontId="13" fillId="0" borderId="0" xfId="1" applyFont="1"/>
    <xf numFmtId="0" fontId="1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8" fillId="3" borderId="0" xfId="3" applyFont="1" applyFill="1" applyAlignment="1">
      <alignment horizontal="center" vertical="center"/>
    </xf>
    <xf numFmtId="0" fontId="9" fillId="3" borderId="0" xfId="3" applyFont="1" applyFill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6" fillId="4" borderId="1" xfId="4" applyFont="1" applyFill="1" applyBorder="1" applyAlignment="1">
      <alignment horizontal="center" vertical="center" wrapText="1"/>
    </xf>
    <xf numFmtId="17" fontId="12" fillId="0" borderId="1" xfId="0" applyNumberFormat="1" applyFont="1" applyBorder="1" applyAlignment="1">
      <alignment horizontal="center" vertical="center"/>
    </xf>
    <xf numFmtId="14" fontId="3" fillId="0" borderId="1" xfId="3" applyNumberFormat="1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 wrapText="1"/>
    </xf>
    <xf numFmtId="0" fontId="4" fillId="5" borderId="1" xfId="3" applyFont="1" applyFill="1" applyBorder="1" applyAlignment="1">
      <alignment horizontal="left" vertical="center"/>
    </xf>
    <xf numFmtId="0" fontId="3" fillId="5" borderId="1" xfId="3" applyFont="1" applyFill="1" applyBorder="1" applyAlignment="1">
      <alignment horizontal="center" vertical="center"/>
    </xf>
    <xf numFmtId="43" fontId="3" fillId="5" borderId="1" xfId="1" applyFont="1" applyFill="1" applyBorder="1" applyAlignment="1">
      <alignment horizontal="center" vertical="center"/>
    </xf>
    <xf numFmtId="0" fontId="7" fillId="5" borderId="1" xfId="3" applyFont="1" applyFill="1" applyBorder="1" applyAlignment="1">
      <alignment horizontal="center" vertical="center"/>
    </xf>
    <xf numFmtId="43" fontId="7" fillId="5" borderId="1" xfId="1" applyFont="1" applyFill="1" applyBorder="1" applyAlignment="1">
      <alignment horizontal="center" vertical="center"/>
    </xf>
    <xf numFmtId="43" fontId="7" fillId="5" borderId="1" xfId="3" applyNumberFormat="1" applyFont="1" applyFill="1" applyBorder="1" applyAlignment="1">
      <alignment horizontal="center" vertical="center"/>
    </xf>
    <xf numFmtId="164" fontId="7" fillId="5" borderId="1" xfId="3" applyNumberFormat="1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 vertical="center"/>
    </xf>
    <xf numFmtId="165" fontId="7" fillId="5" borderId="1" xfId="3" applyNumberFormat="1" applyFont="1" applyFill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43" fontId="13" fillId="0" borderId="1" xfId="1" applyFont="1" applyBorder="1" applyAlignment="1">
      <alignment horizontal="center" vertical="center"/>
    </xf>
    <xf numFmtId="0" fontId="15" fillId="0" borderId="0" xfId="3" applyFont="1" applyAlignment="1">
      <alignment vertical="center"/>
    </xf>
    <xf numFmtId="0" fontId="16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5" fillId="0" borderId="0" xfId="3" applyFont="1" applyAlignment="1">
      <alignment horizontal="right" vertical="center"/>
    </xf>
    <xf numFmtId="0" fontId="17" fillId="0" borderId="0" xfId="3" applyFont="1" applyAlignment="1">
      <alignment horizontal="center" vertical="center"/>
    </xf>
    <xf numFmtId="165" fontId="17" fillId="0" borderId="0" xfId="3" applyNumberFormat="1" applyFont="1" applyAlignment="1">
      <alignment horizontal="center" vertical="center"/>
    </xf>
    <xf numFmtId="43" fontId="17" fillId="0" borderId="0" xfId="3" applyNumberFormat="1" applyFont="1" applyAlignment="1">
      <alignment horizontal="center" vertical="center"/>
    </xf>
    <xf numFmtId="164" fontId="17" fillId="0" borderId="0" xfId="3" applyNumberFormat="1" applyFont="1" applyAlignment="1">
      <alignment horizontal="center" vertical="center"/>
    </xf>
    <xf numFmtId="0" fontId="18" fillId="4" borderId="1" xfId="4" applyFont="1" applyFill="1" applyBorder="1" applyAlignment="1">
      <alignment horizontal="center" vertical="center" wrapText="1"/>
    </xf>
    <xf numFmtId="0" fontId="18" fillId="4" borderId="1" xfId="4" applyFont="1" applyFill="1" applyBorder="1" applyAlignment="1">
      <alignment horizontal="right" vertical="center" wrapText="1"/>
    </xf>
    <xf numFmtId="0" fontId="18" fillId="4" borderId="1" xfId="3" applyFont="1" applyFill="1" applyBorder="1" applyAlignment="1">
      <alignment horizontal="center" vertical="center"/>
    </xf>
    <xf numFmtId="17" fontId="19" fillId="2" borderId="1" xfId="4" applyNumberFormat="1" applyFont="1" applyFill="1" applyBorder="1" applyAlignment="1">
      <alignment horizontal="center" vertical="center" wrapText="1"/>
    </xf>
    <xf numFmtId="0" fontId="19" fillId="2" borderId="1" xfId="4" applyFont="1" applyFill="1" applyBorder="1" applyAlignment="1">
      <alignment horizontal="center" vertical="center" wrapText="1"/>
    </xf>
    <xf numFmtId="0" fontId="19" fillId="2" borderId="1" xfId="3" applyFont="1" applyFill="1" applyBorder="1" applyAlignment="1">
      <alignment horizontal="center" vertical="center"/>
    </xf>
    <xf numFmtId="0" fontId="15" fillId="2" borderId="0" xfId="3" applyFont="1" applyFill="1" applyAlignment="1">
      <alignment vertical="center"/>
    </xf>
    <xf numFmtId="0" fontId="19" fillId="2" borderId="1" xfId="4" applyFont="1" applyFill="1" applyBorder="1" applyAlignment="1">
      <alignment horizontal="right" vertical="center" wrapText="1"/>
    </xf>
    <xf numFmtId="14" fontId="10" fillId="2" borderId="1" xfId="3" applyNumberFormat="1" applyFont="1" applyFill="1" applyBorder="1" applyAlignment="1">
      <alignment horizontal="center" vertical="center"/>
    </xf>
    <xf numFmtId="14" fontId="10" fillId="0" borderId="1" xfId="3" applyNumberFormat="1" applyFont="1" applyBorder="1" applyAlignment="1">
      <alignment horizontal="center" vertical="center"/>
    </xf>
    <xf numFmtId="43" fontId="19" fillId="0" borderId="1" xfId="1" applyFont="1" applyBorder="1" applyAlignment="1">
      <alignment horizontal="center" vertical="center"/>
    </xf>
    <xf numFmtId="0" fontId="19" fillId="0" borderId="1" xfId="3" applyFont="1" applyBorder="1" applyAlignment="1">
      <alignment horizontal="center" vertical="center"/>
    </xf>
    <xf numFmtId="0" fontId="17" fillId="0" borderId="0" xfId="3" applyFont="1" applyAlignment="1">
      <alignment vertical="center"/>
    </xf>
    <xf numFmtId="0" fontId="19" fillId="2" borderId="1" xfId="3" applyFont="1" applyFill="1" applyBorder="1" applyAlignment="1">
      <alignment vertical="center"/>
    </xf>
    <xf numFmtId="14" fontId="19" fillId="2" borderId="1" xfId="3" applyNumberFormat="1" applyFont="1" applyFill="1" applyBorder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horizontal="right" vertical="center"/>
    </xf>
    <xf numFmtId="43" fontId="17" fillId="4" borderId="1" xfId="3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7" fillId="5" borderId="0" xfId="3" applyFont="1" applyFill="1" applyAlignment="1">
      <alignment horizontal="center" vertical="center"/>
    </xf>
    <xf numFmtId="0" fontId="15" fillId="5" borderId="0" xfId="3" applyFont="1" applyFill="1" applyAlignment="1">
      <alignment horizontal="center" vertical="center"/>
    </xf>
    <xf numFmtId="0" fontId="15" fillId="5" borderId="0" xfId="3" applyFont="1" applyFill="1" applyAlignment="1">
      <alignment horizontal="right" vertical="center"/>
    </xf>
    <xf numFmtId="166" fontId="10" fillId="0" borderId="1" xfId="1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right" vertical="center"/>
    </xf>
    <xf numFmtId="43" fontId="10" fillId="0" borderId="1" xfId="1" applyFont="1" applyBorder="1" applyAlignment="1">
      <alignment horizontal="center" vertical="center"/>
    </xf>
    <xf numFmtId="43" fontId="10" fillId="0" borderId="1" xfId="0" applyNumberFormat="1" applyFont="1" applyBorder="1" applyAlignment="1">
      <alignment horizontal="center" vertical="center"/>
    </xf>
    <xf numFmtId="43" fontId="21" fillId="0" borderId="1" xfId="1" applyFont="1" applyBorder="1" applyAlignment="1">
      <alignment horizontal="center" vertical="center" shrinkToFit="1"/>
    </xf>
    <xf numFmtId="17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/>
    </xf>
    <xf numFmtId="166" fontId="10" fillId="0" borderId="1" xfId="1" applyNumberFormat="1" applyFont="1" applyBorder="1" applyAlignment="1">
      <alignment horizontal="center" vertical="center" shrinkToFit="1"/>
    </xf>
    <xf numFmtId="17" fontId="21" fillId="0" borderId="1" xfId="0" applyNumberFormat="1" applyFont="1" applyBorder="1" applyAlignment="1">
      <alignment horizontal="center" vertical="center" shrinkToFit="1"/>
    </xf>
    <xf numFmtId="0" fontId="21" fillId="0" borderId="1" xfId="0" applyFont="1" applyBorder="1" applyAlignment="1">
      <alignment horizontal="center" vertical="center" shrinkToFit="1"/>
    </xf>
    <xf numFmtId="166" fontId="21" fillId="0" borderId="1" xfId="1" applyNumberFormat="1" applyFont="1" applyBorder="1" applyAlignment="1">
      <alignment horizontal="right" vertical="center"/>
    </xf>
    <xf numFmtId="43" fontId="21" fillId="0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66" fontId="10" fillId="0" borderId="1" xfId="1" applyNumberFormat="1" applyFont="1" applyBorder="1" applyAlignment="1">
      <alignment horizontal="right" vertical="center"/>
    </xf>
    <xf numFmtId="166" fontId="21" fillId="0" borderId="1" xfId="1" applyNumberFormat="1" applyFont="1" applyBorder="1" applyAlignment="1">
      <alignment horizontal="right" vertical="center" shrinkToFit="1"/>
    </xf>
    <xf numFmtId="43" fontId="10" fillId="0" borderId="1" xfId="1" applyFont="1" applyBorder="1" applyAlignment="1">
      <alignment horizontal="center" vertical="center" shrinkToFit="1"/>
    </xf>
    <xf numFmtId="166" fontId="21" fillId="0" borderId="1" xfId="1" applyNumberFormat="1" applyFont="1" applyBorder="1" applyAlignment="1">
      <alignment vertical="center" shrinkToFit="1"/>
    </xf>
    <xf numFmtId="43" fontId="21" fillId="0" borderId="1" xfId="1" applyFont="1" applyBorder="1" applyAlignment="1">
      <alignment vertical="center" shrinkToFit="1"/>
    </xf>
    <xf numFmtId="0" fontId="21" fillId="0" borderId="1" xfId="0" applyFont="1" applyBorder="1" applyAlignment="1">
      <alignment horizontal="left" vertical="center" shrinkToFit="1"/>
    </xf>
    <xf numFmtId="166" fontId="21" fillId="0" borderId="1" xfId="1" applyNumberFormat="1" applyFont="1" applyBorder="1" applyAlignment="1">
      <alignment vertical="center"/>
    </xf>
    <xf numFmtId="43" fontId="21" fillId="0" borderId="1" xfId="1" applyFont="1" applyBorder="1" applyAlignment="1">
      <alignment vertical="center"/>
    </xf>
    <xf numFmtId="43" fontId="18" fillId="0" borderId="1" xfId="1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right"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 shrinkToFit="1"/>
    </xf>
    <xf numFmtId="17" fontId="19" fillId="3" borderId="1" xfId="4" applyNumberFormat="1" applyFont="1" applyFill="1" applyBorder="1" applyAlignment="1">
      <alignment horizontal="center" vertical="center" wrapText="1"/>
    </xf>
    <xf numFmtId="14" fontId="19" fillId="3" borderId="1" xfId="3" applyNumberFormat="1" applyFont="1" applyFill="1" applyBorder="1" applyAlignment="1">
      <alignment horizontal="center" vertical="center"/>
    </xf>
    <xf numFmtId="0" fontId="19" fillId="3" borderId="1" xfId="4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vertical="center"/>
    </xf>
    <xf numFmtId="43" fontId="18" fillId="3" borderId="1" xfId="1" applyFont="1" applyFill="1" applyBorder="1" applyAlignment="1">
      <alignment vertical="center"/>
    </xf>
    <xf numFmtId="0" fontId="19" fillId="3" borderId="1" xfId="3" applyFont="1" applyFill="1" applyBorder="1" applyAlignment="1">
      <alignment vertical="center"/>
    </xf>
    <xf numFmtId="0" fontId="19" fillId="3" borderId="1" xfId="3" applyFont="1" applyFill="1" applyBorder="1" applyAlignment="1">
      <alignment horizontal="center" vertical="center"/>
    </xf>
    <xf numFmtId="43" fontId="18" fillId="3" borderId="1" xfId="1" applyFont="1" applyFill="1" applyBorder="1" applyAlignment="1">
      <alignment vertical="center" shrinkToFit="1"/>
    </xf>
    <xf numFmtId="43" fontId="18" fillId="3" borderId="1" xfId="1" applyFont="1" applyFill="1" applyBorder="1" applyAlignment="1">
      <alignment horizontal="center" vertical="center" shrinkToFit="1"/>
    </xf>
    <xf numFmtId="0" fontId="18" fillId="3" borderId="1" xfId="0" applyFont="1" applyFill="1" applyBorder="1" applyAlignment="1">
      <alignment horizontal="left" vertical="center" shrinkToFit="1"/>
    </xf>
    <xf numFmtId="43" fontId="19" fillId="3" borderId="1" xfId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shrinkToFit="1"/>
    </xf>
    <xf numFmtId="43" fontId="19" fillId="3" borderId="1" xfId="0" applyNumberFormat="1" applyFont="1" applyFill="1" applyBorder="1" applyAlignment="1">
      <alignment horizontal="center" vertical="center"/>
    </xf>
    <xf numFmtId="17" fontId="18" fillId="3" borderId="1" xfId="0" applyNumberFormat="1" applyFont="1" applyFill="1" applyBorder="1" applyAlignment="1">
      <alignment horizontal="center" vertical="center"/>
    </xf>
    <xf numFmtId="17" fontId="19" fillId="3" borderId="1" xfId="4" applyNumberFormat="1" applyFont="1" applyFill="1" applyBorder="1" applyAlignment="1">
      <alignment horizontal="center" vertical="center" wrapText="1"/>
    </xf>
    <xf numFmtId="166" fontId="19" fillId="3" borderId="1" xfId="1" applyNumberFormat="1" applyFont="1" applyFill="1" applyBorder="1" applyAlignment="1">
      <alignment horizontal="center" vertical="center" shrinkToFit="1"/>
    </xf>
    <xf numFmtId="166" fontId="18" fillId="3" borderId="1" xfId="1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7" fillId="4" borderId="1" xfId="3" applyFont="1" applyFill="1" applyBorder="1" applyAlignment="1">
      <alignment horizontal="center" vertical="center"/>
    </xf>
    <xf numFmtId="0" fontId="22" fillId="6" borderId="0" xfId="0" applyFont="1" applyFill="1"/>
    <xf numFmtId="0" fontId="0" fillId="6" borderId="0" xfId="0" applyFill="1"/>
    <xf numFmtId="0" fontId="22" fillId="6" borderId="2" xfId="0" applyFont="1" applyFill="1" applyBorder="1" applyAlignment="1">
      <alignment horizontal="center"/>
    </xf>
    <xf numFmtId="0" fontId="22" fillId="6" borderId="2" xfId="0" applyFont="1" applyFill="1" applyBorder="1"/>
    <xf numFmtId="0" fontId="24" fillId="6" borderId="2" xfId="5" applyFont="1" applyFill="1" applyBorder="1"/>
  </cellXfs>
  <cellStyles count="6">
    <cellStyle name="Comma" xfId="1" builtinId="3"/>
    <cellStyle name="Hyperlink" xfId="5" builtinId="8"/>
    <cellStyle name="Normal" xfId="0" builtinId="0"/>
    <cellStyle name="Normal 2" xfId="3"/>
    <cellStyle name="Normal 3" xfId="2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D5:F9"/>
  <sheetViews>
    <sheetView tabSelected="1" workbookViewId="0">
      <selection activeCell="E15" sqref="E15"/>
    </sheetView>
  </sheetViews>
  <sheetFormatPr defaultRowHeight="14.5"/>
  <cols>
    <col min="1" max="4" width="8.7265625" style="114"/>
    <col min="5" max="5" width="50.1796875" style="114" customWidth="1"/>
    <col min="6" max="6" width="26.7265625" style="114" customWidth="1"/>
    <col min="7" max="16384" width="8.7265625" style="114"/>
  </cols>
  <sheetData>
    <row r="5" spans="4:6">
      <c r="D5" s="113" t="s">
        <v>213</v>
      </c>
    </row>
    <row r="7" spans="4:6">
      <c r="D7" s="115" t="s">
        <v>210</v>
      </c>
      <c r="E7" s="116" t="s">
        <v>211</v>
      </c>
      <c r="F7" s="116" t="s">
        <v>212</v>
      </c>
    </row>
    <row r="8" spans="4:6">
      <c r="D8" s="115">
        <v>1</v>
      </c>
      <c r="E8" s="116" t="s">
        <v>214</v>
      </c>
      <c r="F8" s="117" t="s">
        <v>214</v>
      </c>
    </row>
    <row r="9" spans="4:6">
      <c r="D9" s="115">
        <v>2</v>
      </c>
      <c r="E9" s="116" t="s">
        <v>215</v>
      </c>
      <c r="F9" s="117" t="s">
        <v>215</v>
      </c>
    </row>
  </sheetData>
  <hyperlinks>
    <hyperlink ref="F8" location="'MOGE''s Sale (Onshore)'!A1" display="MOGE's Sale (Onshore)"/>
    <hyperlink ref="F9" location="'MOGE''s Sale (Offshore)'!A1" display="MOGE's Sale (Offshore)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showGridLines="0" zoomScale="40" zoomScaleNormal="40" workbookViewId="0">
      <selection activeCell="H65" sqref="H65"/>
    </sheetView>
  </sheetViews>
  <sheetFormatPr defaultRowHeight="13"/>
  <cols>
    <col min="1" max="1" width="13.26953125" style="1" customWidth="1"/>
    <col min="2" max="4" width="18.81640625" style="1" customWidth="1"/>
    <col min="5" max="5" width="23.54296875" style="1" bestFit="1" customWidth="1"/>
    <col min="6" max="7" width="18.81640625" style="1" customWidth="1"/>
    <col min="8" max="8" width="20.54296875" style="1" customWidth="1"/>
    <col min="9" max="9" width="35.26953125" style="1" bestFit="1" customWidth="1"/>
    <col min="10" max="10" width="23.453125" style="1" bestFit="1" customWidth="1"/>
    <col min="11" max="11" width="25.7265625" style="1" bestFit="1" customWidth="1"/>
    <col min="12" max="12" width="23.7265625" style="1" customWidth="1"/>
    <col min="13" max="13" width="8.7265625" style="2"/>
    <col min="14" max="14" width="23" style="2" bestFit="1" customWidth="1"/>
    <col min="15" max="257" width="8.7265625" style="2"/>
    <col min="258" max="258" width="15.1796875" style="2" customWidth="1"/>
    <col min="259" max="259" width="14" style="2" customWidth="1"/>
    <col min="260" max="260" width="37.54296875" style="2" customWidth="1"/>
    <col min="261" max="261" width="15.81640625" style="2" customWidth="1"/>
    <col min="262" max="262" width="15.1796875" style="2" customWidth="1"/>
    <col min="263" max="263" width="18" style="2" customWidth="1"/>
    <col min="264" max="264" width="12" style="2" customWidth="1"/>
    <col min="265" max="265" width="10.453125" style="2" customWidth="1"/>
    <col min="266" max="513" width="8.7265625" style="2"/>
    <col min="514" max="514" width="15.1796875" style="2" customWidth="1"/>
    <col min="515" max="515" width="14" style="2" customWidth="1"/>
    <col min="516" max="516" width="37.54296875" style="2" customWidth="1"/>
    <col min="517" max="517" width="15.81640625" style="2" customWidth="1"/>
    <col min="518" max="518" width="15.1796875" style="2" customWidth="1"/>
    <col min="519" max="519" width="18" style="2" customWidth="1"/>
    <col min="520" max="520" width="12" style="2" customWidth="1"/>
    <col min="521" max="521" width="10.453125" style="2" customWidth="1"/>
    <col min="522" max="769" width="8.7265625" style="2"/>
    <col min="770" max="770" width="15.1796875" style="2" customWidth="1"/>
    <col min="771" max="771" width="14" style="2" customWidth="1"/>
    <col min="772" max="772" width="37.54296875" style="2" customWidth="1"/>
    <col min="773" max="773" width="15.81640625" style="2" customWidth="1"/>
    <col min="774" max="774" width="15.1796875" style="2" customWidth="1"/>
    <col min="775" max="775" width="18" style="2" customWidth="1"/>
    <col min="776" max="776" width="12" style="2" customWidth="1"/>
    <col min="777" max="777" width="10.453125" style="2" customWidth="1"/>
    <col min="778" max="1025" width="8.7265625" style="2"/>
    <col min="1026" max="1026" width="15.1796875" style="2" customWidth="1"/>
    <col min="1027" max="1027" width="14" style="2" customWidth="1"/>
    <col min="1028" max="1028" width="37.54296875" style="2" customWidth="1"/>
    <col min="1029" max="1029" width="15.81640625" style="2" customWidth="1"/>
    <col min="1030" max="1030" width="15.1796875" style="2" customWidth="1"/>
    <col min="1031" max="1031" width="18" style="2" customWidth="1"/>
    <col min="1032" max="1032" width="12" style="2" customWidth="1"/>
    <col min="1033" max="1033" width="10.453125" style="2" customWidth="1"/>
    <col min="1034" max="1281" width="8.7265625" style="2"/>
    <col min="1282" max="1282" width="15.1796875" style="2" customWidth="1"/>
    <col min="1283" max="1283" width="14" style="2" customWidth="1"/>
    <col min="1284" max="1284" width="37.54296875" style="2" customWidth="1"/>
    <col min="1285" max="1285" width="15.81640625" style="2" customWidth="1"/>
    <col min="1286" max="1286" width="15.1796875" style="2" customWidth="1"/>
    <col min="1287" max="1287" width="18" style="2" customWidth="1"/>
    <col min="1288" max="1288" width="12" style="2" customWidth="1"/>
    <col min="1289" max="1289" width="10.453125" style="2" customWidth="1"/>
    <col min="1290" max="1537" width="8.7265625" style="2"/>
    <col min="1538" max="1538" width="15.1796875" style="2" customWidth="1"/>
    <col min="1539" max="1539" width="14" style="2" customWidth="1"/>
    <col min="1540" max="1540" width="37.54296875" style="2" customWidth="1"/>
    <col min="1541" max="1541" width="15.81640625" style="2" customWidth="1"/>
    <col min="1542" max="1542" width="15.1796875" style="2" customWidth="1"/>
    <col min="1543" max="1543" width="18" style="2" customWidth="1"/>
    <col min="1544" max="1544" width="12" style="2" customWidth="1"/>
    <col min="1545" max="1545" width="10.453125" style="2" customWidth="1"/>
    <col min="1546" max="1793" width="8.7265625" style="2"/>
    <col min="1794" max="1794" width="15.1796875" style="2" customWidth="1"/>
    <col min="1795" max="1795" width="14" style="2" customWidth="1"/>
    <col min="1796" max="1796" width="37.54296875" style="2" customWidth="1"/>
    <col min="1797" max="1797" width="15.81640625" style="2" customWidth="1"/>
    <col min="1798" max="1798" width="15.1796875" style="2" customWidth="1"/>
    <col min="1799" max="1799" width="18" style="2" customWidth="1"/>
    <col min="1800" max="1800" width="12" style="2" customWidth="1"/>
    <col min="1801" max="1801" width="10.453125" style="2" customWidth="1"/>
    <col min="1802" max="2049" width="8.7265625" style="2"/>
    <col min="2050" max="2050" width="15.1796875" style="2" customWidth="1"/>
    <col min="2051" max="2051" width="14" style="2" customWidth="1"/>
    <col min="2052" max="2052" width="37.54296875" style="2" customWidth="1"/>
    <col min="2053" max="2053" width="15.81640625" style="2" customWidth="1"/>
    <col min="2054" max="2054" width="15.1796875" style="2" customWidth="1"/>
    <col min="2055" max="2055" width="18" style="2" customWidth="1"/>
    <col min="2056" max="2056" width="12" style="2" customWidth="1"/>
    <col min="2057" max="2057" width="10.453125" style="2" customWidth="1"/>
    <col min="2058" max="2305" width="8.7265625" style="2"/>
    <col min="2306" max="2306" width="15.1796875" style="2" customWidth="1"/>
    <col min="2307" max="2307" width="14" style="2" customWidth="1"/>
    <col min="2308" max="2308" width="37.54296875" style="2" customWidth="1"/>
    <col min="2309" max="2309" width="15.81640625" style="2" customWidth="1"/>
    <col min="2310" max="2310" width="15.1796875" style="2" customWidth="1"/>
    <col min="2311" max="2311" width="18" style="2" customWidth="1"/>
    <col min="2312" max="2312" width="12" style="2" customWidth="1"/>
    <col min="2313" max="2313" width="10.453125" style="2" customWidth="1"/>
    <col min="2314" max="2561" width="8.7265625" style="2"/>
    <col min="2562" max="2562" width="15.1796875" style="2" customWidth="1"/>
    <col min="2563" max="2563" width="14" style="2" customWidth="1"/>
    <col min="2564" max="2564" width="37.54296875" style="2" customWidth="1"/>
    <col min="2565" max="2565" width="15.81640625" style="2" customWidth="1"/>
    <col min="2566" max="2566" width="15.1796875" style="2" customWidth="1"/>
    <col min="2567" max="2567" width="18" style="2" customWidth="1"/>
    <col min="2568" max="2568" width="12" style="2" customWidth="1"/>
    <col min="2569" max="2569" width="10.453125" style="2" customWidth="1"/>
    <col min="2570" max="2817" width="8.7265625" style="2"/>
    <col min="2818" max="2818" width="15.1796875" style="2" customWidth="1"/>
    <col min="2819" max="2819" width="14" style="2" customWidth="1"/>
    <col min="2820" max="2820" width="37.54296875" style="2" customWidth="1"/>
    <col min="2821" max="2821" width="15.81640625" style="2" customWidth="1"/>
    <col min="2822" max="2822" width="15.1796875" style="2" customWidth="1"/>
    <col min="2823" max="2823" width="18" style="2" customWidth="1"/>
    <col min="2824" max="2824" width="12" style="2" customWidth="1"/>
    <col min="2825" max="2825" width="10.453125" style="2" customWidth="1"/>
    <col min="2826" max="3073" width="8.7265625" style="2"/>
    <col min="3074" max="3074" width="15.1796875" style="2" customWidth="1"/>
    <col min="3075" max="3075" width="14" style="2" customWidth="1"/>
    <col min="3076" max="3076" width="37.54296875" style="2" customWidth="1"/>
    <col min="3077" max="3077" width="15.81640625" style="2" customWidth="1"/>
    <col min="3078" max="3078" width="15.1796875" style="2" customWidth="1"/>
    <col min="3079" max="3079" width="18" style="2" customWidth="1"/>
    <col min="3080" max="3080" width="12" style="2" customWidth="1"/>
    <col min="3081" max="3081" width="10.453125" style="2" customWidth="1"/>
    <col min="3082" max="3329" width="8.7265625" style="2"/>
    <col min="3330" max="3330" width="15.1796875" style="2" customWidth="1"/>
    <col min="3331" max="3331" width="14" style="2" customWidth="1"/>
    <col min="3332" max="3332" width="37.54296875" style="2" customWidth="1"/>
    <col min="3333" max="3333" width="15.81640625" style="2" customWidth="1"/>
    <col min="3334" max="3334" width="15.1796875" style="2" customWidth="1"/>
    <col min="3335" max="3335" width="18" style="2" customWidth="1"/>
    <col min="3336" max="3336" width="12" style="2" customWidth="1"/>
    <col min="3337" max="3337" width="10.453125" style="2" customWidth="1"/>
    <col min="3338" max="3585" width="8.7265625" style="2"/>
    <col min="3586" max="3586" width="15.1796875" style="2" customWidth="1"/>
    <col min="3587" max="3587" width="14" style="2" customWidth="1"/>
    <col min="3588" max="3588" width="37.54296875" style="2" customWidth="1"/>
    <col min="3589" max="3589" width="15.81640625" style="2" customWidth="1"/>
    <col min="3590" max="3590" width="15.1796875" style="2" customWidth="1"/>
    <col min="3591" max="3591" width="18" style="2" customWidth="1"/>
    <col min="3592" max="3592" width="12" style="2" customWidth="1"/>
    <col min="3593" max="3593" width="10.453125" style="2" customWidth="1"/>
    <col min="3594" max="3841" width="8.7265625" style="2"/>
    <col min="3842" max="3842" width="15.1796875" style="2" customWidth="1"/>
    <col min="3843" max="3843" width="14" style="2" customWidth="1"/>
    <col min="3844" max="3844" width="37.54296875" style="2" customWidth="1"/>
    <col min="3845" max="3845" width="15.81640625" style="2" customWidth="1"/>
    <col min="3846" max="3846" width="15.1796875" style="2" customWidth="1"/>
    <col min="3847" max="3847" width="18" style="2" customWidth="1"/>
    <col min="3848" max="3848" width="12" style="2" customWidth="1"/>
    <col min="3849" max="3849" width="10.453125" style="2" customWidth="1"/>
    <col min="3850" max="4097" width="8.7265625" style="2"/>
    <col min="4098" max="4098" width="15.1796875" style="2" customWidth="1"/>
    <col min="4099" max="4099" width="14" style="2" customWidth="1"/>
    <col min="4100" max="4100" width="37.54296875" style="2" customWidth="1"/>
    <col min="4101" max="4101" width="15.81640625" style="2" customWidth="1"/>
    <col min="4102" max="4102" width="15.1796875" style="2" customWidth="1"/>
    <col min="4103" max="4103" width="18" style="2" customWidth="1"/>
    <col min="4104" max="4104" width="12" style="2" customWidth="1"/>
    <col min="4105" max="4105" width="10.453125" style="2" customWidth="1"/>
    <col min="4106" max="4353" width="8.7265625" style="2"/>
    <col min="4354" max="4354" width="15.1796875" style="2" customWidth="1"/>
    <col min="4355" max="4355" width="14" style="2" customWidth="1"/>
    <col min="4356" max="4356" width="37.54296875" style="2" customWidth="1"/>
    <col min="4357" max="4357" width="15.81640625" style="2" customWidth="1"/>
    <col min="4358" max="4358" width="15.1796875" style="2" customWidth="1"/>
    <col min="4359" max="4359" width="18" style="2" customWidth="1"/>
    <col min="4360" max="4360" width="12" style="2" customWidth="1"/>
    <col min="4361" max="4361" width="10.453125" style="2" customWidth="1"/>
    <col min="4362" max="4609" width="8.7265625" style="2"/>
    <col min="4610" max="4610" width="15.1796875" style="2" customWidth="1"/>
    <col min="4611" max="4611" width="14" style="2" customWidth="1"/>
    <col min="4612" max="4612" width="37.54296875" style="2" customWidth="1"/>
    <col min="4613" max="4613" width="15.81640625" style="2" customWidth="1"/>
    <col min="4614" max="4614" width="15.1796875" style="2" customWidth="1"/>
    <col min="4615" max="4615" width="18" style="2" customWidth="1"/>
    <col min="4616" max="4616" width="12" style="2" customWidth="1"/>
    <col min="4617" max="4617" width="10.453125" style="2" customWidth="1"/>
    <col min="4618" max="4865" width="8.7265625" style="2"/>
    <col min="4866" max="4866" width="15.1796875" style="2" customWidth="1"/>
    <col min="4867" max="4867" width="14" style="2" customWidth="1"/>
    <col min="4868" max="4868" width="37.54296875" style="2" customWidth="1"/>
    <col min="4869" max="4869" width="15.81640625" style="2" customWidth="1"/>
    <col min="4870" max="4870" width="15.1796875" style="2" customWidth="1"/>
    <col min="4871" max="4871" width="18" style="2" customWidth="1"/>
    <col min="4872" max="4872" width="12" style="2" customWidth="1"/>
    <col min="4873" max="4873" width="10.453125" style="2" customWidth="1"/>
    <col min="4874" max="5121" width="8.7265625" style="2"/>
    <col min="5122" max="5122" width="15.1796875" style="2" customWidth="1"/>
    <col min="5123" max="5123" width="14" style="2" customWidth="1"/>
    <col min="5124" max="5124" width="37.54296875" style="2" customWidth="1"/>
    <col min="5125" max="5125" width="15.81640625" style="2" customWidth="1"/>
    <col min="5126" max="5126" width="15.1796875" style="2" customWidth="1"/>
    <col min="5127" max="5127" width="18" style="2" customWidth="1"/>
    <col min="5128" max="5128" width="12" style="2" customWidth="1"/>
    <col min="5129" max="5129" width="10.453125" style="2" customWidth="1"/>
    <col min="5130" max="5377" width="8.7265625" style="2"/>
    <col min="5378" max="5378" width="15.1796875" style="2" customWidth="1"/>
    <col min="5379" max="5379" width="14" style="2" customWidth="1"/>
    <col min="5380" max="5380" width="37.54296875" style="2" customWidth="1"/>
    <col min="5381" max="5381" width="15.81640625" style="2" customWidth="1"/>
    <col min="5382" max="5382" width="15.1796875" style="2" customWidth="1"/>
    <col min="5383" max="5383" width="18" style="2" customWidth="1"/>
    <col min="5384" max="5384" width="12" style="2" customWidth="1"/>
    <col min="5385" max="5385" width="10.453125" style="2" customWidth="1"/>
    <col min="5386" max="5633" width="8.7265625" style="2"/>
    <col min="5634" max="5634" width="15.1796875" style="2" customWidth="1"/>
    <col min="5635" max="5635" width="14" style="2" customWidth="1"/>
    <col min="5636" max="5636" width="37.54296875" style="2" customWidth="1"/>
    <col min="5637" max="5637" width="15.81640625" style="2" customWidth="1"/>
    <col min="5638" max="5638" width="15.1796875" style="2" customWidth="1"/>
    <col min="5639" max="5639" width="18" style="2" customWidth="1"/>
    <col min="5640" max="5640" width="12" style="2" customWidth="1"/>
    <col min="5641" max="5641" width="10.453125" style="2" customWidth="1"/>
    <col min="5642" max="5889" width="8.7265625" style="2"/>
    <col min="5890" max="5890" width="15.1796875" style="2" customWidth="1"/>
    <col min="5891" max="5891" width="14" style="2" customWidth="1"/>
    <col min="5892" max="5892" width="37.54296875" style="2" customWidth="1"/>
    <col min="5893" max="5893" width="15.81640625" style="2" customWidth="1"/>
    <col min="5894" max="5894" width="15.1796875" style="2" customWidth="1"/>
    <col min="5895" max="5895" width="18" style="2" customWidth="1"/>
    <col min="5896" max="5896" width="12" style="2" customWidth="1"/>
    <col min="5897" max="5897" width="10.453125" style="2" customWidth="1"/>
    <col min="5898" max="6145" width="8.7265625" style="2"/>
    <col min="6146" max="6146" width="15.1796875" style="2" customWidth="1"/>
    <col min="6147" max="6147" width="14" style="2" customWidth="1"/>
    <col min="6148" max="6148" width="37.54296875" style="2" customWidth="1"/>
    <col min="6149" max="6149" width="15.81640625" style="2" customWidth="1"/>
    <col min="6150" max="6150" width="15.1796875" style="2" customWidth="1"/>
    <col min="6151" max="6151" width="18" style="2" customWidth="1"/>
    <col min="6152" max="6152" width="12" style="2" customWidth="1"/>
    <col min="6153" max="6153" width="10.453125" style="2" customWidth="1"/>
    <col min="6154" max="6401" width="8.7265625" style="2"/>
    <col min="6402" max="6402" width="15.1796875" style="2" customWidth="1"/>
    <col min="6403" max="6403" width="14" style="2" customWidth="1"/>
    <col min="6404" max="6404" width="37.54296875" style="2" customWidth="1"/>
    <col min="6405" max="6405" width="15.81640625" style="2" customWidth="1"/>
    <col min="6406" max="6406" width="15.1796875" style="2" customWidth="1"/>
    <col min="6407" max="6407" width="18" style="2" customWidth="1"/>
    <col min="6408" max="6408" width="12" style="2" customWidth="1"/>
    <col min="6409" max="6409" width="10.453125" style="2" customWidth="1"/>
    <col min="6410" max="6657" width="8.7265625" style="2"/>
    <col min="6658" max="6658" width="15.1796875" style="2" customWidth="1"/>
    <col min="6659" max="6659" width="14" style="2" customWidth="1"/>
    <col min="6660" max="6660" width="37.54296875" style="2" customWidth="1"/>
    <col min="6661" max="6661" width="15.81640625" style="2" customWidth="1"/>
    <col min="6662" max="6662" width="15.1796875" style="2" customWidth="1"/>
    <col min="6663" max="6663" width="18" style="2" customWidth="1"/>
    <col min="6664" max="6664" width="12" style="2" customWidth="1"/>
    <col min="6665" max="6665" width="10.453125" style="2" customWidth="1"/>
    <col min="6666" max="6913" width="8.7265625" style="2"/>
    <col min="6914" max="6914" width="15.1796875" style="2" customWidth="1"/>
    <col min="6915" max="6915" width="14" style="2" customWidth="1"/>
    <col min="6916" max="6916" width="37.54296875" style="2" customWidth="1"/>
    <col min="6917" max="6917" width="15.81640625" style="2" customWidth="1"/>
    <col min="6918" max="6918" width="15.1796875" style="2" customWidth="1"/>
    <col min="6919" max="6919" width="18" style="2" customWidth="1"/>
    <col min="6920" max="6920" width="12" style="2" customWidth="1"/>
    <col min="6921" max="6921" width="10.453125" style="2" customWidth="1"/>
    <col min="6922" max="7169" width="8.7265625" style="2"/>
    <col min="7170" max="7170" width="15.1796875" style="2" customWidth="1"/>
    <col min="7171" max="7171" width="14" style="2" customWidth="1"/>
    <col min="7172" max="7172" width="37.54296875" style="2" customWidth="1"/>
    <col min="7173" max="7173" width="15.81640625" style="2" customWidth="1"/>
    <col min="7174" max="7174" width="15.1796875" style="2" customWidth="1"/>
    <col min="7175" max="7175" width="18" style="2" customWidth="1"/>
    <col min="7176" max="7176" width="12" style="2" customWidth="1"/>
    <col min="7177" max="7177" width="10.453125" style="2" customWidth="1"/>
    <col min="7178" max="7425" width="8.7265625" style="2"/>
    <col min="7426" max="7426" width="15.1796875" style="2" customWidth="1"/>
    <col min="7427" max="7427" width="14" style="2" customWidth="1"/>
    <col min="7428" max="7428" width="37.54296875" style="2" customWidth="1"/>
    <col min="7429" max="7429" width="15.81640625" style="2" customWidth="1"/>
    <col min="7430" max="7430" width="15.1796875" style="2" customWidth="1"/>
    <col min="7431" max="7431" width="18" style="2" customWidth="1"/>
    <col min="7432" max="7432" width="12" style="2" customWidth="1"/>
    <col min="7433" max="7433" width="10.453125" style="2" customWidth="1"/>
    <col min="7434" max="7681" width="8.7265625" style="2"/>
    <col min="7682" max="7682" width="15.1796875" style="2" customWidth="1"/>
    <col min="7683" max="7683" width="14" style="2" customWidth="1"/>
    <col min="7684" max="7684" width="37.54296875" style="2" customWidth="1"/>
    <col min="7685" max="7685" width="15.81640625" style="2" customWidth="1"/>
    <col min="7686" max="7686" width="15.1796875" style="2" customWidth="1"/>
    <col min="7687" max="7687" width="18" style="2" customWidth="1"/>
    <col min="7688" max="7688" width="12" style="2" customWidth="1"/>
    <col min="7689" max="7689" width="10.453125" style="2" customWidth="1"/>
    <col min="7690" max="7937" width="8.7265625" style="2"/>
    <col min="7938" max="7938" width="15.1796875" style="2" customWidth="1"/>
    <col min="7939" max="7939" width="14" style="2" customWidth="1"/>
    <col min="7940" max="7940" width="37.54296875" style="2" customWidth="1"/>
    <col min="7941" max="7941" width="15.81640625" style="2" customWidth="1"/>
    <col min="7942" max="7942" width="15.1796875" style="2" customWidth="1"/>
    <col min="7943" max="7943" width="18" style="2" customWidth="1"/>
    <col min="7944" max="7944" width="12" style="2" customWidth="1"/>
    <col min="7945" max="7945" width="10.453125" style="2" customWidth="1"/>
    <col min="7946" max="8193" width="8.7265625" style="2"/>
    <col min="8194" max="8194" width="15.1796875" style="2" customWidth="1"/>
    <col min="8195" max="8195" width="14" style="2" customWidth="1"/>
    <col min="8196" max="8196" width="37.54296875" style="2" customWidth="1"/>
    <col min="8197" max="8197" width="15.81640625" style="2" customWidth="1"/>
    <col min="8198" max="8198" width="15.1796875" style="2" customWidth="1"/>
    <col min="8199" max="8199" width="18" style="2" customWidth="1"/>
    <col min="8200" max="8200" width="12" style="2" customWidth="1"/>
    <col min="8201" max="8201" width="10.453125" style="2" customWidth="1"/>
    <col min="8202" max="8449" width="8.7265625" style="2"/>
    <col min="8450" max="8450" width="15.1796875" style="2" customWidth="1"/>
    <col min="8451" max="8451" width="14" style="2" customWidth="1"/>
    <col min="8452" max="8452" width="37.54296875" style="2" customWidth="1"/>
    <col min="8453" max="8453" width="15.81640625" style="2" customWidth="1"/>
    <col min="8454" max="8454" width="15.1796875" style="2" customWidth="1"/>
    <col min="8455" max="8455" width="18" style="2" customWidth="1"/>
    <col min="8456" max="8456" width="12" style="2" customWidth="1"/>
    <col min="8457" max="8457" width="10.453125" style="2" customWidth="1"/>
    <col min="8458" max="8705" width="8.7265625" style="2"/>
    <col min="8706" max="8706" width="15.1796875" style="2" customWidth="1"/>
    <col min="8707" max="8707" width="14" style="2" customWidth="1"/>
    <col min="8708" max="8708" width="37.54296875" style="2" customWidth="1"/>
    <col min="8709" max="8709" width="15.81640625" style="2" customWidth="1"/>
    <col min="8710" max="8710" width="15.1796875" style="2" customWidth="1"/>
    <col min="8711" max="8711" width="18" style="2" customWidth="1"/>
    <col min="8712" max="8712" width="12" style="2" customWidth="1"/>
    <col min="8713" max="8713" width="10.453125" style="2" customWidth="1"/>
    <col min="8714" max="8961" width="8.7265625" style="2"/>
    <col min="8962" max="8962" width="15.1796875" style="2" customWidth="1"/>
    <col min="8963" max="8963" width="14" style="2" customWidth="1"/>
    <col min="8964" max="8964" width="37.54296875" style="2" customWidth="1"/>
    <col min="8965" max="8965" width="15.81640625" style="2" customWidth="1"/>
    <col min="8966" max="8966" width="15.1796875" style="2" customWidth="1"/>
    <col min="8967" max="8967" width="18" style="2" customWidth="1"/>
    <col min="8968" max="8968" width="12" style="2" customWidth="1"/>
    <col min="8969" max="8969" width="10.453125" style="2" customWidth="1"/>
    <col min="8970" max="9217" width="8.7265625" style="2"/>
    <col min="9218" max="9218" width="15.1796875" style="2" customWidth="1"/>
    <col min="9219" max="9219" width="14" style="2" customWidth="1"/>
    <col min="9220" max="9220" width="37.54296875" style="2" customWidth="1"/>
    <col min="9221" max="9221" width="15.81640625" style="2" customWidth="1"/>
    <col min="9222" max="9222" width="15.1796875" style="2" customWidth="1"/>
    <col min="9223" max="9223" width="18" style="2" customWidth="1"/>
    <col min="9224" max="9224" width="12" style="2" customWidth="1"/>
    <col min="9225" max="9225" width="10.453125" style="2" customWidth="1"/>
    <col min="9226" max="9473" width="8.7265625" style="2"/>
    <col min="9474" max="9474" width="15.1796875" style="2" customWidth="1"/>
    <col min="9475" max="9475" width="14" style="2" customWidth="1"/>
    <col min="9476" max="9476" width="37.54296875" style="2" customWidth="1"/>
    <col min="9477" max="9477" width="15.81640625" style="2" customWidth="1"/>
    <col min="9478" max="9478" width="15.1796875" style="2" customWidth="1"/>
    <col min="9479" max="9479" width="18" style="2" customWidth="1"/>
    <col min="9480" max="9480" width="12" style="2" customWidth="1"/>
    <col min="9481" max="9481" width="10.453125" style="2" customWidth="1"/>
    <col min="9482" max="9729" width="8.7265625" style="2"/>
    <col min="9730" max="9730" width="15.1796875" style="2" customWidth="1"/>
    <col min="9731" max="9731" width="14" style="2" customWidth="1"/>
    <col min="9732" max="9732" width="37.54296875" style="2" customWidth="1"/>
    <col min="9733" max="9733" width="15.81640625" style="2" customWidth="1"/>
    <col min="9734" max="9734" width="15.1796875" style="2" customWidth="1"/>
    <col min="9735" max="9735" width="18" style="2" customWidth="1"/>
    <col min="9736" max="9736" width="12" style="2" customWidth="1"/>
    <col min="9737" max="9737" width="10.453125" style="2" customWidth="1"/>
    <col min="9738" max="9985" width="8.7265625" style="2"/>
    <col min="9986" max="9986" width="15.1796875" style="2" customWidth="1"/>
    <col min="9987" max="9987" width="14" style="2" customWidth="1"/>
    <col min="9988" max="9988" width="37.54296875" style="2" customWidth="1"/>
    <col min="9989" max="9989" width="15.81640625" style="2" customWidth="1"/>
    <col min="9990" max="9990" width="15.1796875" style="2" customWidth="1"/>
    <col min="9991" max="9991" width="18" style="2" customWidth="1"/>
    <col min="9992" max="9992" width="12" style="2" customWidth="1"/>
    <col min="9993" max="9993" width="10.453125" style="2" customWidth="1"/>
    <col min="9994" max="10241" width="8.7265625" style="2"/>
    <col min="10242" max="10242" width="15.1796875" style="2" customWidth="1"/>
    <col min="10243" max="10243" width="14" style="2" customWidth="1"/>
    <col min="10244" max="10244" width="37.54296875" style="2" customWidth="1"/>
    <col min="10245" max="10245" width="15.81640625" style="2" customWidth="1"/>
    <col min="10246" max="10246" width="15.1796875" style="2" customWidth="1"/>
    <col min="10247" max="10247" width="18" style="2" customWidth="1"/>
    <col min="10248" max="10248" width="12" style="2" customWidth="1"/>
    <col min="10249" max="10249" width="10.453125" style="2" customWidth="1"/>
    <col min="10250" max="10497" width="8.7265625" style="2"/>
    <col min="10498" max="10498" width="15.1796875" style="2" customWidth="1"/>
    <col min="10499" max="10499" width="14" style="2" customWidth="1"/>
    <col min="10500" max="10500" width="37.54296875" style="2" customWidth="1"/>
    <col min="10501" max="10501" width="15.81640625" style="2" customWidth="1"/>
    <col min="10502" max="10502" width="15.1796875" style="2" customWidth="1"/>
    <col min="10503" max="10503" width="18" style="2" customWidth="1"/>
    <col min="10504" max="10504" width="12" style="2" customWidth="1"/>
    <col min="10505" max="10505" width="10.453125" style="2" customWidth="1"/>
    <col min="10506" max="10753" width="8.7265625" style="2"/>
    <col min="10754" max="10754" width="15.1796875" style="2" customWidth="1"/>
    <col min="10755" max="10755" width="14" style="2" customWidth="1"/>
    <col min="10756" max="10756" width="37.54296875" style="2" customWidth="1"/>
    <col min="10757" max="10757" width="15.81640625" style="2" customWidth="1"/>
    <col min="10758" max="10758" width="15.1796875" style="2" customWidth="1"/>
    <col min="10759" max="10759" width="18" style="2" customWidth="1"/>
    <col min="10760" max="10760" width="12" style="2" customWidth="1"/>
    <col min="10761" max="10761" width="10.453125" style="2" customWidth="1"/>
    <col min="10762" max="11009" width="8.7265625" style="2"/>
    <col min="11010" max="11010" width="15.1796875" style="2" customWidth="1"/>
    <col min="11011" max="11011" width="14" style="2" customWidth="1"/>
    <col min="11012" max="11012" width="37.54296875" style="2" customWidth="1"/>
    <col min="11013" max="11013" width="15.81640625" style="2" customWidth="1"/>
    <col min="11014" max="11014" width="15.1796875" style="2" customWidth="1"/>
    <col min="11015" max="11015" width="18" style="2" customWidth="1"/>
    <col min="11016" max="11016" width="12" style="2" customWidth="1"/>
    <col min="11017" max="11017" width="10.453125" style="2" customWidth="1"/>
    <col min="11018" max="11265" width="8.7265625" style="2"/>
    <col min="11266" max="11266" width="15.1796875" style="2" customWidth="1"/>
    <col min="11267" max="11267" width="14" style="2" customWidth="1"/>
    <col min="11268" max="11268" width="37.54296875" style="2" customWidth="1"/>
    <col min="11269" max="11269" width="15.81640625" style="2" customWidth="1"/>
    <col min="11270" max="11270" width="15.1796875" style="2" customWidth="1"/>
    <col min="11271" max="11271" width="18" style="2" customWidth="1"/>
    <col min="11272" max="11272" width="12" style="2" customWidth="1"/>
    <col min="11273" max="11273" width="10.453125" style="2" customWidth="1"/>
    <col min="11274" max="11521" width="8.7265625" style="2"/>
    <col min="11522" max="11522" width="15.1796875" style="2" customWidth="1"/>
    <col min="11523" max="11523" width="14" style="2" customWidth="1"/>
    <col min="11524" max="11524" width="37.54296875" style="2" customWidth="1"/>
    <col min="11525" max="11525" width="15.81640625" style="2" customWidth="1"/>
    <col min="11526" max="11526" width="15.1796875" style="2" customWidth="1"/>
    <col min="11527" max="11527" width="18" style="2" customWidth="1"/>
    <col min="11528" max="11528" width="12" style="2" customWidth="1"/>
    <col min="11529" max="11529" width="10.453125" style="2" customWidth="1"/>
    <col min="11530" max="11777" width="8.7265625" style="2"/>
    <col min="11778" max="11778" width="15.1796875" style="2" customWidth="1"/>
    <col min="11779" max="11779" width="14" style="2" customWidth="1"/>
    <col min="11780" max="11780" width="37.54296875" style="2" customWidth="1"/>
    <col min="11781" max="11781" width="15.81640625" style="2" customWidth="1"/>
    <col min="11782" max="11782" width="15.1796875" style="2" customWidth="1"/>
    <col min="11783" max="11783" width="18" style="2" customWidth="1"/>
    <col min="11784" max="11784" width="12" style="2" customWidth="1"/>
    <col min="11785" max="11785" width="10.453125" style="2" customWidth="1"/>
    <col min="11786" max="12033" width="8.7265625" style="2"/>
    <col min="12034" max="12034" width="15.1796875" style="2" customWidth="1"/>
    <col min="12035" max="12035" width="14" style="2" customWidth="1"/>
    <col min="12036" max="12036" width="37.54296875" style="2" customWidth="1"/>
    <col min="12037" max="12037" width="15.81640625" style="2" customWidth="1"/>
    <col min="12038" max="12038" width="15.1796875" style="2" customWidth="1"/>
    <col min="12039" max="12039" width="18" style="2" customWidth="1"/>
    <col min="12040" max="12040" width="12" style="2" customWidth="1"/>
    <col min="12041" max="12041" width="10.453125" style="2" customWidth="1"/>
    <col min="12042" max="12289" width="8.7265625" style="2"/>
    <col min="12290" max="12290" width="15.1796875" style="2" customWidth="1"/>
    <col min="12291" max="12291" width="14" style="2" customWidth="1"/>
    <col min="12292" max="12292" width="37.54296875" style="2" customWidth="1"/>
    <col min="12293" max="12293" width="15.81640625" style="2" customWidth="1"/>
    <col min="12294" max="12294" width="15.1796875" style="2" customWidth="1"/>
    <col min="12295" max="12295" width="18" style="2" customWidth="1"/>
    <col min="12296" max="12296" width="12" style="2" customWidth="1"/>
    <col min="12297" max="12297" width="10.453125" style="2" customWidth="1"/>
    <col min="12298" max="12545" width="8.7265625" style="2"/>
    <col min="12546" max="12546" width="15.1796875" style="2" customWidth="1"/>
    <col min="12547" max="12547" width="14" style="2" customWidth="1"/>
    <col min="12548" max="12548" width="37.54296875" style="2" customWidth="1"/>
    <col min="12549" max="12549" width="15.81640625" style="2" customWidth="1"/>
    <col min="12550" max="12550" width="15.1796875" style="2" customWidth="1"/>
    <col min="12551" max="12551" width="18" style="2" customWidth="1"/>
    <col min="12552" max="12552" width="12" style="2" customWidth="1"/>
    <col min="12553" max="12553" width="10.453125" style="2" customWidth="1"/>
    <col min="12554" max="12801" width="8.7265625" style="2"/>
    <col min="12802" max="12802" width="15.1796875" style="2" customWidth="1"/>
    <col min="12803" max="12803" width="14" style="2" customWidth="1"/>
    <col min="12804" max="12804" width="37.54296875" style="2" customWidth="1"/>
    <col min="12805" max="12805" width="15.81640625" style="2" customWidth="1"/>
    <col min="12806" max="12806" width="15.1796875" style="2" customWidth="1"/>
    <col min="12807" max="12807" width="18" style="2" customWidth="1"/>
    <col min="12808" max="12808" width="12" style="2" customWidth="1"/>
    <col min="12809" max="12809" width="10.453125" style="2" customWidth="1"/>
    <col min="12810" max="13057" width="8.7265625" style="2"/>
    <col min="13058" max="13058" width="15.1796875" style="2" customWidth="1"/>
    <col min="13059" max="13059" width="14" style="2" customWidth="1"/>
    <col min="13060" max="13060" width="37.54296875" style="2" customWidth="1"/>
    <col min="13061" max="13061" width="15.81640625" style="2" customWidth="1"/>
    <col min="13062" max="13062" width="15.1796875" style="2" customWidth="1"/>
    <col min="13063" max="13063" width="18" style="2" customWidth="1"/>
    <col min="13064" max="13064" width="12" style="2" customWidth="1"/>
    <col min="13065" max="13065" width="10.453125" style="2" customWidth="1"/>
    <col min="13066" max="13313" width="8.7265625" style="2"/>
    <col min="13314" max="13314" width="15.1796875" style="2" customWidth="1"/>
    <col min="13315" max="13315" width="14" style="2" customWidth="1"/>
    <col min="13316" max="13316" width="37.54296875" style="2" customWidth="1"/>
    <col min="13317" max="13317" width="15.81640625" style="2" customWidth="1"/>
    <col min="13318" max="13318" width="15.1796875" style="2" customWidth="1"/>
    <col min="13319" max="13319" width="18" style="2" customWidth="1"/>
    <col min="13320" max="13320" width="12" style="2" customWidth="1"/>
    <col min="13321" max="13321" width="10.453125" style="2" customWidth="1"/>
    <col min="13322" max="13569" width="8.7265625" style="2"/>
    <col min="13570" max="13570" width="15.1796875" style="2" customWidth="1"/>
    <col min="13571" max="13571" width="14" style="2" customWidth="1"/>
    <col min="13572" max="13572" width="37.54296875" style="2" customWidth="1"/>
    <col min="13573" max="13573" width="15.81640625" style="2" customWidth="1"/>
    <col min="13574" max="13574" width="15.1796875" style="2" customWidth="1"/>
    <col min="13575" max="13575" width="18" style="2" customWidth="1"/>
    <col min="13576" max="13576" width="12" style="2" customWidth="1"/>
    <col min="13577" max="13577" width="10.453125" style="2" customWidth="1"/>
    <col min="13578" max="13825" width="8.7265625" style="2"/>
    <col min="13826" max="13826" width="15.1796875" style="2" customWidth="1"/>
    <col min="13827" max="13827" width="14" style="2" customWidth="1"/>
    <col min="13828" max="13828" width="37.54296875" style="2" customWidth="1"/>
    <col min="13829" max="13829" width="15.81640625" style="2" customWidth="1"/>
    <col min="13830" max="13830" width="15.1796875" style="2" customWidth="1"/>
    <col min="13831" max="13831" width="18" style="2" customWidth="1"/>
    <col min="13832" max="13832" width="12" style="2" customWidth="1"/>
    <col min="13833" max="13833" width="10.453125" style="2" customWidth="1"/>
    <col min="13834" max="14081" width="8.7265625" style="2"/>
    <col min="14082" max="14082" width="15.1796875" style="2" customWidth="1"/>
    <col min="14083" max="14083" width="14" style="2" customWidth="1"/>
    <col min="14084" max="14084" width="37.54296875" style="2" customWidth="1"/>
    <col min="14085" max="14085" width="15.81640625" style="2" customWidth="1"/>
    <col min="14086" max="14086" width="15.1796875" style="2" customWidth="1"/>
    <col min="14087" max="14087" width="18" style="2" customWidth="1"/>
    <col min="14088" max="14088" width="12" style="2" customWidth="1"/>
    <col min="14089" max="14089" width="10.453125" style="2" customWidth="1"/>
    <col min="14090" max="14337" width="8.7265625" style="2"/>
    <col min="14338" max="14338" width="15.1796875" style="2" customWidth="1"/>
    <col min="14339" max="14339" width="14" style="2" customWidth="1"/>
    <col min="14340" max="14340" width="37.54296875" style="2" customWidth="1"/>
    <col min="14341" max="14341" width="15.81640625" style="2" customWidth="1"/>
    <col min="14342" max="14342" width="15.1796875" style="2" customWidth="1"/>
    <col min="14343" max="14343" width="18" style="2" customWidth="1"/>
    <col min="14344" max="14344" width="12" style="2" customWidth="1"/>
    <col min="14345" max="14345" width="10.453125" style="2" customWidth="1"/>
    <col min="14346" max="14593" width="8.7265625" style="2"/>
    <col min="14594" max="14594" width="15.1796875" style="2" customWidth="1"/>
    <col min="14595" max="14595" width="14" style="2" customWidth="1"/>
    <col min="14596" max="14596" width="37.54296875" style="2" customWidth="1"/>
    <col min="14597" max="14597" width="15.81640625" style="2" customWidth="1"/>
    <col min="14598" max="14598" width="15.1796875" style="2" customWidth="1"/>
    <col min="14599" max="14599" width="18" style="2" customWidth="1"/>
    <col min="14600" max="14600" width="12" style="2" customWidth="1"/>
    <col min="14601" max="14601" width="10.453125" style="2" customWidth="1"/>
    <col min="14602" max="14849" width="8.7265625" style="2"/>
    <col min="14850" max="14850" width="15.1796875" style="2" customWidth="1"/>
    <col min="14851" max="14851" width="14" style="2" customWidth="1"/>
    <col min="14852" max="14852" width="37.54296875" style="2" customWidth="1"/>
    <col min="14853" max="14853" width="15.81640625" style="2" customWidth="1"/>
    <col min="14854" max="14854" width="15.1796875" style="2" customWidth="1"/>
    <col min="14855" max="14855" width="18" style="2" customWidth="1"/>
    <col min="14856" max="14856" width="12" style="2" customWidth="1"/>
    <col min="14857" max="14857" width="10.453125" style="2" customWidth="1"/>
    <col min="14858" max="15105" width="8.7265625" style="2"/>
    <col min="15106" max="15106" width="15.1796875" style="2" customWidth="1"/>
    <col min="15107" max="15107" width="14" style="2" customWidth="1"/>
    <col min="15108" max="15108" width="37.54296875" style="2" customWidth="1"/>
    <col min="15109" max="15109" width="15.81640625" style="2" customWidth="1"/>
    <col min="15110" max="15110" width="15.1796875" style="2" customWidth="1"/>
    <col min="15111" max="15111" width="18" style="2" customWidth="1"/>
    <col min="15112" max="15112" width="12" style="2" customWidth="1"/>
    <col min="15113" max="15113" width="10.453125" style="2" customWidth="1"/>
    <col min="15114" max="15361" width="8.7265625" style="2"/>
    <col min="15362" max="15362" width="15.1796875" style="2" customWidth="1"/>
    <col min="15363" max="15363" width="14" style="2" customWidth="1"/>
    <col min="15364" max="15364" width="37.54296875" style="2" customWidth="1"/>
    <col min="15365" max="15365" width="15.81640625" style="2" customWidth="1"/>
    <col min="15366" max="15366" width="15.1796875" style="2" customWidth="1"/>
    <col min="15367" max="15367" width="18" style="2" customWidth="1"/>
    <col min="15368" max="15368" width="12" style="2" customWidth="1"/>
    <col min="15369" max="15369" width="10.453125" style="2" customWidth="1"/>
    <col min="15370" max="15617" width="8.7265625" style="2"/>
    <col min="15618" max="15618" width="15.1796875" style="2" customWidth="1"/>
    <col min="15619" max="15619" width="14" style="2" customWidth="1"/>
    <col min="15620" max="15620" width="37.54296875" style="2" customWidth="1"/>
    <col min="15621" max="15621" width="15.81640625" style="2" customWidth="1"/>
    <col min="15622" max="15622" width="15.1796875" style="2" customWidth="1"/>
    <col min="15623" max="15623" width="18" style="2" customWidth="1"/>
    <col min="15624" max="15624" width="12" style="2" customWidth="1"/>
    <col min="15625" max="15625" width="10.453125" style="2" customWidth="1"/>
    <col min="15626" max="15873" width="8.7265625" style="2"/>
    <col min="15874" max="15874" width="15.1796875" style="2" customWidth="1"/>
    <col min="15875" max="15875" width="14" style="2" customWidth="1"/>
    <col min="15876" max="15876" width="37.54296875" style="2" customWidth="1"/>
    <col min="15877" max="15877" width="15.81640625" style="2" customWidth="1"/>
    <col min="15878" max="15878" width="15.1796875" style="2" customWidth="1"/>
    <col min="15879" max="15879" width="18" style="2" customWidth="1"/>
    <col min="15880" max="15880" width="12" style="2" customWidth="1"/>
    <col min="15881" max="15881" width="10.453125" style="2" customWidth="1"/>
    <col min="15882" max="16129" width="8.7265625" style="2"/>
    <col min="16130" max="16130" width="15.1796875" style="2" customWidth="1"/>
    <col min="16131" max="16131" width="14" style="2" customWidth="1"/>
    <col min="16132" max="16132" width="37.54296875" style="2" customWidth="1"/>
    <col min="16133" max="16133" width="15.81640625" style="2" customWidth="1"/>
    <col min="16134" max="16134" width="15.1796875" style="2" customWidth="1"/>
    <col min="16135" max="16135" width="18" style="2" customWidth="1"/>
    <col min="16136" max="16136" width="12" style="2" customWidth="1"/>
    <col min="16137" max="16137" width="10.453125" style="2" customWidth="1"/>
    <col min="16138" max="16384" width="8.7265625" style="2"/>
  </cols>
  <sheetData>
    <row r="1" spans="1:12" ht="37" customHeight="1">
      <c r="A1" s="10" t="s">
        <v>209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35.5" customHeight="1">
      <c r="A2" s="12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4" spans="1:12" ht="15.5">
      <c r="A4" s="13" t="s">
        <v>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ht="39">
      <c r="A5" s="16" t="s">
        <v>2</v>
      </c>
      <c r="B5" s="16" t="s">
        <v>3</v>
      </c>
      <c r="C5" s="16" t="s">
        <v>4</v>
      </c>
      <c r="D5" s="16" t="s">
        <v>5</v>
      </c>
      <c r="E5" s="16" t="s">
        <v>6</v>
      </c>
      <c r="F5" s="16" t="s">
        <v>7</v>
      </c>
      <c r="G5" s="16" t="s">
        <v>8</v>
      </c>
      <c r="H5" s="16" t="s">
        <v>9</v>
      </c>
      <c r="I5" s="16" t="s">
        <v>10</v>
      </c>
      <c r="J5" s="16" t="s">
        <v>11</v>
      </c>
      <c r="K5" s="16" t="s">
        <v>12</v>
      </c>
      <c r="L5" s="16" t="s">
        <v>13</v>
      </c>
    </row>
    <row r="6" spans="1:12" s="1" customFormat="1" ht="21.75" customHeight="1">
      <c r="A6" s="17">
        <v>42461</v>
      </c>
      <c r="B6" s="18"/>
      <c r="C6" s="19" t="s">
        <v>14</v>
      </c>
      <c r="D6" s="20">
        <v>30120.560480411783</v>
      </c>
      <c r="E6" s="20">
        <v>1787052853.3</v>
      </c>
      <c r="F6" s="19" t="s">
        <v>15</v>
      </c>
      <c r="G6" s="19"/>
      <c r="H6" s="21" t="str">
        <f>+F6</f>
        <v>MPE</v>
      </c>
      <c r="I6" s="20">
        <f>+D6</f>
        <v>30120.560480411783</v>
      </c>
      <c r="J6" s="20">
        <f>+E6</f>
        <v>1787052853.3</v>
      </c>
      <c r="K6" s="19" t="s">
        <v>16</v>
      </c>
      <c r="L6" s="19" t="s">
        <v>17</v>
      </c>
    </row>
    <row r="7" spans="1:12" s="1" customFormat="1" ht="21.75" customHeight="1">
      <c r="A7" s="17">
        <v>42491</v>
      </c>
      <c r="B7" s="18"/>
      <c r="C7" s="19" t="s">
        <v>14</v>
      </c>
      <c r="D7" s="20">
        <v>19568.258507291965</v>
      </c>
      <c r="E7" s="20">
        <v>1160984777.24</v>
      </c>
      <c r="F7" s="19" t="s">
        <v>15</v>
      </c>
      <c r="G7" s="19"/>
      <c r="H7" s="21" t="str">
        <f t="shared" ref="H7:H17" si="0">+F7</f>
        <v>MPE</v>
      </c>
      <c r="I7" s="20">
        <f t="shared" ref="I7:J17" si="1">+D7</f>
        <v>19568.258507291965</v>
      </c>
      <c r="J7" s="20">
        <f t="shared" si="1"/>
        <v>1160984777.24</v>
      </c>
      <c r="K7" s="19" t="s">
        <v>16</v>
      </c>
      <c r="L7" s="19" t="s">
        <v>17</v>
      </c>
    </row>
    <row r="8" spans="1:12" s="1" customFormat="1" ht="21.75" customHeight="1">
      <c r="A8" s="17">
        <v>42522</v>
      </c>
      <c r="B8" s="18"/>
      <c r="C8" s="19" t="s">
        <v>14</v>
      </c>
      <c r="D8" s="20">
        <v>53224.849871318278</v>
      </c>
      <c r="E8" s="20">
        <v>3157830342.8600001</v>
      </c>
      <c r="F8" s="19" t="s">
        <v>15</v>
      </c>
      <c r="G8" s="19"/>
      <c r="H8" s="21" t="str">
        <f t="shared" si="0"/>
        <v>MPE</v>
      </c>
      <c r="I8" s="20">
        <f t="shared" si="1"/>
        <v>53224.849871318278</v>
      </c>
      <c r="J8" s="20">
        <f t="shared" si="1"/>
        <v>3157830342.8600001</v>
      </c>
      <c r="K8" s="19" t="s">
        <v>16</v>
      </c>
      <c r="L8" s="19" t="s">
        <v>17</v>
      </c>
    </row>
    <row r="9" spans="1:12" s="1" customFormat="1" ht="21.75" customHeight="1">
      <c r="A9" s="17">
        <v>42552</v>
      </c>
      <c r="B9" s="18"/>
      <c r="C9" s="19" t="s">
        <v>14</v>
      </c>
      <c r="D9" s="20">
        <v>25908.521589934229</v>
      </c>
      <c r="E9" s="20">
        <v>1537152585.9300001</v>
      </c>
      <c r="F9" s="19" t="s">
        <v>15</v>
      </c>
      <c r="G9" s="19"/>
      <c r="H9" s="21" t="str">
        <f t="shared" si="0"/>
        <v>MPE</v>
      </c>
      <c r="I9" s="20">
        <f t="shared" si="1"/>
        <v>25908.521589934229</v>
      </c>
      <c r="J9" s="20">
        <f t="shared" si="1"/>
        <v>1537152585.9300001</v>
      </c>
      <c r="K9" s="19" t="s">
        <v>16</v>
      </c>
      <c r="L9" s="19" t="s">
        <v>17</v>
      </c>
    </row>
    <row r="10" spans="1:12" s="1" customFormat="1" ht="21.75" customHeight="1">
      <c r="A10" s="17">
        <v>42583</v>
      </c>
      <c r="B10" s="18"/>
      <c r="C10" s="19" t="s">
        <v>14</v>
      </c>
      <c r="D10" s="20">
        <v>40026.05090077209</v>
      </c>
      <c r="E10" s="20">
        <v>2374745599.9400001</v>
      </c>
      <c r="F10" s="19" t="s">
        <v>15</v>
      </c>
      <c r="G10" s="19"/>
      <c r="H10" s="21" t="str">
        <f t="shared" si="0"/>
        <v>MPE</v>
      </c>
      <c r="I10" s="20">
        <f t="shared" si="1"/>
        <v>40026.05090077209</v>
      </c>
      <c r="J10" s="20">
        <f t="shared" si="1"/>
        <v>2374745599.9400001</v>
      </c>
      <c r="K10" s="19" t="s">
        <v>16</v>
      </c>
      <c r="L10" s="19" t="s">
        <v>17</v>
      </c>
    </row>
    <row r="11" spans="1:12" s="1" customFormat="1" ht="21.75" customHeight="1">
      <c r="A11" s="17">
        <v>42614</v>
      </c>
      <c r="B11" s="18"/>
      <c r="C11" s="19" t="s">
        <v>14</v>
      </c>
      <c r="D11" s="20">
        <v>16794.109236488421</v>
      </c>
      <c r="E11" s="20">
        <v>996394501</v>
      </c>
      <c r="F11" s="19" t="s">
        <v>15</v>
      </c>
      <c r="G11" s="19"/>
      <c r="H11" s="21" t="str">
        <f t="shared" si="0"/>
        <v>MPE</v>
      </c>
      <c r="I11" s="20">
        <f t="shared" si="1"/>
        <v>16794.109236488421</v>
      </c>
      <c r="J11" s="20">
        <f t="shared" si="1"/>
        <v>996394501</v>
      </c>
      <c r="K11" s="19" t="s">
        <v>16</v>
      </c>
      <c r="L11" s="19" t="s">
        <v>17</v>
      </c>
    </row>
    <row r="12" spans="1:12" s="1" customFormat="1" ht="21.75" customHeight="1">
      <c r="A12" s="17">
        <v>42644</v>
      </c>
      <c r="B12" s="18"/>
      <c r="C12" s="19" t="s">
        <v>14</v>
      </c>
      <c r="D12" s="20">
        <v>58335.830712038893</v>
      </c>
      <c r="E12" s="20">
        <v>3461064836.1399999</v>
      </c>
      <c r="F12" s="19" t="s">
        <v>15</v>
      </c>
      <c r="G12" s="19"/>
      <c r="H12" s="21" t="str">
        <f t="shared" si="0"/>
        <v>MPE</v>
      </c>
      <c r="I12" s="20">
        <f t="shared" si="1"/>
        <v>58335.830712038893</v>
      </c>
      <c r="J12" s="20">
        <f t="shared" si="1"/>
        <v>3461064836.1399999</v>
      </c>
      <c r="K12" s="19" t="s">
        <v>16</v>
      </c>
      <c r="L12" s="19" t="s">
        <v>17</v>
      </c>
    </row>
    <row r="13" spans="1:12" s="1" customFormat="1" ht="21.75" customHeight="1">
      <c r="A13" s="17">
        <v>42675</v>
      </c>
      <c r="B13" s="18"/>
      <c r="C13" s="19" t="s">
        <v>14</v>
      </c>
      <c r="D13" s="20">
        <v>58886.359736917359</v>
      </c>
      <c r="E13" s="20">
        <v>3493727723.1900001</v>
      </c>
      <c r="F13" s="19" t="s">
        <v>15</v>
      </c>
      <c r="G13" s="19"/>
      <c r="H13" s="21" t="str">
        <f t="shared" si="0"/>
        <v>MPE</v>
      </c>
      <c r="I13" s="20">
        <f t="shared" si="1"/>
        <v>58886.359736917359</v>
      </c>
      <c r="J13" s="20">
        <f t="shared" si="1"/>
        <v>3493727723.1900001</v>
      </c>
      <c r="K13" s="19" t="s">
        <v>16</v>
      </c>
      <c r="L13" s="19" t="s">
        <v>17</v>
      </c>
    </row>
    <row r="14" spans="1:12" s="1" customFormat="1" ht="21.75" customHeight="1">
      <c r="A14" s="17">
        <v>42705</v>
      </c>
      <c r="B14" s="18"/>
      <c r="C14" s="19" t="s">
        <v>14</v>
      </c>
      <c r="D14" s="20">
        <v>28182.127537889621</v>
      </c>
      <c r="E14" s="20">
        <v>1672045626.8199999</v>
      </c>
      <c r="F14" s="19" t="s">
        <v>15</v>
      </c>
      <c r="G14" s="19"/>
      <c r="H14" s="21" t="str">
        <f t="shared" si="0"/>
        <v>MPE</v>
      </c>
      <c r="I14" s="20">
        <f t="shared" si="1"/>
        <v>28182.127537889621</v>
      </c>
      <c r="J14" s="20">
        <f t="shared" si="1"/>
        <v>1672045626.8199999</v>
      </c>
      <c r="K14" s="19" t="s">
        <v>16</v>
      </c>
      <c r="L14" s="19" t="s">
        <v>17</v>
      </c>
    </row>
    <row r="15" spans="1:12" s="1" customFormat="1" ht="21.75" customHeight="1">
      <c r="A15" s="17">
        <v>42736</v>
      </c>
      <c r="B15" s="18"/>
      <c r="C15" s="19" t="s">
        <v>14</v>
      </c>
      <c r="D15" s="20">
        <v>46038.77609379468</v>
      </c>
      <c r="E15" s="20">
        <v>2731480585.6500001</v>
      </c>
      <c r="F15" s="19" t="s">
        <v>15</v>
      </c>
      <c r="G15" s="19"/>
      <c r="H15" s="21" t="str">
        <f t="shared" si="0"/>
        <v>MPE</v>
      </c>
      <c r="I15" s="20">
        <f t="shared" si="1"/>
        <v>46038.77609379468</v>
      </c>
      <c r="J15" s="20">
        <f t="shared" si="1"/>
        <v>2731480585.6500001</v>
      </c>
      <c r="K15" s="19" t="s">
        <v>16</v>
      </c>
      <c r="L15" s="19" t="s">
        <v>17</v>
      </c>
    </row>
    <row r="16" spans="1:12" s="1" customFormat="1" ht="21.75" customHeight="1">
      <c r="A16" s="17">
        <v>42767</v>
      </c>
      <c r="B16" s="18"/>
      <c r="C16" s="19" t="s">
        <v>14</v>
      </c>
      <c r="D16" s="20">
        <v>28382.585072919646</v>
      </c>
      <c r="E16" s="20">
        <v>1683938772.3800001</v>
      </c>
      <c r="F16" s="19" t="s">
        <v>15</v>
      </c>
      <c r="G16" s="19"/>
      <c r="H16" s="21" t="str">
        <f t="shared" si="0"/>
        <v>MPE</v>
      </c>
      <c r="I16" s="20">
        <f t="shared" si="1"/>
        <v>28382.585072919646</v>
      </c>
      <c r="J16" s="20">
        <f t="shared" si="1"/>
        <v>1683938772.3800001</v>
      </c>
      <c r="K16" s="19" t="s">
        <v>16</v>
      </c>
      <c r="L16" s="19" t="s">
        <v>17</v>
      </c>
    </row>
    <row r="17" spans="1:12" s="1" customFormat="1" ht="21.75" customHeight="1">
      <c r="A17" s="17">
        <v>42795</v>
      </c>
      <c r="B17" s="18"/>
      <c r="C17" s="19" t="s">
        <v>14</v>
      </c>
      <c r="D17" s="20">
        <v>43153.90334572491</v>
      </c>
      <c r="E17" s="20">
        <v>2560321085.5</v>
      </c>
      <c r="F17" s="19" t="s">
        <v>15</v>
      </c>
      <c r="G17" s="19"/>
      <c r="H17" s="21" t="str">
        <f t="shared" si="0"/>
        <v>MPE</v>
      </c>
      <c r="I17" s="20">
        <f t="shared" si="1"/>
        <v>43153.90334572491</v>
      </c>
      <c r="J17" s="20">
        <f t="shared" si="1"/>
        <v>2560321085.5</v>
      </c>
      <c r="K17" s="19" t="s">
        <v>16</v>
      </c>
      <c r="L17" s="19" t="s">
        <v>17</v>
      </c>
    </row>
    <row r="18" spans="1:12" ht="18.75" customHeight="1">
      <c r="A18" s="22"/>
      <c r="B18" s="23"/>
      <c r="C18" s="23"/>
      <c r="D18" s="23"/>
      <c r="E18" s="24"/>
      <c r="F18" s="23"/>
      <c r="G18" s="23"/>
      <c r="H18" s="25" t="s">
        <v>18</v>
      </c>
      <c r="I18" s="26">
        <f>SUM(I6:I17)</f>
        <v>448621.93308550189</v>
      </c>
      <c r="J18" s="27">
        <f>SUM(J6:J17)</f>
        <v>26616739289.950001</v>
      </c>
      <c r="K18" s="28">
        <f>SUM(K1:K17)</f>
        <v>0</v>
      </c>
      <c r="L18" s="23"/>
    </row>
    <row r="19" spans="1:12">
      <c r="A19" s="3"/>
      <c r="E19" s="5"/>
      <c r="H19" s="4"/>
      <c r="I19" s="6"/>
      <c r="J19" s="7"/>
      <c r="K19" s="8"/>
    </row>
    <row r="20" spans="1:12" ht="39">
      <c r="A20" s="16" t="s">
        <v>2</v>
      </c>
      <c r="B20" s="16" t="s">
        <v>3</v>
      </c>
      <c r="C20" s="16" t="s">
        <v>4</v>
      </c>
      <c r="D20" s="16" t="s">
        <v>19</v>
      </c>
      <c r="E20" s="16" t="s">
        <v>6</v>
      </c>
      <c r="F20" s="16" t="s">
        <v>7</v>
      </c>
      <c r="G20" s="16" t="s">
        <v>8</v>
      </c>
      <c r="H20" s="16" t="s">
        <v>9</v>
      </c>
      <c r="I20" s="16" t="s">
        <v>10</v>
      </c>
      <c r="J20" s="16" t="s">
        <v>11</v>
      </c>
      <c r="K20" s="16" t="s">
        <v>12</v>
      </c>
      <c r="L20" s="16" t="str">
        <f>+L5</f>
        <v>Remark</v>
      </c>
    </row>
    <row r="21" spans="1:12" s="1" customFormat="1" ht="21.75" customHeight="1">
      <c r="A21" s="17">
        <v>42461</v>
      </c>
      <c r="B21" s="18"/>
      <c r="C21" s="19" t="s">
        <v>20</v>
      </c>
      <c r="D21" s="19">
        <v>20.637899999999998</v>
      </c>
      <c r="E21" s="20">
        <v>41275800</v>
      </c>
      <c r="F21" s="19" t="s">
        <v>15</v>
      </c>
      <c r="G21" s="19"/>
      <c r="H21" s="21" t="str">
        <f>+F21</f>
        <v>MPE</v>
      </c>
      <c r="I21" s="19">
        <f>+D21</f>
        <v>20.637899999999998</v>
      </c>
      <c r="J21" s="20">
        <f>+E21</f>
        <v>41275800</v>
      </c>
      <c r="K21" s="19" t="s">
        <v>16</v>
      </c>
      <c r="L21" s="19" t="s">
        <v>17</v>
      </c>
    </row>
    <row r="22" spans="1:12" s="1" customFormat="1" ht="21.75" customHeight="1">
      <c r="A22" s="17">
        <v>42491</v>
      </c>
      <c r="B22" s="18"/>
      <c r="C22" s="19" t="s">
        <v>20</v>
      </c>
      <c r="D22" s="19">
        <v>36.134</v>
      </c>
      <c r="E22" s="20">
        <v>72268000</v>
      </c>
      <c r="F22" s="19" t="s">
        <v>15</v>
      </c>
      <c r="G22" s="19"/>
      <c r="H22" s="21" t="str">
        <f t="shared" ref="H22:H32" si="2">+F22</f>
        <v>MPE</v>
      </c>
      <c r="I22" s="19">
        <f t="shared" ref="I22:J32" si="3">+D22</f>
        <v>36.134</v>
      </c>
      <c r="J22" s="20">
        <f t="shared" si="3"/>
        <v>72268000</v>
      </c>
      <c r="K22" s="19" t="s">
        <v>16</v>
      </c>
      <c r="L22" s="19" t="s">
        <v>17</v>
      </c>
    </row>
    <row r="23" spans="1:12" s="1" customFormat="1" ht="21.75" customHeight="1">
      <c r="A23" s="17">
        <v>42522</v>
      </c>
      <c r="B23" s="18"/>
      <c r="C23" s="19" t="s">
        <v>20</v>
      </c>
      <c r="D23" s="19">
        <v>35.417700000000004</v>
      </c>
      <c r="E23" s="20">
        <v>70835400</v>
      </c>
      <c r="F23" s="19" t="s">
        <v>15</v>
      </c>
      <c r="G23" s="19"/>
      <c r="H23" s="21" t="str">
        <f t="shared" si="2"/>
        <v>MPE</v>
      </c>
      <c r="I23" s="19">
        <f t="shared" si="3"/>
        <v>35.417700000000004</v>
      </c>
      <c r="J23" s="20">
        <f t="shared" si="3"/>
        <v>70835400</v>
      </c>
      <c r="K23" s="19" t="s">
        <v>16</v>
      </c>
      <c r="L23" s="19" t="s">
        <v>17</v>
      </c>
    </row>
    <row r="24" spans="1:12" s="1" customFormat="1" ht="21.75" customHeight="1">
      <c r="A24" s="17">
        <v>42552</v>
      </c>
      <c r="B24" s="18"/>
      <c r="C24" s="19" t="s">
        <v>20</v>
      </c>
      <c r="D24" s="19">
        <v>4.2855999999999996</v>
      </c>
      <c r="E24" s="20">
        <v>8571200</v>
      </c>
      <c r="F24" s="19" t="s">
        <v>15</v>
      </c>
      <c r="G24" s="19"/>
      <c r="H24" s="21" t="str">
        <f t="shared" si="2"/>
        <v>MPE</v>
      </c>
      <c r="I24" s="19">
        <f t="shared" si="3"/>
        <v>4.2855999999999996</v>
      </c>
      <c r="J24" s="20">
        <f t="shared" si="3"/>
        <v>8571200</v>
      </c>
      <c r="K24" s="19" t="s">
        <v>16</v>
      </c>
      <c r="L24" s="19" t="s">
        <v>17</v>
      </c>
    </row>
    <row r="25" spans="1:12" s="1" customFormat="1" ht="21.75" customHeight="1">
      <c r="A25" s="17">
        <v>42583</v>
      </c>
      <c r="B25" s="18"/>
      <c r="C25" s="19" t="s">
        <v>20</v>
      </c>
      <c r="D25" s="19">
        <v>34.897599999999997</v>
      </c>
      <c r="E25" s="20">
        <v>69795200</v>
      </c>
      <c r="F25" s="19" t="s">
        <v>15</v>
      </c>
      <c r="G25" s="19"/>
      <c r="H25" s="21" t="str">
        <f t="shared" si="2"/>
        <v>MPE</v>
      </c>
      <c r="I25" s="19">
        <f t="shared" si="3"/>
        <v>34.897599999999997</v>
      </c>
      <c r="J25" s="20">
        <f t="shared" si="3"/>
        <v>69795200</v>
      </c>
      <c r="K25" s="19" t="s">
        <v>16</v>
      </c>
      <c r="L25" s="19" t="s">
        <v>17</v>
      </c>
    </row>
    <row r="26" spans="1:12" s="1" customFormat="1" ht="21.75" customHeight="1">
      <c r="A26" s="17">
        <v>42614</v>
      </c>
      <c r="B26" s="18"/>
      <c r="C26" s="19" t="s">
        <v>20</v>
      </c>
      <c r="D26" s="19">
        <v>38.431899999999999</v>
      </c>
      <c r="E26" s="20">
        <v>76863800</v>
      </c>
      <c r="F26" s="19" t="s">
        <v>15</v>
      </c>
      <c r="G26" s="19"/>
      <c r="H26" s="21" t="str">
        <f t="shared" si="2"/>
        <v>MPE</v>
      </c>
      <c r="I26" s="19">
        <f t="shared" si="3"/>
        <v>38.431899999999999</v>
      </c>
      <c r="J26" s="20">
        <f t="shared" si="3"/>
        <v>76863800</v>
      </c>
      <c r="K26" s="19" t="s">
        <v>16</v>
      </c>
      <c r="L26" s="19" t="s">
        <v>17</v>
      </c>
    </row>
    <row r="27" spans="1:12" s="1" customFormat="1" ht="21.75" customHeight="1">
      <c r="A27" s="17">
        <v>42644</v>
      </c>
      <c r="B27" s="18"/>
      <c r="C27" s="19" t="s">
        <v>20</v>
      </c>
      <c r="D27" s="19">
        <v>38.693899999999999</v>
      </c>
      <c r="E27" s="20">
        <v>77387800</v>
      </c>
      <c r="F27" s="19" t="s">
        <v>15</v>
      </c>
      <c r="G27" s="19"/>
      <c r="H27" s="21" t="str">
        <f t="shared" si="2"/>
        <v>MPE</v>
      </c>
      <c r="I27" s="19">
        <f t="shared" si="3"/>
        <v>38.693899999999999</v>
      </c>
      <c r="J27" s="20">
        <f t="shared" si="3"/>
        <v>77387800</v>
      </c>
      <c r="K27" s="19" t="s">
        <v>16</v>
      </c>
      <c r="L27" s="19" t="s">
        <v>17</v>
      </c>
    </row>
    <row r="28" spans="1:12" s="1" customFormat="1" ht="21.75" customHeight="1">
      <c r="A28" s="17">
        <v>42675</v>
      </c>
      <c r="B28" s="18"/>
      <c r="C28" s="19" t="s">
        <v>20</v>
      </c>
      <c r="D28" s="19">
        <v>25.7379</v>
      </c>
      <c r="E28" s="20">
        <v>51475800</v>
      </c>
      <c r="F28" s="19" t="s">
        <v>15</v>
      </c>
      <c r="G28" s="19"/>
      <c r="H28" s="21" t="str">
        <f t="shared" si="2"/>
        <v>MPE</v>
      </c>
      <c r="I28" s="19">
        <f t="shared" si="3"/>
        <v>25.7379</v>
      </c>
      <c r="J28" s="20">
        <f t="shared" si="3"/>
        <v>51475800</v>
      </c>
      <c r="K28" s="19" t="s">
        <v>16</v>
      </c>
      <c r="L28" s="19" t="s">
        <v>17</v>
      </c>
    </row>
    <row r="29" spans="1:12" s="1" customFormat="1" ht="21.75" customHeight="1">
      <c r="A29" s="17">
        <v>42705</v>
      </c>
      <c r="B29" s="18"/>
      <c r="C29" s="19" t="s">
        <v>20</v>
      </c>
      <c r="D29" s="19">
        <v>36.055</v>
      </c>
      <c r="E29" s="20">
        <v>72110000</v>
      </c>
      <c r="F29" s="19" t="s">
        <v>15</v>
      </c>
      <c r="G29" s="19"/>
      <c r="H29" s="21" t="str">
        <f t="shared" si="2"/>
        <v>MPE</v>
      </c>
      <c r="I29" s="19">
        <f t="shared" si="3"/>
        <v>36.055</v>
      </c>
      <c r="J29" s="20">
        <f t="shared" si="3"/>
        <v>72110000</v>
      </c>
      <c r="K29" s="19" t="s">
        <v>16</v>
      </c>
      <c r="L29" s="19" t="s">
        <v>17</v>
      </c>
    </row>
    <row r="30" spans="1:12" s="1" customFormat="1" ht="21.75" customHeight="1">
      <c r="A30" s="17">
        <v>42736</v>
      </c>
      <c r="B30" s="18"/>
      <c r="C30" s="19" t="s">
        <v>20</v>
      </c>
      <c r="D30" s="19">
        <v>31.050899999999999</v>
      </c>
      <c r="E30" s="20">
        <v>62101800</v>
      </c>
      <c r="F30" s="19" t="s">
        <v>15</v>
      </c>
      <c r="G30" s="19"/>
      <c r="H30" s="21" t="str">
        <f t="shared" si="2"/>
        <v>MPE</v>
      </c>
      <c r="I30" s="19">
        <f t="shared" si="3"/>
        <v>31.050899999999999</v>
      </c>
      <c r="J30" s="20">
        <f t="shared" si="3"/>
        <v>62101800</v>
      </c>
      <c r="K30" s="19" t="s">
        <v>16</v>
      </c>
      <c r="L30" s="19" t="s">
        <v>17</v>
      </c>
    </row>
    <row r="31" spans="1:12" s="1" customFormat="1" ht="21.75" customHeight="1">
      <c r="A31" s="17">
        <v>42767</v>
      </c>
      <c r="B31" s="18"/>
      <c r="C31" s="19" t="s">
        <v>20</v>
      </c>
      <c r="D31" s="19">
        <v>16.129200000000001</v>
      </c>
      <c r="E31" s="20">
        <v>32258400</v>
      </c>
      <c r="F31" s="19" t="s">
        <v>15</v>
      </c>
      <c r="G31" s="19"/>
      <c r="H31" s="21" t="str">
        <f t="shared" si="2"/>
        <v>MPE</v>
      </c>
      <c r="I31" s="19">
        <f t="shared" si="3"/>
        <v>16.129200000000001</v>
      </c>
      <c r="J31" s="20">
        <f t="shared" si="3"/>
        <v>32258400</v>
      </c>
      <c r="K31" s="19" t="s">
        <v>16</v>
      </c>
      <c r="L31" s="19" t="s">
        <v>17</v>
      </c>
    </row>
    <row r="32" spans="1:12" s="1" customFormat="1" ht="21.75" customHeight="1">
      <c r="A32" s="17">
        <v>42795</v>
      </c>
      <c r="B32" s="18"/>
      <c r="C32" s="19" t="s">
        <v>20</v>
      </c>
      <c r="D32" s="19">
        <v>28.610700000000001</v>
      </c>
      <c r="E32" s="20">
        <v>57221400</v>
      </c>
      <c r="F32" s="19" t="s">
        <v>15</v>
      </c>
      <c r="G32" s="19"/>
      <c r="H32" s="21" t="str">
        <f t="shared" si="2"/>
        <v>MPE</v>
      </c>
      <c r="I32" s="19">
        <f t="shared" si="3"/>
        <v>28.610700000000001</v>
      </c>
      <c r="J32" s="20">
        <f t="shared" si="3"/>
        <v>57221400</v>
      </c>
      <c r="K32" s="19" t="s">
        <v>16</v>
      </c>
      <c r="L32" s="19" t="s">
        <v>17</v>
      </c>
    </row>
    <row r="33" spans="1:14" ht="18.75" customHeight="1">
      <c r="A33" s="29"/>
      <c r="B33" s="23"/>
      <c r="C33" s="23"/>
      <c r="D33" s="23"/>
      <c r="E33" s="23"/>
      <c r="F33" s="23"/>
      <c r="G33" s="23"/>
      <c r="H33" s="25" t="s">
        <v>18</v>
      </c>
      <c r="I33" s="30">
        <f>SUM(I21:I32)</f>
        <v>346.08230000000003</v>
      </c>
      <c r="J33" s="27">
        <f>SUM(J21:J32)</f>
        <v>692164600</v>
      </c>
      <c r="K33" s="28">
        <f>SUM(K15:K32)</f>
        <v>0</v>
      </c>
      <c r="L33" s="23"/>
    </row>
    <row r="34" spans="1:14">
      <c r="A34" s="3"/>
      <c r="H34" s="4"/>
      <c r="I34" s="6"/>
      <c r="J34" s="7"/>
      <c r="K34" s="8"/>
    </row>
    <row r="35" spans="1:14" ht="39">
      <c r="A35" s="16" t="s">
        <v>2</v>
      </c>
      <c r="B35" s="16" t="s">
        <v>3</v>
      </c>
      <c r="C35" s="16" t="s">
        <v>4</v>
      </c>
      <c r="D35" s="16" t="s">
        <v>5</v>
      </c>
      <c r="E35" s="16" t="s">
        <v>6</v>
      </c>
      <c r="F35" s="16" t="s">
        <v>7</v>
      </c>
      <c r="G35" s="16" t="s">
        <v>8</v>
      </c>
      <c r="H35" s="16" t="s">
        <v>9</v>
      </c>
      <c r="I35" s="16" t="s">
        <v>10</v>
      </c>
      <c r="J35" s="16" t="s">
        <v>11</v>
      </c>
      <c r="K35" s="16" t="s">
        <v>12</v>
      </c>
      <c r="L35" s="16" t="s">
        <v>13</v>
      </c>
    </row>
    <row r="36" spans="1:14" s="1" customFormat="1" ht="21.75" customHeight="1">
      <c r="A36" s="17">
        <v>42461</v>
      </c>
      <c r="B36" s="18"/>
      <c r="C36" s="19" t="s">
        <v>14</v>
      </c>
      <c r="D36" s="20">
        <v>32862.825278810407</v>
      </c>
      <c r="E36" s="20">
        <v>1949751423.78</v>
      </c>
      <c r="F36" s="19" t="s">
        <v>15</v>
      </c>
      <c r="G36" s="19"/>
      <c r="H36" s="21" t="str">
        <f>+F36</f>
        <v>MPE</v>
      </c>
      <c r="I36" s="20">
        <f>+D36</f>
        <v>32862.825278810407</v>
      </c>
      <c r="J36" s="20">
        <f>+E36</f>
        <v>1949751423.78</v>
      </c>
      <c r="K36" s="19" t="s">
        <v>16</v>
      </c>
      <c r="L36" s="19" t="s">
        <v>21</v>
      </c>
      <c r="N36" s="9"/>
    </row>
    <row r="37" spans="1:14" s="1" customFormat="1" ht="21.75" customHeight="1">
      <c r="A37" s="17">
        <v>42491</v>
      </c>
      <c r="B37" s="18"/>
      <c r="C37" s="19" t="s">
        <v>14</v>
      </c>
      <c r="D37" s="20">
        <v>33992.622247640837</v>
      </c>
      <c r="E37" s="20">
        <v>2016782277.95</v>
      </c>
      <c r="F37" s="19" t="s">
        <v>15</v>
      </c>
      <c r="G37" s="19"/>
      <c r="H37" s="21" t="str">
        <f t="shared" ref="H37:H47" si="4">+F37</f>
        <v>MPE</v>
      </c>
      <c r="I37" s="20">
        <f t="shared" ref="I37:J47" si="5">+D37</f>
        <v>33992.622247640837</v>
      </c>
      <c r="J37" s="20">
        <f t="shared" si="5"/>
        <v>2016782277.95</v>
      </c>
      <c r="K37" s="19" t="s">
        <v>16</v>
      </c>
      <c r="L37" s="19" t="s">
        <v>21</v>
      </c>
      <c r="N37" s="9"/>
    </row>
    <row r="38" spans="1:14" s="1" customFormat="1" ht="21.75" customHeight="1">
      <c r="A38" s="17">
        <v>42522</v>
      </c>
      <c r="B38" s="18"/>
      <c r="C38" s="19" t="s">
        <v>14</v>
      </c>
      <c r="D38" s="20">
        <v>30651.129539605376</v>
      </c>
      <c r="E38" s="20">
        <v>1818531515.5799999</v>
      </c>
      <c r="F38" s="19" t="s">
        <v>15</v>
      </c>
      <c r="G38" s="19"/>
      <c r="H38" s="21" t="str">
        <f t="shared" si="4"/>
        <v>MPE</v>
      </c>
      <c r="I38" s="20">
        <f t="shared" si="5"/>
        <v>30651.129539605376</v>
      </c>
      <c r="J38" s="20">
        <f t="shared" si="5"/>
        <v>1818531515.5799999</v>
      </c>
      <c r="K38" s="19" t="s">
        <v>16</v>
      </c>
      <c r="L38" s="19" t="s">
        <v>21</v>
      </c>
      <c r="N38" s="9"/>
    </row>
    <row r="39" spans="1:14" s="1" customFormat="1" ht="21.75" customHeight="1">
      <c r="A39" s="17">
        <v>42552</v>
      </c>
      <c r="B39" s="18"/>
      <c r="C39" s="19" t="s">
        <v>14</v>
      </c>
      <c r="D39" s="20">
        <v>31811.724335144412</v>
      </c>
      <c r="E39" s="20">
        <v>1887389604.8</v>
      </c>
      <c r="F39" s="19" t="s">
        <v>15</v>
      </c>
      <c r="G39" s="19"/>
      <c r="H39" s="21" t="str">
        <f t="shared" si="4"/>
        <v>MPE</v>
      </c>
      <c r="I39" s="20">
        <f t="shared" si="5"/>
        <v>31811.724335144412</v>
      </c>
      <c r="J39" s="20">
        <f t="shared" si="5"/>
        <v>1887389604.8</v>
      </c>
      <c r="K39" s="19" t="s">
        <v>16</v>
      </c>
      <c r="L39" s="19" t="s">
        <v>21</v>
      </c>
      <c r="N39" s="9"/>
    </row>
    <row r="40" spans="1:14" s="1" customFormat="1" ht="21.75" customHeight="1">
      <c r="A40" s="17">
        <v>42583</v>
      </c>
      <c r="B40" s="18"/>
      <c r="C40" s="19" t="s">
        <v>14</v>
      </c>
      <c r="D40" s="20">
        <v>30248.784672576494</v>
      </c>
      <c r="E40" s="20">
        <v>1794660394.6300001</v>
      </c>
      <c r="F40" s="19" t="s">
        <v>15</v>
      </c>
      <c r="G40" s="19"/>
      <c r="H40" s="21" t="str">
        <f t="shared" si="4"/>
        <v>MPE</v>
      </c>
      <c r="I40" s="20">
        <f t="shared" si="5"/>
        <v>30248.784672576494</v>
      </c>
      <c r="J40" s="20">
        <f t="shared" si="5"/>
        <v>1794660394.6300001</v>
      </c>
      <c r="K40" s="19" t="s">
        <v>16</v>
      </c>
      <c r="L40" s="19" t="s">
        <v>21</v>
      </c>
      <c r="N40" s="9"/>
    </row>
    <row r="41" spans="1:14" s="1" customFormat="1" ht="21.75" customHeight="1">
      <c r="A41" s="17">
        <v>42614</v>
      </c>
      <c r="B41" s="18"/>
      <c r="C41" s="19" t="s">
        <v>14</v>
      </c>
      <c r="D41" s="20">
        <v>32516.928796110955</v>
      </c>
      <c r="E41" s="20">
        <v>1929229385.47</v>
      </c>
      <c r="F41" s="19" t="s">
        <v>15</v>
      </c>
      <c r="G41" s="19"/>
      <c r="H41" s="21" t="str">
        <f t="shared" si="4"/>
        <v>MPE</v>
      </c>
      <c r="I41" s="20">
        <f t="shared" si="5"/>
        <v>32516.928796110955</v>
      </c>
      <c r="J41" s="20">
        <f t="shared" si="5"/>
        <v>1929229385.47</v>
      </c>
      <c r="K41" s="19" t="s">
        <v>16</v>
      </c>
      <c r="L41" s="19" t="s">
        <v>21</v>
      </c>
      <c r="N41" s="9"/>
    </row>
    <row r="42" spans="1:14" s="1" customFormat="1" ht="21.75" customHeight="1">
      <c r="A42" s="17">
        <v>42644</v>
      </c>
      <c r="B42" s="18"/>
      <c r="C42" s="19" t="s">
        <v>14</v>
      </c>
      <c r="D42" s="20">
        <v>29866.800114383757</v>
      </c>
      <c r="E42" s="20">
        <v>1771997250.78</v>
      </c>
      <c r="F42" s="19" t="s">
        <v>15</v>
      </c>
      <c r="G42" s="19"/>
      <c r="H42" s="21" t="str">
        <f t="shared" si="4"/>
        <v>MPE</v>
      </c>
      <c r="I42" s="20">
        <f t="shared" si="5"/>
        <v>29866.800114383757</v>
      </c>
      <c r="J42" s="20">
        <f t="shared" si="5"/>
        <v>1771997250.78</v>
      </c>
      <c r="K42" s="19" t="s">
        <v>16</v>
      </c>
      <c r="L42" s="19" t="s">
        <v>21</v>
      </c>
      <c r="N42" s="9"/>
    </row>
    <row r="43" spans="1:14" s="1" customFormat="1" ht="21.75" customHeight="1">
      <c r="A43" s="17">
        <v>42675</v>
      </c>
      <c r="B43" s="18"/>
      <c r="C43" s="19" t="s">
        <v>14</v>
      </c>
      <c r="D43" s="20">
        <v>29713.497283385761</v>
      </c>
      <c r="E43" s="20">
        <v>1762901793.8199999</v>
      </c>
      <c r="F43" s="19" t="s">
        <v>15</v>
      </c>
      <c r="G43" s="19"/>
      <c r="H43" s="21" t="str">
        <f t="shared" si="4"/>
        <v>MPE</v>
      </c>
      <c r="I43" s="20">
        <f t="shared" si="5"/>
        <v>29713.497283385761</v>
      </c>
      <c r="J43" s="20">
        <f t="shared" si="5"/>
        <v>1762901793.8199999</v>
      </c>
      <c r="K43" s="19" t="s">
        <v>16</v>
      </c>
      <c r="L43" s="19" t="s">
        <v>21</v>
      </c>
      <c r="N43" s="9"/>
    </row>
    <row r="44" spans="1:14" s="1" customFormat="1" ht="21.75" customHeight="1">
      <c r="A44" s="17">
        <v>42705</v>
      </c>
      <c r="B44" s="18"/>
      <c r="C44" s="19" t="s">
        <v>14</v>
      </c>
      <c r="D44" s="20">
        <v>30036.774378038321</v>
      </c>
      <c r="E44" s="20">
        <v>1782081823.8499999</v>
      </c>
      <c r="F44" s="19" t="s">
        <v>15</v>
      </c>
      <c r="G44" s="19"/>
      <c r="H44" s="21" t="str">
        <f t="shared" si="4"/>
        <v>MPE</v>
      </c>
      <c r="I44" s="20">
        <f>+D44</f>
        <v>30036.774378038321</v>
      </c>
      <c r="J44" s="20">
        <f t="shared" si="5"/>
        <v>1782081823.8499999</v>
      </c>
      <c r="K44" s="19" t="s">
        <v>16</v>
      </c>
      <c r="L44" s="19" t="s">
        <v>21</v>
      </c>
      <c r="N44" s="9"/>
    </row>
    <row r="45" spans="1:14" s="1" customFormat="1" ht="21.75" customHeight="1">
      <c r="A45" s="17">
        <v>42736</v>
      </c>
      <c r="B45" s="18"/>
      <c r="C45" s="19" t="s">
        <v>14</v>
      </c>
      <c r="D45" s="20">
        <v>30396.740062911067</v>
      </c>
      <c r="E45" s="20">
        <v>1803438587.9300001</v>
      </c>
      <c r="F45" s="19" t="s">
        <v>15</v>
      </c>
      <c r="G45" s="19"/>
      <c r="H45" s="21" t="str">
        <f t="shared" si="4"/>
        <v>MPE</v>
      </c>
      <c r="I45" s="20">
        <f t="shared" si="5"/>
        <v>30396.740062911067</v>
      </c>
      <c r="J45" s="20">
        <f t="shared" si="5"/>
        <v>1803438587.9300001</v>
      </c>
      <c r="K45" s="19" t="s">
        <v>16</v>
      </c>
      <c r="L45" s="19" t="s">
        <v>21</v>
      </c>
      <c r="N45" s="9"/>
    </row>
    <row r="46" spans="1:14" s="1" customFormat="1" ht="21.75" customHeight="1">
      <c r="A46" s="17">
        <v>42767</v>
      </c>
      <c r="B46" s="18"/>
      <c r="C46" s="19" t="s">
        <v>14</v>
      </c>
      <c r="D46" s="20">
        <v>26169.745496139549</v>
      </c>
      <c r="E46" s="20">
        <v>1552651000.28</v>
      </c>
      <c r="F46" s="19" t="s">
        <v>15</v>
      </c>
      <c r="G46" s="19"/>
      <c r="H46" s="21" t="str">
        <f t="shared" si="4"/>
        <v>MPE</v>
      </c>
      <c r="I46" s="20">
        <f t="shared" si="5"/>
        <v>26169.745496139549</v>
      </c>
      <c r="J46" s="20">
        <f t="shared" si="5"/>
        <v>1552651000.28</v>
      </c>
      <c r="K46" s="19" t="s">
        <v>16</v>
      </c>
      <c r="L46" s="19" t="s">
        <v>21</v>
      </c>
      <c r="N46" s="9"/>
    </row>
    <row r="47" spans="1:14" s="1" customFormat="1" ht="21.75" customHeight="1">
      <c r="A47" s="17">
        <v>42795</v>
      </c>
      <c r="B47" s="18"/>
      <c r="C47" s="19" t="s">
        <v>14</v>
      </c>
      <c r="D47" s="20">
        <v>32071.804403774666</v>
      </c>
      <c r="E47" s="20">
        <v>1902820155.28</v>
      </c>
      <c r="F47" s="19" t="s">
        <v>15</v>
      </c>
      <c r="G47" s="19"/>
      <c r="H47" s="21" t="str">
        <f t="shared" si="4"/>
        <v>MPE</v>
      </c>
      <c r="I47" s="20">
        <f t="shared" si="5"/>
        <v>32071.804403774666</v>
      </c>
      <c r="J47" s="20">
        <f t="shared" si="5"/>
        <v>1902820155.28</v>
      </c>
      <c r="K47" s="19" t="s">
        <v>16</v>
      </c>
      <c r="L47" s="19" t="s">
        <v>21</v>
      </c>
      <c r="N47" s="9"/>
    </row>
    <row r="48" spans="1:14" ht="23.25" customHeight="1">
      <c r="A48" s="29"/>
      <c r="B48" s="23"/>
      <c r="C48" s="23"/>
      <c r="D48" s="23"/>
      <c r="E48" s="24"/>
      <c r="F48" s="23"/>
      <c r="G48" s="23"/>
      <c r="H48" s="25" t="s">
        <v>18</v>
      </c>
      <c r="I48" s="26">
        <f>SUM(I36:I47)</f>
        <v>370339.37660852162</v>
      </c>
      <c r="J48" s="27">
        <f>SUM(J36:J47)</f>
        <v>21972235214.149998</v>
      </c>
      <c r="K48" s="28">
        <f>SUM(K30:K47)</f>
        <v>0</v>
      </c>
      <c r="L48" s="23"/>
      <c r="N48" s="9"/>
    </row>
    <row r="49" spans="1:12">
      <c r="A49" s="3"/>
      <c r="H49" s="4"/>
      <c r="I49" s="6"/>
      <c r="J49" s="7"/>
      <c r="K49" s="8"/>
    </row>
    <row r="50" spans="1:12" ht="39">
      <c r="A50" s="16" t="s">
        <v>2</v>
      </c>
      <c r="B50" s="16" t="s">
        <v>3</v>
      </c>
      <c r="C50" s="16" t="s">
        <v>4</v>
      </c>
      <c r="D50" s="16" t="s">
        <v>5</v>
      </c>
      <c r="E50" s="16" t="s">
        <v>6</v>
      </c>
      <c r="F50" s="16" t="s">
        <v>7</v>
      </c>
      <c r="G50" s="16" t="s">
        <v>8</v>
      </c>
      <c r="H50" s="16" t="s">
        <v>9</v>
      </c>
      <c r="I50" s="16" t="s">
        <v>10</v>
      </c>
      <c r="J50" s="16" t="s">
        <v>11</v>
      </c>
      <c r="K50" s="16" t="s">
        <v>12</v>
      </c>
      <c r="L50" s="16" t="s">
        <v>13</v>
      </c>
    </row>
    <row r="51" spans="1:12" s="1" customFormat="1" ht="21.75" customHeight="1">
      <c r="A51" s="17">
        <v>42461</v>
      </c>
      <c r="B51" s="18"/>
      <c r="C51" s="19" t="s">
        <v>14</v>
      </c>
      <c r="D51" s="20">
        <v>45371.432656562771</v>
      </c>
      <c r="E51" s="19">
        <v>2691887099.5100002</v>
      </c>
      <c r="F51" s="19" t="s">
        <v>15</v>
      </c>
      <c r="G51" s="19"/>
      <c r="H51" s="21" t="str">
        <f>+F51</f>
        <v>MPE</v>
      </c>
      <c r="I51" s="20">
        <f>+D51</f>
        <v>45371.432656562771</v>
      </c>
      <c r="J51" s="20">
        <f>+E51</f>
        <v>2691887099.5100002</v>
      </c>
      <c r="K51" s="19" t="s">
        <v>16</v>
      </c>
      <c r="L51" s="19" t="s">
        <v>22</v>
      </c>
    </row>
    <row r="52" spans="1:12" s="1" customFormat="1" ht="21.75" customHeight="1">
      <c r="A52" s="17">
        <v>42491</v>
      </c>
      <c r="B52" s="18"/>
      <c r="C52" s="19" t="s">
        <v>14</v>
      </c>
      <c r="D52" s="20">
        <v>27548.67028881899</v>
      </c>
      <c r="E52" s="19">
        <v>1634462608.24</v>
      </c>
      <c r="F52" s="19" t="s">
        <v>15</v>
      </c>
      <c r="G52" s="19"/>
      <c r="H52" s="21" t="str">
        <f t="shared" ref="H52:H62" si="6">+F52</f>
        <v>MPE</v>
      </c>
      <c r="I52" s="20">
        <f t="shared" ref="I52:J62" si="7">+D52</f>
        <v>27548.67028881899</v>
      </c>
      <c r="J52" s="20">
        <f t="shared" si="7"/>
        <v>1634462608.24</v>
      </c>
      <c r="K52" s="19" t="s">
        <v>16</v>
      </c>
      <c r="L52" s="19" t="s">
        <v>22</v>
      </c>
    </row>
    <row r="53" spans="1:12" s="1" customFormat="1" ht="21.75" customHeight="1">
      <c r="A53" s="17">
        <v>42522</v>
      </c>
      <c r="B53" s="18"/>
      <c r="C53" s="19" t="s">
        <v>14</v>
      </c>
      <c r="D53" s="20">
        <v>55451.301115241637</v>
      </c>
      <c r="E53" s="19">
        <v>3289925695.1700001</v>
      </c>
      <c r="F53" s="19" t="s">
        <v>15</v>
      </c>
      <c r="G53" s="19"/>
      <c r="H53" s="21" t="str">
        <f t="shared" si="6"/>
        <v>MPE</v>
      </c>
      <c r="I53" s="20">
        <f t="shared" si="7"/>
        <v>55451.301115241637</v>
      </c>
      <c r="J53" s="20">
        <f t="shared" si="7"/>
        <v>3289925695.1700001</v>
      </c>
      <c r="K53" s="19" t="s">
        <v>16</v>
      </c>
      <c r="L53" s="19" t="s">
        <v>22</v>
      </c>
    </row>
    <row r="54" spans="1:12" s="1" customFormat="1" ht="21.75" customHeight="1">
      <c r="A54" s="17">
        <v>42552</v>
      </c>
      <c r="B54" s="18"/>
      <c r="C54" s="19" t="s">
        <v>14</v>
      </c>
      <c r="D54" s="20">
        <v>35039.691163854732</v>
      </c>
      <c r="E54" s="19">
        <v>2078904876.75</v>
      </c>
      <c r="F54" s="19" t="s">
        <v>15</v>
      </c>
      <c r="G54" s="19"/>
      <c r="H54" s="21" t="str">
        <f t="shared" si="6"/>
        <v>MPE</v>
      </c>
      <c r="I54" s="20">
        <f t="shared" si="7"/>
        <v>35039.691163854732</v>
      </c>
      <c r="J54" s="20">
        <f t="shared" si="7"/>
        <v>2078904876.75</v>
      </c>
      <c r="K54" s="19" t="s">
        <v>16</v>
      </c>
      <c r="L54" s="19" t="s">
        <v>22</v>
      </c>
    </row>
    <row r="55" spans="1:12" s="1" customFormat="1" ht="21.75" customHeight="1">
      <c r="A55" s="17">
        <v>42583</v>
      </c>
      <c r="B55" s="18"/>
      <c r="C55" s="19" t="s">
        <v>14</v>
      </c>
      <c r="D55" s="20">
        <v>60295.767800972266</v>
      </c>
      <c r="E55" s="19">
        <v>3577347903.6300001</v>
      </c>
      <c r="F55" s="19" t="s">
        <v>15</v>
      </c>
      <c r="G55" s="19"/>
      <c r="H55" s="21" t="str">
        <f t="shared" si="6"/>
        <v>MPE</v>
      </c>
      <c r="I55" s="20">
        <f t="shared" si="7"/>
        <v>60295.767800972266</v>
      </c>
      <c r="J55" s="20">
        <f t="shared" si="7"/>
        <v>3577347903.6300001</v>
      </c>
      <c r="K55" s="19" t="s">
        <v>16</v>
      </c>
      <c r="L55" s="19" t="s">
        <v>22</v>
      </c>
    </row>
    <row r="56" spans="1:12" s="1" customFormat="1" ht="21.75" customHeight="1">
      <c r="A56" s="17">
        <v>42614</v>
      </c>
      <c r="B56" s="18"/>
      <c r="C56" s="19" t="s">
        <v>14</v>
      </c>
      <c r="D56" s="20">
        <v>25203.174149270806</v>
      </c>
      <c r="E56" s="19">
        <v>1495304322.28</v>
      </c>
      <c r="F56" s="19" t="s">
        <v>15</v>
      </c>
      <c r="G56" s="19"/>
      <c r="H56" s="21" t="str">
        <f t="shared" si="6"/>
        <v>MPE</v>
      </c>
      <c r="I56" s="20">
        <f t="shared" si="7"/>
        <v>25203.174149270806</v>
      </c>
      <c r="J56" s="20">
        <f t="shared" si="7"/>
        <v>1495304322.28</v>
      </c>
      <c r="K56" s="19" t="s">
        <v>16</v>
      </c>
      <c r="L56" s="19" t="s">
        <v>22</v>
      </c>
    </row>
    <row r="57" spans="1:12" s="1" customFormat="1" ht="21.75" customHeight="1">
      <c r="A57" s="17">
        <v>42644</v>
      </c>
      <c r="B57" s="18"/>
      <c r="C57" s="19" t="s">
        <v>14</v>
      </c>
      <c r="D57" s="20">
        <v>45819.359450957963</v>
      </c>
      <c r="E57" s="19">
        <v>2718462596.23</v>
      </c>
      <c r="F57" s="19" t="s">
        <v>15</v>
      </c>
      <c r="G57" s="19"/>
      <c r="H57" s="21" t="str">
        <f t="shared" si="6"/>
        <v>MPE</v>
      </c>
      <c r="I57" s="20">
        <f t="shared" si="7"/>
        <v>45819.359450957963</v>
      </c>
      <c r="J57" s="20">
        <f t="shared" si="7"/>
        <v>2718462596.23</v>
      </c>
      <c r="K57" s="19" t="s">
        <v>16</v>
      </c>
      <c r="L57" s="19" t="s">
        <v>22</v>
      </c>
    </row>
    <row r="58" spans="1:12" s="1" customFormat="1" ht="21.75" customHeight="1">
      <c r="A58" s="17">
        <v>42675</v>
      </c>
      <c r="B58" s="18"/>
      <c r="C58" s="19" t="s">
        <v>14</v>
      </c>
      <c r="D58" s="20">
        <v>54344.03774663998</v>
      </c>
      <c r="E58" s="19">
        <v>3224231759.5</v>
      </c>
      <c r="F58" s="19" t="s">
        <v>15</v>
      </c>
      <c r="G58" s="19"/>
      <c r="H58" s="21" t="str">
        <f t="shared" si="6"/>
        <v>MPE</v>
      </c>
      <c r="I58" s="20">
        <f t="shared" si="7"/>
        <v>54344.03774663998</v>
      </c>
      <c r="J58" s="20">
        <f t="shared" si="7"/>
        <v>3224231759.5</v>
      </c>
      <c r="K58" s="19" t="s">
        <v>16</v>
      </c>
      <c r="L58" s="19" t="s">
        <v>22</v>
      </c>
    </row>
    <row r="59" spans="1:12" s="1" customFormat="1" ht="21.75" customHeight="1">
      <c r="A59" s="17">
        <v>42705</v>
      </c>
      <c r="B59" s="18"/>
      <c r="C59" s="19" t="s">
        <v>14</v>
      </c>
      <c r="D59" s="20">
        <v>41783.071203889049</v>
      </c>
      <c r="E59" s="19">
        <v>2478989614.5300002</v>
      </c>
      <c r="F59" s="19" t="s">
        <v>15</v>
      </c>
      <c r="G59" s="19"/>
      <c r="H59" s="21" t="str">
        <f t="shared" si="6"/>
        <v>MPE</v>
      </c>
      <c r="I59" s="20">
        <f t="shared" si="7"/>
        <v>41783.071203889049</v>
      </c>
      <c r="J59" s="20">
        <f t="shared" si="7"/>
        <v>2478989614.5300002</v>
      </c>
      <c r="K59" s="19" t="s">
        <v>16</v>
      </c>
      <c r="L59" s="19" t="s">
        <v>22</v>
      </c>
    </row>
    <row r="60" spans="1:12" s="1" customFormat="1" ht="21.75" customHeight="1">
      <c r="A60" s="17">
        <v>42736</v>
      </c>
      <c r="B60" s="18"/>
      <c r="C60" s="19" t="s">
        <v>14</v>
      </c>
      <c r="D60" s="20">
        <v>41349.756934515302</v>
      </c>
      <c r="E60" s="19">
        <v>2453281078.9200001</v>
      </c>
      <c r="F60" s="19" t="s">
        <v>15</v>
      </c>
      <c r="G60" s="19"/>
      <c r="H60" s="21" t="str">
        <f t="shared" si="6"/>
        <v>MPE</v>
      </c>
      <c r="I60" s="20">
        <f t="shared" si="7"/>
        <v>41349.756934515302</v>
      </c>
      <c r="J60" s="20">
        <f t="shared" si="7"/>
        <v>2453281078.9200001</v>
      </c>
      <c r="K60" s="19" t="s">
        <v>16</v>
      </c>
      <c r="L60" s="19" t="s">
        <v>22</v>
      </c>
    </row>
    <row r="61" spans="1:12" s="1" customFormat="1" ht="21.75" customHeight="1">
      <c r="A61" s="17">
        <v>42767</v>
      </c>
      <c r="B61" s="18"/>
      <c r="C61" s="19" t="s">
        <v>14</v>
      </c>
      <c r="D61" s="20">
        <v>37194.76694309408</v>
      </c>
      <c r="E61" s="19">
        <v>2206765522.73</v>
      </c>
      <c r="F61" s="19" t="s">
        <v>15</v>
      </c>
      <c r="G61" s="19"/>
      <c r="H61" s="21" t="str">
        <f t="shared" si="6"/>
        <v>MPE</v>
      </c>
      <c r="I61" s="20">
        <f t="shared" si="7"/>
        <v>37194.76694309408</v>
      </c>
      <c r="J61" s="20">
        <f t="shared" si="7"/>
        <v>2206765522.73</v>
      </c>
      <c r="K61" s="19" t="s">
        <v>16</v>
      </c>
      <c r="L61" s="19" t="s">
        <v>22</v>
      </c>
    </row>
    <row r="62" spans="1:12" s="1" customFormat="1" ht="21.75" customHeight="1">
      <c r="A62" s="17">
        <v>42795</v>
      </c>
      <c r="B62" s="18"/>
      <c r="C62" s="19" t="s">
        <v>14</v>
      </c>
      <c r="D62" s="20">
        <v>42171.232484987137</v>
      </c>
      <c r="E62" s="19">
        <v>2502019223.3299999</v>
      </c>
      <c r="F62" s="19" t="s">
        <v>15</v>
      </c>
      <c r="G62" s="19"/>
      <c r="H62" s="21" t="str">
        <f t="shared" si="6"/>
        <v>MPE</v>
      </c>
      <c r="I62" s="20">
        <f t="shared" si="7"/>
        <v>42171.232484987137</v>
      </c>
      <c r="J62" s="20">
        <f t="shared" si="7"/>
        <v>2502019223.3299999</v>
      </c>
      <c r="K62" s="19" t="s">
        <v>16</v>
      </c>
      <c r="L62" s="19" t="s">
        <v>22</v>
      </c>
    </row>
    <row r="63" spans="1:12" s="1" customFormat="1" ht="60.75" hidden="1" customHeight="1">
      <c r="A63" s="31"/>
      <c r="B63" s="18"/>
      <c r="C63" s="19"/>
      <c r="D63" s="32">
        <v>17889682</v>
      </c>
      <c r="E63" s="32">
        <v>30351582300.82</v>
      </c>
      <c r="F63" s="19"/>
      <c r="G63" s="19"/>
      <c r="H63" s="21"/>
      <c r="I63" s="19"/>
      <c r="J63" s="20"/>
      <c r="K63" s="19"/>
      <c r="L63" s="19"/>
    </row>
    <row r="64" spans="1:12" ht="18.75" customHeight="1">
      <c r="A64" s="29"/>
      <c r="B64" s="23"/>
      <c r="C64" s="23"/>
      <c r="D64" s="23"/>
      <c r="E64" s="24"/>
      <c r="F64" s="23"/>
      <c r="G64" s="23"/>
      <c r="H64" s="25" t="s">
        <v>18</v>
      </c>
      <c r="I64" s="26">
        <f>SUM(I51:I63)</f>
        <v>511572.2619388047</v>
      </c>
      <c r="J64" s="27">
        <f>SUM(J51:J63)</f>
        <v>30351582300.82</v>
      </c>
      <c r="K64" s="28">
        <f>SUM(K45:K63)</f>
        <v>0</v>
      </c>
      <c r="L64" s="23"/>
    </row>
    <row r="65" spans="1:11">
      <c r="A65" s="3"/>
      <c r="H65" s="4"/>
      <c r="I65" s="6"/>
      <c r="J65" s="7"/>
      <c r="K65" s="8"/>
    </row>
    <row r="66" spans="1:11">
      <c r="A66" s="3"/>
      <c r="H66" s="4"/>
      <c r="I66" s="6"/>
      <c r="J66" s="7"/>
      <c r="K66" s="8"/>
    </row>
  </sheetData>
  <printOptions horizontalCentered="1"/>
  <pageMargins left="0.2" right="0.2" top="0.75" bottom="0.25" header="0.3" footer="0.3"/>
  <pageSetup paperSize="9" scale="2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7"/>
  <sheetViews>
    <sheetView showGridLines="0" topLeftCell="A316" zoomScale="35" zoomScaleNormal="35" workbookViewId="0">
      <selection activeCell="I348" sqref="I348"/>
    </sheetView>
  </sheetViews>
  <sheetFormatPr defaultRowHeight="12.5"/>
  <cols>
    <col min="1" max="1" width="13.26953125" style="35" customWidth="1"/>
    <col min="2" max="4" width="18.81640625" style="35" customWidth="1"/>
    <col min="5" max="5" width="23.54296875" style="35" bestFit="1" customWidth="1"/>
    <col min="6" max="6" width="18.81640625" style="36" customWidth="1"/>
    <col min="7" max="7" width="18.81640625" style="35" customWidth="1"/>
    <col min="8" max="8" width="31.1796875" style="35" customWidth="1"/>
    <col min="9" max="9" width="35.26953125" style="35" bestFit="1" customWidth="1"/>
    <col min="10" max="10" width="23.453125" style="35" bestFit="1" customWidth="1"/>
    <col min="11" max="11" width="25.7265625" style="35" bestFit="1" customWidth="1"/>
    <col min="12" max="12" width="23.7265625" style="35" customWidth="1"/>
    <col min="13" max="13" width="8.7265625" style="33"/>
    <col min="14" max="14" width="23" style="33" bestFit="1" customWidth="1"/>
    <col min="15" max="257" width="8.7265625" style="33"/>
    <col min="258" max="258" width="15.1796875" style="33" customWidth="1"/>
    <col min="259" max="259" width="14" style="33" customWidth="1"/>
    <col min="260" max="260" width="37.54296875" style="33" customWidth="1"/>
    <col min="261" max="261" width="15.81640625" style="33" customWidth="1"/>
    <col min="262" max="262" width="15.1796875" style="33" customWidth="1"/>
    <col min="263" max="263" width="18" style="33" customWidth="1"/>
    <col min="264" max="264" width="12" style="33" customWidth="1"/>
    <col min="265" max="265" width="10.453125" style="33" customWidth="1"/>
    <col min="266" max="513" width="8.7265625" style="33"/>
    <col min="514" max="514" width="15.1796875" style="33" customWidth="1"/>
    <col min="515" max="515" width="14" style="33" customWidth="1"/>
    <col min="516" max="516" width="37.54296875" style="33" customWidth="1"/>
    <col min="517" max="517" width="15.81640625" style="33" customWidth="1"/>
    <col min="518" max="518" width="15.1796875" style="33" customWidth="1"/>
    <col min="519" max="519" width="18" style="33" customWidth="1"/>
    <col min="520" max="520" width="12" style="33" customWidth="1"/>
    <col min="521" max="521" width="10.453125" style="33" customWidth="1"/>
    <col min="522" max="769" width="8.7265625" style="33"/>
    <col min="770" max="770" width="15.1796875" style="33" customWidth="1"/>
    <col min="771" max="771" width="14" style="33" customWidth="1"/>
    <col min="772" max="772" width="37.54296875" style="33" customWidth="1"/>
    <col min="773" max="773" width="15.81640625" style="33" customWidth="1"/>
    <col min="774" max="774" width="15.1796875" style="33" customWidth="1"/>
    <col min="775" max="775" width="18" style="33" customWidth="1"/>
    <col min="776" max="776" width="12" style="33" customWidth="1"/>
    <col min="777" max="777" width="10.453125" style="33" customWidth="1"/>
    <col min="778" max="1025" width="8.7265625" style="33"/>
    <col min="1026" max="1026" width="15.1796875" style="33" customWidth="1"/>
    <col min="1027" max="1027" width="14" style="33" customWidth="1"/>
    <col min="1028" max="1028" width="37.54296875" style="33" customWidth="1"/>
    <col min="1029" max="1029" width="15.81640625" style="33" customWidth="1"/>
    <col min="1030" max="1030" width="15.1796875" style="33" customWidth="1"/>
    <col min="1031" max="1031" width="18" style="33" customWidth="1"/>
    <col min="1032" max="1032" width="12" style="33" customWidth="1"/>
    <col min="1033" max="1033" width="10.453125" style="33" customWidth="1"/>
    <col min="1034" max="1281" width="8.7265625" style="33"/>
    <col min="1282" max="1282" width="15.1796875" style="33" customWidth="1"/>
    <col min="1283" max="1283" width="14" style="33" customWidth="1"/>
    <col min="1284" max="1284" width="37.54296875" style="33" customWidth="1"/>
    <col min="1285" max="1285" width="15.81640625" style="33" customWidth="1"/>
    <col min="1286" max="1286" width="15.1796875" style="33" customWidth="1"/>
    <col min="1287" max="1287" width="18" style="33" customWidth="1"/>
    <col min="1288" max="1288" width="12" style="33" customWidth="1"/>
    <col min="1289" max="1289" width="10.453125" style="33" customWidth="1"/>
    <col min="1290" max="1537" width="8.7265625" style="33"/>
    <col min="1538" max="1538" width="15.1796875" style="33" customWidth="1"/>
    <col min="1539" max="1539" width="14" style="33" customWidth="1"/>
    <col min="1540" max="1540" width="37.54296875" style="33" customWidth="1"/>
    <col min="1541" max="1541" width="15.81640625" style="33" customWidth="1"/>
    <col min="1542" max="1542" width="15.1796875" style="33" customWidth="1"/>
    <col min="1543" max="1543" width="18" style="33" customWidth="1"/>
    <col min="1544" max="1544" width="12" style="33" customWidth="1"/>
    <col min="1545" max="1545" width="10.453125" style="33" customWidth="1"/>
    <col min="1546" max="1793" width="8.7265625" style="33"/>
    <col min="1794" max="1794" width="15.1796875" style="33" customWidth="1"/>
    <col min="1795" max="1795" width="14" style="33" customWidth="1"/>
    <col min="1796" max="1796" width="37.54296875" style="33" customWidth="1"/>
    <col min="1797" max="1797" width="15.81640625" style="33" customWidth="1"/>
    <col min="1798" max="1798" width="15.1796875" style="33" customWidth="1"/>
    <col min="1799" max="1799" width="18" style="33" customWidth="1"/>
    <col min="1800" max="1800" width="12" style="33" customWidth="1"/>
    <col min="1801" max="1801" width="10.453125" style="33" customWidth="1"/>
    <col min="1802" max="2049" width="8.7265625" style="33"/>
    <col min="2050" max="2050" width="15.1796875" style="33" customWidth="1"/>
    <col min="2051" max="2051" width="14" style="33" customWidth="1"/>
    <col min="2052" max="2052" width="37.54296875" style="33" customWidth="1"/>
    <col min="2053" max="2053" width="15.81640625" style="33" customWidth="1"/>
    <col min="2054" max="2054" width="15.1796875" style="33" customWidth="1"/>
    <col min="2055" max="2055" width="18" style="33" customWidth="1"/>
    <col min="2056" max="2056" width="12" style="33" customWidth="1"/>
    <col min="2057" max="2057" width="10.453125" style="33" customWidth="1"/>
    <col min="2058" max="2305" width="8.7265625" style="33"/>
    <col min="2306" max="2306" width="15.1796875" style="33" customWidth="1"/>
    <col min="2307" max="2307" width="14" style="33" customWidth="1"/>
    <col min="2308" max="2308" width="37.54296875" style="33" customWidth="1"/>
    <col min="2309" max="2309" width="15.81640625" style="33" customWidth="1"/>
    <col min="2310" max="2310" width="15.1796875" style="33" customWidth="1"/>
    <col min="2311" max="2311" width="18" style="33" customWidth="1"/>
    <col min="2312" max="2312" width="12" style="33" customWidth="1"/>
    <col min="2313" max="2313" width="10.453125" style="33" customWidth="1"/>
    <col min="2314" max="2561" width="8.7265625" style="33"/>
    <col min="2562" max="2562" width="15.1796875" style="33" customWidth="1"/>
    <col min="2563" max="2563" width="14" style="33" customWidth="1"/>
    <col min="2564" max="2564" width="37.54296875" style="33" customWidth="1"/>
    <col min="2565" max="2565" width="15.81640625" style="33" customWidth="1"/>
    <col min="2566" max="2566" width="15.1796875" style="33" customWidth="1"/>
    <col min="2567" max="2567" width="18" style="33" customWidth="1"/>
    <col min="2568" max="2568" width="12" style="33" customWidth="1"/>
    <col min="2569" max="2569" width="10.453125" style="33" customWidth="1"/>
    <col min="2570" max="2817" width="8.7265625" style="33"/>
    <col min="2818" max="2818" width="15.1796875" style="33" customWidth="1"/>
    <col min="2819" max="2819" width="14" style="33" customWidth="1"/>
    <col min="2820" max="2820" width="37.54296875" style="33" customWidth="1"/>
    <col min="2821" max="2821" width="15.81640625" style="33" customWidth="1"/>
    <col min="2822" max="2822" width="15.1796875" style="33" customWidth="1"/>
    <col min="2823" max="2823" width="18" style="33" customWidth="1"/>
    <col min="2824" max="2824" width="12" style="33" customWidth="1"/>
    <col min="2825" max="2825" width="10.453125" style="33" customWidth="1"/>
    <col min="2826" max="3073" width="8.7265625" style="33"/>
    <col min="3074" max="3074" width="15.1796875" style="33" customWidth="1"/>
    <col min="3075" max="3075" width="14" style="33" customWidth="1"/>
    <col min="3076" max="3076" width="37.54296875" style="33" customWidth="1"/>
    <col min="3077" max="3077" width="15.81640625" style="33" customWidth="1"/>
    <col min="3078" max="3078" width="15.1796875" style="33" customWidth="1"/>
    <col min="3079" max="3079" width="18" style="33" customWidth="1"/>
    <col min="3080" max="3080" width="12" style="33" customWidth="1"/>
    <col min="3081" max="3081" width="10.453125" style="33" customWidth="1"/>
    <col min="3082" max="3329" width="8.7265625" style="33"/>
    <col min="3330" max="3330" width="15.1796875" style="33" customWidth="1"/>
    <col min="3331" max="3331" width="14" style="33" customWidth="1"/>
    <col min="3332" max="3332" width="37.54296875" style="33" customWidth="1"/>
    <col min="3333" max="3333" width="15.81640625" style="33" customWidth="1"/>
    <col min="3334" max="3334" width="15.1796875" style="33" customWidth="1"/>
    <col min="3335" max="3335" width="18" style="33" customWidth="1"/>
    <col min="3336" max="3336" width="12" style="33" customWidth="1"/>
    <col min="3337" max="3337" width="10.453125" style="33" customWidth="1"/>
    <col min="3338" max="3585" width="8.7265625" style="33"/>
    <col min="3586" max="3586" width="15.1796875" style="33" customWidth="1"/>
    <col min="3587" max="3587" width="14" style="33" customWidth="1"/>
    <col min="3588" max="3588" width="37.54296875" style="33" customWidth="1"/>
    <col min="3589" max="3589" width="15.81640625" style="33" customWidth="1"/>
    <col min="3590" max="3590" width="15.1796875" style="33" customWidth="1"/>
    <col min="3591" max="3591" width="18" style="33" customWidth="1"/>
    <col min="3592" max="3592" width="12" style="33" customWidth="1"/>
    <col min="3593" max="3593" width="10.453125" style="33" customWidth="1"/>
    <col min="3594" max="3841" width="8.7265625" style="33"/>
    <col min="3842" max="3842" width="15.1796875" style="33" customWidth="1"/>
    <col min="3843" max="3843" width="14" style="33" customWidth="1"/>
    <col min="3844" max="3844" width="37.54296875" style="33" customWidth="1"/>
    <col min="3845" max="3845" width="15.81640625" style="33" customWidth="1"/>
    <col min="3846" max="3846" width="15.1796875" style="33" customWidth="1"/>
    <col min="3847" max="3847" width="18" style="33" customWidth="1"/>
    <col min="3848" max="3848" width="12" style="33" customWidth="1"/>
    <col min="3849" max="3849" width="10.453125" style="33" customWidth="1"/>
    <col min="3850" max="4097" width="8.7265625" style="33"/>
    <col min="4098" max="4098" width="15.1796875" style="33" customWidth="1"/>
    <col min="4099" max="4099" width="14" style="33" customWidth="1"/>
    <col min="4100" max="4100" width="37.54296875" style="33" customWidth="1"/>
    <col min="4101" max="4101" width="15.81640625" style="33" customWidth="1"/>
    <col min="4102" max="4102" width="15.1796875" style="33" customWidth="1"/>
    <col min="4103" max="4103" width="18" style="33" customWidth="1"/>
    <col min="4104" max="4104" width="12" style="33" customWidth="1"/>
    <col min="4105" max="4105" width="10.453125" style="33" customWidth="1"/>
    <col min="4106" max="4353" width="8.7265625" style="33"/>
    <col min="4354" max="4354" width="15.1796875" style="33" customWidth="1"/>
    <col min="4355" max="4355" width="14" style="33" customWidth="1"/>
    <col min="4356" max="4356" width="37.54296875" style="33" customWidth="1"/>
    <col min="4357" max="4357" width="15.81640625" style="33" customWidth="1"/>
    <col min="4358" max="4358" width="15.1796875" style="33" customWidth="1"/>
    <col min="4359" max="4359" width="18" style="33" customWidth="1"/>
    <col min="4360" max="4360" width="12" style="33" customWidth="1"/>
    <col min="4361" max="4361" width="10.453125" style="33" customWidth="1"/>
    <col min="4362" max="4609" width="8.7265625" style="33"/>
    <col min="4610" max="4610" width="15.1796875" style="33" customWidth="1"/>
    <col min="4611" max="4611" width="14" style="33" customWidth="1"/>
    <col min="4612" max="4612" width="37.54296875" style="33" customWidth="1"/>
    <col min="4613" max="4613" width="15.81640625" style="33" customWidth="1"/>
    <col min="4614" max="4614" width="15.1796875" style="33" customWidth="1"/>
    <col min="4615" max="4615" width="18" style="33" customWidth="1"/>
    <col min="4616" max="4616" width="12" style="33" customWidth="1"/>
    <col min="4617" max="4617" width="10.453125" style="33" customWidth="1"/>
    <col min="4618" max="4865" width="8.7265625" style="33"/>
    <col min="4866" max="4866" width="15.1796875" style="33" customWidth="1"/>
    <col min="4867" max="4867" width="14" style="33" customWidth="1"/>
    <col min="4868" max="4868" width="37.54296875" style="33" customWidth="1"/>
    <col min="4869" max="4869" width="15.81640625" style="33" customWidth="1"/>
    <col min="4870" max="4870" width="15.1796875" style="33" customWidth="1"/>
    <col min="4871" max="4871" width="18" style="33" customWidth="1"/>
    <col min="4872" max="4872" width="12" style="33" customWidth="1"/>
    <col min="4873" max="4873" width="10.453125" style="33" customWidth="1"/>
    <col min="4874" max="5121" width="8.7265625" style="33"/>
    <col min="5122" max="5122" width="15.1796875" style="33" customWidth="1"/>
    <col min="5123" max="5123" width="14" style="33" customWidth="1"/>
    <col min="5124" max="5124" width="37.54296875" style="33" customWidth="1"/>
    <col min="5125" max="5125" width="15.81640625" style="33" customWidth="1"/>
    <col min="5126" max="5126" width="15.1796875" style="33" customWidth="1"/>
    <col min="5127" max="5127" width="18" style="33" customWidth="1"/>
    <col min="5128" max="5128" width="12" style="33" customWidth="1"/>
    <col min="5129" max="5129" width="10.453125" style="33" customWidth="1"/>
    <col min="5130" max="5377" width="8.7265625" style="33"/>
    <col min="5378" max="5378" width="15.1796875" style="33" customWidth="1"/>
    <col min="5379" max="5379" width="14" style="33" customWidth="1"/>
    <col min="5380" max="5380" width="37.54296875" style="33" customWidth="1"/>
    <col min="5381" max="5381" width="15.81640625" style="33" customWidth="1"/>
    <col min="5382" max="5382" width="15.1796875" style="33" customWidth="1"/>
    <col min="5383" max="5383" width="18" style="33" customWidth="1"/>
    <col min="5384" max="5384" width="12" style="33" customWidth="1"/>
    <col min="5385" max="5385" width="10.453125" style="33" customWidth="1"/>
    <col min="5386" max="5633" width="8.7265625" style="33"/>
    <col min="5634" max="5634" width="15.1796875" style="33" customWidth="1"/>
    <col min="5635" max="5635" width="14" style="33" customWidth="1"/>
    <col min="5636" max="5636" width="37.54296875" style="33" customWidth="1"/>
    <col min="5637" max="5637" width="15.81640625" style="33" customWidth="1"/>
    <col min="5638" max="5638" width="15.1796875" style="33" customWidth="1"/>
    <col min="5639" max="5639" width="18" style="33" customWidth="1"/>
    <col min="5640" max="5640" width="12" style="33" customWidth="1"/>
    <col min="5641" max="5641" width="10.453125" style="33" customWidth="1"/>
    <col min="5642" max="5889" width="8.7265625" style="33"/>
    <col min="5890" max="5890" width="15.1796875" style="33" customWidth="1"/>
    <col min="5891" max="5891" width="14" style="33" customWidth="1"/>
    <col min="5892" max="5892" width="37.54296875" style="33" customWidth="1"/>
    <col min="5893" max="5893" width="15.81640625" style="33" customWidth="1"/>
    <col min="5894" max="5894" width="15.1796875" style="33" customWidth="1"/>
    <col min="5895" max="5895" width="18" style="33" customWidth="1"/>
    <col min="5896" max="5896" width="12" style="33" customWidth="1"/>
    <col min="5897" max="5897" width="10.453125" style="33" customWidth="1"/>
    <col min="5898" max="6145" width="8.7265625" style="33"/>
    <col min="6146" max="6146" width="15.1796875" style="33" customWidth="1"/>
    <col min="6147" max="6147" width="14" style="33" customWidth="1"/>
    <col min="6148" max="6148" width="37.54296875" style="33" customWidth="1"/>
    <col min="6149" max="6149" width="15.81640625" style="33" customWidth="1"/>
    <col min="6150" max="6150" width="15.1796875" style="33" customWidth="1"/>
    <col min="6151" max="6151" width="18" style="33" customWidth="1"/>
    <col min="6152" max="6152" width="12" style="33" customWidth="1"/>
    <col min="6153" max="6153" width="10.453125" style="33" customWidth="1"/>
    <col min="6154" max="6401" width="8.7265625" style="33"/>
    <col min="6402" max="6402" width="15.1796875" style="33" customWidth="1"/>
    <col min="6403" max="6403" width="14" style="33" customWidth="1"/>
    <col min="6404" max="6404" width="37.54296875" style="33" customWidth="1"/>
    <col min="6405" max="6405" width="15.81640625" style="33" customWidth="1"/>
    <col min="6406" max="6406" width="15.1796875" style="33" customWidth="1"/>
    <col min="6407" max="6407" width="18" style="33" customWidth="1"/>
    <col min="6408" max="6408" width="12" style="33" customWidth="1"/>
    <col min="6409" max="6409" width="10.453125" style="33" customWidth="1"/>
    <col min="6410" max="6657" width="8.7265625" style="33"/>
    <col min="6658" max="6658" width="15.1796875" style="33" customWidth="1"/>
    <col min="6659" max="6659" width="14" style="33" customWidth="1"/>
    <col min="6660" max="6660" width="37.54296875" style="33" customWidth="1"/>
    <col min="6661" max="6661" width="15.81640625" style="33" customWidth="1"/>
    <col min="6662" max="6662" width="15.1796875" style="33" customWidth="1"/>
    <col min="6663" max="6663" width="18" style="33" customWidth="1"/>
    <col min="6664" max="6664" width="12" style="33" customWidth="1"/>
    <col min="6665" max="6665" width="10.453125" style="33" customWidth="1"/>
    <col min="6666" max="6913" width="8.7265625" style="33"/>
    <col min="6914" max="6914" width="15.1796875" style="33" customWidth="1"/>
    <col min="6915" max="6915" width="14" style="33" customWidth="1"/>
    <col min="6916" max="6916" width="37.54296875" style="33" customWidth="1"/>
    <col min="6917" max="6917" width="15.81640625" style="33" customWidth="1"/>
    <col min="6918" max="6918" width="15.1796875" style="33" customWidth="1"/>
    <col min="6919" max="6919" width="18" style="33" customWidth="1"/>
    <col min="6920" max="6920" width="12" style="33" customWidth="1"/>
    <col min="6921" max="6921" width="10.453125" style="33" customWidth="1"/>
    <col min="6922" max="7169" width="8.7265625" style="33"/>
    <col min="7170" max="7170" width="15.1796875" style="33" customWidth="1"/>
    <col min="7171" max="7171" width="14" style="33" customWidth="1"/>
    <col min="7172" max="7172" width="37.54296875" style="33" customWidth="1"/>
    <col min="7173" max="7173" width="15.81640625" style="33" customWidth="1"/>
    <col min="7174" max="7174" width="15.1796875" style="33" customWidth="1"/>
    <col min="7175" max="7175" width="18" style="33" customWidth="1"/>
    <col min="7176" max="7176" width="12" style="33" customWidth="1"/>
    <col min="7177" max="7177" width="10.453125" style="33" customWidth="1"/>
    <col min="7178" max="7425" width="8.7265625" style="33"/>
    <col min="7426" max="7426" width="15.1796875" style="33" customWidth="1"/>
    <col min="7427" max="7427" width="14" style="33" customWidth="1"/>
    <col min="7428" max="7428" width="37.54296875" style="33" customWidth="1"/>
    <col min="7429" max="7429" width="15.81640625" style="33" customWidth="1"/>
    <col min="7430" max="7430" width="15.1796875" style="33" customWidth="1"/>
    <col min="7431" max="7431" width="18" style="33" customWidth="1"/>
    <col min="7432" max="7432" width="12" style="33" customWidth="1"/>
    <col min="7433" max="7433" width="10.453125" style="33" customWidth="1"/>
    <col min="7434" max="7681" width="8.7265625" style="33"/>
    <col min="7682" max="7682" width="15.1796875" style="33" customWidth="1"/>
    <col min="7683" max="7683" width="14" style="33" customWidth="1"/>
    <col min="7684" max="7684" width="37.54296875" style="33" customWidth="1"/>
    <col min="7685" max="7685" width="15.81640625" style="33" customWidth="1"/>
    <col min="7686" max="7686" width="15.1796875" style="33" customWidth="1"/>
    <col min="7687" max="7687" width="18" style="33" customWidth="1"/>
    <col min="7688" max="7688" width="12" style="33" customWidth="1"/>
    <col min="7689" max="7689" width="10.453125" style="33" customWidth="1"/>
    <col min="7690" max="7937" width="8.7265625" style="33"/>
    <col min="7938" max="7938" width="15.1796875" style="33" customWidth="1"/>
    <col min="7939" max="7939" width="14" style="33" customWidth="1"/>
    <col min="7940" max="7940" width="37.54296875" style="33" customWidth="1"/>
    <col min="7941" max="7941" width="15.81640625" style="33" customWidth="1"/>
    <col min="7942" max="7942" width="15.1796875" style="33" customWidth="1"/>
    <col min="7943" max="7943" width="18" style="33" customWidth="1"/>
    <col min="7944" max="7944" width="12" style="33" customWidth="1"/>
    <col min="7945" max="7945" width="10.453125" style="33" customWidth="1"/>
    <col min="7946" max="8193" width="8.7265625" style="33"/>
    <col min="8194" max="8194" width="15.1796875" style="33" customWidth="1"/>
    <col min="8195" max="8195" width="14" style="33" customWidth="1"/>
    <col min="8196" max="8196" width="37.54296875" style="33" customWidth="1"/>
    <col min="8197" max="8197" width="15.81640625" style="33" customWidth="1"/>
    <col min="8198" max="8198" width="15.1796875" style="33" customWidth="1"/>
    <col min="8199" max="8199" width="18" style="33" customWidth="1"/>
    <col min="8200" max="8200" width="12" style="33" customWidth="1"/>
    <col min="8201" max="8201" width="10.453125" style="33" customWidth="1"/>
    <col min="8202" max="8449" width="8.7265625" style="33"/>
    <col min="8450" max="8450" width="15.1796875" style="33" customWidth="1"/>
    <col min="8451" max="8451" width="14" style="33" customWidth="1"/>
    <col min="8452" max="8452" width="37.54296875" style="33" customWidth="1"/>
    <col min="8453" max="8453" width="15.81640625" style="33" customWidth="1"/>
    <col min="8454" max="8454" width="15.1796875" style="33" customWidth="1"/>
    <col min="8455" max="8455" width="18" style="33" customWidth="1"/>
    <col min="8456" max="8456" width="12" style="33" customWidth="1"/>
    <col min="8457" max="8457" width="10.453125" style="33" customWidth="1"/>
    <col min="8458" max="8705" width="8.7265625" style="33"/>
    <col min="8706" max="8706" width="15.1796875" style="33" customWidth="1"/>
    <col min="8707" max="8707" width="14" style="33" customWidth="1"/>
    <col min="8708" max="8708" width="37.54296875" style="33" customWidth="1"/>
    <col min="8709" max="8709" width="15.81640625" style="33" customWidth="1"/>
    <col min="8710" max="8710" width="15.1796875" style="33" customWidth="1"/>
    <col min="8711" max="8711" width="18" style="33" customWidth="1"/>
    <col min="8712" max="8712" width="12" style="33" customWidth="1"/>
    <col min="8713" max="8713" width="10.453125" style="33" customWidth="1"/>
    <col min="8714" max="8961" width="8.7265625" style="33"/>
    <col min="8962" max="8962" width="15.1796875" style="33" customWidth="1"/>
    <col min="8963" max="8963" width="14" style="33" customWidth="1"/>
    <col min="8964" max="8964" width="37.54296875" style="33" customWidth="1"/>
    <col min="8965" max="8965" width="15.81640625" style="33" customWidth="1"/>
    <col min="8966" max="8966" width="15.1796875" style="33" customWidth="1"/>
    <col min="8967" max="8967" width="18" style="33" customWidth="1"/>
    <col min="8968" max="8968" width="12" style="33" customWidth="1"/>
    <col min="8969" max="8969" width="10.453125" style="33" customWidth="1"/>
    <col min="8970" max="9217" width="8.7265625" style="33"/>
    <col min="9218" max="9218" width="15.1796875" style="33" customWidth="1"/>
    <col min="9219" max="9219" width="14" style="33" customWidth="1"/>
    <col min="9220" max="9220" width="37.54296875" style="33" customWidth="1"/>
    <col min="9221" max="9221" width="15.81640625" style="33" customWidth="1"/>
    <col min="9222" max="9222" width="15.1796875" style="33" customWidth="1"/>
    <col min="9223" max="9223" width="18" style="33" customWidth="1"/>
    <col min="9224" max="9224" width="12" style="33" customWidth="1"/>
    <col min="9225" max="9225" width="10.453125" style="33" customWidth="1"/>
    <col min="9226" max="9473" width="8.7265625" style="33"/>
    <col min="9474" max="9474" width="15.1796875" style="33" customWidth="1"/>
    <col min="9475" max="9475" width="14" style="33" customWidth="1"/>
    <col min="9476" max="9476" width="37.54296875" style="33" customWidth="1"/>
    <col min="9477" max="9477" width="15.81640625" style="33" customWidth="1"/>
    <col min="9478" max="9478" width="15.1796875" style="33" customWidth="1"/>
    <col min="9479" max="9479" width="18" style="33" customWidth="1"/>
    <col min="9480" max="9480" width="12" style="33" customWidth="1"/>
    <col min="9481" max="9481" width="10.453125" style="33" customWidth="1"/>
    <col min="9482" max="9729" width="8.7265625" style="33"/>
    <col min="9730" max="9730" width="15.1796875" style="33" customWidth="1"/>
    <col min="9731" max="9731" width="14" style="33" customWidth="1"/>
    <col min="9732" max="9732" width="37.54296875" style="33" customWidth="1"/>
    <col min="9733" max="9733" width="15.81640625" style="33" customWidth="1"/>
    <col min="9734" max="9734" width="15.1796875" style="33" customWidth="1"/>
    <col min="9735" max="9735" width="18" style="33" customWidth="1"/>
    <col min="9736" max="9736" width="12" style="33" customWidth="1"/>
    <col min="9737" max="9737" width="10.453125" style="33" customWidth="1"/>
    <col min="9738" max="9985" width="8.7265625" style="33"/>
    <col min="9986" max="9986" width="15.1796875" style="33" customWidth="1"/>
    <col min="9987" max="9987" width="14" style="33" customWidth="1"/>
    <col min="9988" max="9988" width="37.54296875" style="33" customWidth="1"/>
    <col min="9989" max="9989" width="15.81640625" style="33" customWidth="1"/>
    <col min="9990" max="9990" width="15.1796875" style="33" customWidth="1"/>
    <col min="9991" max="9991" width="18" style="33" customWidth="1"/>
    <col min="9992" max="9992" width="12" style="33" customWidth="1"/>
    <col min="9993" max="9993" width="10.453125" style="33" customWidth="1"/>
    <col min="9994" max="10241" width="8.7265625" style="33"/>
    <col min="10242" max="10242" width="15.1796875" style="33" customWidth="1"/>
    <col min="10243" max="10243" width="14" style="33" customWidth="1"/>
    <col min="10244" max="10244" width="37.54296875" style="33" customWidth="1"/>
    <col min="10245" max="10245" width="15.81640625" style="33" customWidth="1"/>
    <col min="10246" max="10246" width="15.1796875" style="33" customWidth="1"/>
    <col min="10247" max="10247" width="18" style="33" customWidth="1"/>
    <col min="10248" max="10248" width="12" style="33" customWidth="1"/>
    <col min="10249" max="10249" width="10.453125" style="33" customWidth="1"/>
    <col min="10250" max="10497" width="8.7265625" style="33"/>
    <col min="10498" max="10498" width="15.1796875" style="33" customWidth="1"/>
    <col min="10499" max="10499" width="14" style="33" customWidth="1"/>
    <col min="10500" max="10500" width="37.54296875" style="33" customWidth="1"/>
    <col min="10501" max="10501" width="15.81640625" style="33" customWidth="1"/>
    <col min="10502" max="10502" width="15.1796875" style="33" customWidth="1"/>
    <col min="10503" max="10503" width="18" style="33" customWidth="1"/>
    <col min="10504" max="10504" width="12" style="33" customWidth="1"/>
    <col min="10505" max="10505" width="10.453125" style="33" customWidth="1"/>
    <col min="10506" max="10753" width="8.7265625" style="33"/>
    <col min="10754" max="10754" width="15.1796875" style="33" customWidth="1"/>
    <col min="10755" max="10755" width="14" style="33" customWidth="1"/>
    <col min="10756" max="10756" width="37.54296875" style="33" customWidth="1"/>
    <col min="10757" max="10757" width="15.81640625" style="33" customWidth="1"/>
    <col min="10758" max="10758" width="15.1796875" style="33" customWidth="1"/>
    <col min="10759" max="10759" width="18" style="33" customWidth="1"/>
    <col min="10760" max="10760" width="12" style="33" customWidth="1"/>
    <col min="10761" max="10761" width="10.453125" style="33" customWidth="1"/>
    <col min="10762" max="11009" width="8.7265625" style="33"/>
    <col min="11010" max="11010" width="15.1796875" style="33" customWidth="1"/>
    <col min="11011" max="11011" width="14" style="33" customWidth="1"/>
    <col min="11012" max="11012" width="37.54296875" style="33" customWidth="1"/>
    <col min="11013" max="11013" width="15.81640625" style="33" customWidth="1"/>
    <col min="11014" max="11014" width="15.1796875" style="33" customWidth="1"/>
    <col min="11015" max="11015" width="18" style="33" customWidth="1"/>
    <col min="11016" max="11016" width="12" style="33" customWidth="1"/>
    <col min="11017" max="11017" width="10.453125" style="33" customWidth="1"/>
    <col min="11018" max="11265" width="8.7265625" style="33"/>
    <col min="11266" max="11266" width="15.1796875" style="33" customWidth="1"/>
    <col min="11267" max="11267" width="14" style="33" customWidth="1"/>
    <col min="11268" max="11268" width="37.54296875" style="33" customWidth="1"/>
    <col min="11269" max="11269" width="15.81640625" style="33" customWidth="1"/>
    <col min="11270" max="11270" width="15.1796875" style="33" customWidth="1"/>
    <col min="11271" max="11271" width="18" style="33" customWidth="1"/>
    <col min="11272" max="11272" width="12" style="33" customWidth="1"/>
    <col min="11273" max="11273" width="10.453125" style="33" customWidth="1"/>
    <col min="11274" max="11521" width="8.7265625" style="33"/>
    <col min="11522" max="11522" width="15.1796875" style="33" customWidth="1"/>
    <col min="11523" max="11523" width="14" style="33" customWidth="1"/>
    <col min="11524" max="11524" width="37.54296875" style="33" customWidth="1"/>
    <col min="11525" max="11525" width="15.81640625" style="33" customWidth="1"/>
    <col min="11526" max="11526" width="15.1796875" style="33" customWidth="1"/>
    <col min="11527" max="11527" width="18" style="33" customWidth="1"/>
    <col min="11528" max="11528" width="12" style="33" customWidth="1"/>
    <col min="11529" max="11529" width="10.453125" style="33" customWidth="1"/>
    <col min="11530" max="11777" width="8.7265625" style="33"/>
    <col min="11778" max="11778" width="15.1796875" style="33" customWidth="1"/>
    <col min="11779" max="11779" width="14" style="33" customWidth="1"/>
    <col min="11780" max="11780" width="37.54296875" style="33" customWidth="1"/>
    <col min="11781" max="11781" width="15.81640625" style="33" customWidth="1"/>
    <col min="11782" max="11782" width="15.1796875" style="33" customWidth="1"/>
    <col min="11783" max="11783" width="18" style="33" customWidth="1"/>
    <col min="11784" max="11784" width="12" style="33" customWidth="1"/>
    <col min="11785" max="11785" width="10.453125" style="33" customWidth="1"/>
    <col min="11786" max="12033" width="8.7265625" style="33"/>
    <col min="12034" max="12034" width="15.1796875" style="33" customWidth="1"/>
    <col min="12035" max="12035" width="14" style="33" customWidth="1"/>
    <col min="12036" max="12036" width="37.54296875" style="33" customWidth="1"/>
    <col min="12037" max="12037" width="15.81640625" style="33" customWidth="1"/>
    <col min="12038" max="12038" width="15.1796875" style="33" customWidth="1"/>
    <col min="12039" max="12039" width="18" style="33" customWidth="1"/>
    <col min="12040" max="12040" width="12" style="33" customWidth="1"/>
    <col min="12041" max="12041" width="10.453125" style="33" customWidth="1"/>
    <col min="12042" max="12289" width="8.7265625" style="33"/>
    <col min="12290" max="12290" width="15.1796875" style="33" customWidth="1"/>
    <col min="12291" max="12291" width="14" style="33" customWidth="1"/>
    <col min="12292" max="12292" width="37.54296875" style="33" customWidth="1"/>
    <col min="12293" max="12293" width="15.81640625" style="33" customWidth="1"/>
    <col min="12294" max="12294" width="15.1796875" style="33" customWidth="1"/>
    <col min="12295" max="12295" width="18" style="33" customWidth="1"/>
    <col min="12296" max="12296" width="12" style="33" customWidth="1"/>
    <col min="12297" max="12297" width="10.453125" style="33" customWidth="1"/>
    <col min="12298" max="12545" width="8.7265625" style="33"/>
    <col min="12546" max="12546" width="15.1796875" style="33" customWidth="1"/>
    <col min="12547" max="12547" width="14" style="33" customWidth="1"/>
    <col min="12548" max="12548" width="37.54296875" style="33" customWidth="1"/>
    <col min="12549" max="12549" width="15.81640625" style="33" customWidth="1"/>
    <col min="12550" max="12550" width="15.1796875" style="33" customWidth="1"/>
    <col min="12551" max="12551" width="18" style="33" customWidth="1"/>
    <col min="12552" max="12552" width="12" style="33" customWidth="1"/>
    <col min="12553" max="12553" width="10.453125" style="33" customWidth="1"/>
    <col min="12554" max="12801" width="8.7265625" style="33"/>
    <col min="12802" max="12802" width="15.1796875" style="33" customWidth="1"/>
    <col min="12803" max="12803" width="14" style="33" customWidth="1"/>
    <col min="12804" max="12804" width="37.54296875" style="33" customWidth="1"/>
    <col min="12805" max="12805" width="15.81640625" style="33" customWidth="1"/>
    <col min="12806" max="12806" width="15.1796875" style="33" customWidth="1"/>
    <col min="12807" max="12807" width="18" style="33" customWidth="1"/>
    <col min="12808" max="12808" width="12" style="33" customWidth="1"/>
    <col min="12809" max="12809" width="10.453125" style="33" customWidth="1"/>
    <col min="12810" max="13057" width="8.7265625" style="33"/>
    <col min="13058" max="13058" width="15.1796875" style="33" customWidth="1"/>
    <col min="13059" max="13059" width="14" style="33" customWidth="1"/>
    <col min="13060" max="13060" width="37.54296875" style="33" customWidth="1"/>
    <col min="13061" max="13061" width="15.81640625" style="33" customWidth="1"/>
    <col min="13062" max="13062" width="15.1796875" style="33" customWidth="1"/>
    <col min="13063" max="13063" width="18" style="33" customWidth="1"/>
    <col min="13064" max="13064" width="12" style="33" customWidth="1"/>
    <col min="13065" max="13065" width="10.453125" style="33" customWidth="1"/>
    <col min="13066" max="13313" width="8.7265625" style="33"/>
    <col min="13314" max="13314" width="15.1796875" style="33" customWidth="1"/>
    <col min="13315" max="13315" width="14" style="33" customWidth="1"/>
    <col min="13316" max="13316" width="37.54296875" style="33" customWidth="1"/>
    <col min="13317" max="13317" width="15.81640625" style="33" customWidth="1"/>
    <col min="13318" max="13318" width="15.1796875" style="33" customWidth="1"/>
    <col min="13319" max="13319" width="18" style="33" customWidth="1"/>
    <col min="13320" max="13320" width="12" style="33" customWidth="1"/>
    <col min="13321" max="13321" width="10.453125" style="33" customWidth="1"/>
    <col min="13322" max="13569" width="8.7265625" style="33"/>
    <col min="13570" max="13570" width="15.1796875" style="33" customWidth="1"/>
    <col min="13571" max="13571" width="14" style="33" customWidth="1"/>
    <col min="13572" max="13572" width="37.54296875" style="33" customWidth="1"/>
    <col min="13573" max="13573" width="15.81640625" style="33" customWidth="1"/>
    <col min="13574" max="13574" width="15.1796875" style="33" customWidth="1"/>
    <col min="13575" max="13575" width="18" style="33" customWidth="1"/>
    <col min="13576" max="13576" width="12" style="33" customWidth="1"/>
    <col min="13577" max="13577" width="10.453125" style="33" customWidth="1"/>
    <col min="13578" max="13825" width="8.7265625" style="33"/>
    <col min="13826" max="13826" width="15.1796875" style="33" customWidth="1"/>
    <col min="13827" max="13827" width="14" style="33" customWidth="1"/>
    <col min="13828" max="13828" width="37.54296875" style="33" customWidth="1"/>
    <col min="13829" max="13829" width="15.81640625" style="33" customWidth="1"/>
    <col min="13830" max="13830" width="15.1796875" style="33" customWidth="1"/>
    <col min="13831" max="13831" width="18" style="33" customWidth="1"/>
    <col min="13832" max="13832" width="12" style="33" customWidth="1"/>
    <col min="13833" max="13833" width="10.453125" style="33" customWidth="1"/>
    <col min="13834" max="14081" width="8.7265625" style="33"/>
    <col min="14082" max="14082" width="15.1796875" style="33" customWidth="1"/>
    <col min="14083" max="14083" width="14" style="33" customWidth="1"/>
    <col min="14084" max="14084" width="37.54296875" style="33" customWidth="1"/>
    <col min="14085" max="14085" width="15.81640625" style="33" customWidth="1"/>
    <col min="14086" max="14086" width="15.1796875" style="33" customWidth="1"/>
    <col min="14087" max="14087" width="18" style="33" customWidth="1"/>
    <col min="14088" max="14088" width="12" style="33" customWidth="1"/>
    <col min="14089" max="14089" width="10.453125" style="33" customWidth="1"/>
    <col min="14090" max="14337" width="8.7265625" style="33"/>
    <col min="14338" max="14338" width="15.1796875" style="33" customWidth="1"/>
    <col min="14339" max="14339" width="14" style="33" customWidth="1"/>
    <col min="14340" max="14340" width="37.54296875" style="33" customWidth="1"/>
    <col min="14341" max="14341" width="15.81640625" style="33" customWidth="1"/>
    <col min="14342" max="14342" width="15.1796875" style="33" customWidth="1"/>
    <col min="14343" max="14343" width="18" style="33" customWidth="1"/>
    <col min="14344" max="14344" width="12" style="33" customWidth="1"/>
    <col min="14345" max="14345" width="10.453125" style="33" customWidth="1"/>
    <col min="14346" max="14593" width="8.7265625" style="33"/>
    <col min="14594" max="14594" width="15.1796875" style="33" customWidth="1"/>
    <col min="14595" max="14595" width="14" style="33" customWidth="1"/>
    <col min="14596" max="14596" width="37.54296875" style="33" customWidth="1"/>
    <col min="14597" max="14597" width="15.81640625" style="33" customWidth="1"/>
    <col min="14598" max="14598" width="15.1796875" style="33" customWidth="1"/>
    <col min="14599" max="14599" width="18" style="33" customWidth="1"/>
    <col min="14600" max="14600" width="12" style="33" customWidth="1"/>
    <col min="14601" max="14601" width="10.453125" style="33" customWidth="1"/>
    <col min="14602" max="14849" width="8.7265625" style="33"/>
    <col min="14850" max="14850" width="15.1796875" style="33" customWidth="1"/>
    <col min="14851" max="14851" width="14" style="33" customWidth="1"/>
    <col min="14852" max="14852" width="37.54296875" style="33" customWidth="1"/>
    <col min="14853" max="14853" width="15.81640625" style="33" customWidth="1"/>
    <col min="14854" max="14854" width="15.1796875" style="33" customWidth="1"/>
    <col min="14855" max="14855" width="18" style="33" customWidth="1"/>
    <col min="14856" max="14856" width="12" style="33" customWidth="1"/>
    <col min="14857" max="14857" width="10.453125" style="33" customWidth="1"/>
    <col min="14858" max="15105" width="8.7265625" style="33"/>
    <col min="15106" max="15106" width="15.1796875" style="33" customWidth="1"/>
    <col min="15107" max="15107" width="14" style="33" customWidth="1"/>
    <col min="15108" max="15108" width="37.54296875" style="33" customWidth="1"/>
    <col min="15109" max="15109" width="15.81640625" style="33" customWidth="1"/>
    <col min="15110" max="15110" width="15.1796875" style="33" customWidth="1"/>
    <col min="15111" max="15111" width="18" style="33" customWidth="1"/>
    <col min="15112" max="15112" width="12" style="33" customWidth="1"/>
    <col min="15113" max="15113" width="10.453125" style="33" customWidth="1"/>
    <col min="15114" max="15361" width="8.7265625" style="33"/>
    <col min="15362" max="15362" width="15.1796875" style="33" customWidth="1"/>
    <col min="15363" max="15363" width="14" style="33" customWidth="1"/>
    <col min="15364" max="15364" width="37.54296875" style="33" customWidth="1"/>
    <col min="15365" max="15365" width="15.81640625" style="33" customWidth="1"/>
    <col min="15366" max="15366" width="15.1796875" style="33" customWidth="1"/>
    <col min="15367" max="15367" width="18" style="33" customWidth="1"/>
    <col min="15368" max="15368" width="12" style="33" customWidth="1"/>
    <col min="15369" max="15369" width="10.453125" style="33" customWidth="1"/>
    <col min="15370" max="15617" width="8.7265625" style="33"/>
    <col min="15618" max="15618" width="15.1796875" style="33" customWidth="1"/>
    <col min="15619" max="15619" width="14" style="33" customWidth="1"/>
    <col min="15620" max="15620" width="37.54296875" style="33" customWidth="1"/>
    <col min="15621" max="15621" width="15.81640625" style="33" customWidth="1"/>
    <col min="15622" max="15622" width="15.1796875" style="33" customWidth="1"/>
    <col min="15623" max="15623" width="18" style="33" customWidth="1"/>
    <col min="15624" max="15624" width="12" style="33" customWidth="1"/>
    <col min="15625" max="15625" width="10.453125" style="33" customWidth="1"/>
    <col min="15626" max="15873" width="8.7265625" style="33"/>
    <col min="15874" max="15874" width="15.1796875" style="33" customWidth="1"/>
    <col min="15875" max="15875" width="14" style="33" customWidth="1"/>
    <col min="15876" max="15876" width="37.54296875" style="33" customWidth="1"/>
    <col min="15877" max="15877" width="15.81640625" style="33" customWidth="1"/>
    <col min="15878" max="15878" width="15.1796875" style="33" customWidth="1"/>
    <col min="15879" max="15879" width="18" style="33" customWidth="1"/>
    <col min="15880" max="15880" width="12" style="33" customWidth="1"/>
    <col min="15881" max="15881" width="10.453125" style="33" customWidth="1"/>
    <col min="15882" max="16129" width="8.7265625" style="33"/>
    <col min="16130" max="16130" width="15.1796875" style="33" customWidth="1"/>
    <col min="16131" max="16131" width="14" style="33" customWidth="1"/>
    <col min="16132" max="16132" width="37.54296875" style="33" customWidth="1"/>
    <col min="16133" max="16133" width="15.81640625" style="33" customWidth="1"/>
    <col min="16134" max="16134" width="15.1796875" style="33" customWidth="1"/>
    <col min="16135" max="16135" width="18" style="33" customWidth="1"/>
    <col min="16136" max="16136" width="12" style="33" customWidth="1"/>
    <col min="16137" max="16137" width="10.453125" style="33" customWidth="1"/>
    <col min="16138" max="16384" width="8.7265625" style="33"/>
  </cols>
  <sheetData>
    <row r="1" spans="1:12" ht="37" customHeight="1">
      <c r="A1" s="60" t="s">
        <v>209</v>
      </c>
      <c r="B1" s="11"/>
      <c r="C1" s="11"/>
      <c r="D1" s="11"/>
      <c r="E1" s="11"/>
      <c r="F1" s="15"/>
      <c r="G1" s="11"/>
      <c r="H1" s="11"/>
      <c r="I1" s="11"/>
      <c r="J1" s="11"/>
      <c r="K1" s="11"/>
      <c r="L1" s="11"/>
    </row>
    <row r="2" spans="1:12" ht="35.5" customHeight="1">
      <c r="A2" s="61" t="s">
        <v>0</v>
      </c>
      <c r="B2" s="11"/>
      <c r="C2" s="11"/>
      <c r="D2" s="11"/>
      <c r="E2" s="11"/>
      <c r="F2" s="15"/>
      <c r="G2" s="11"/>
      <c r="H2" s="11"/>
      <c r="I2" s="11"/>
      <c r="J2" s="11"/>
      <c r="K2" s="11"/>
      <c r="L2" s="11"/>
    </row>
    <row r="3" spans="1:12" ht="13">
      <c r="A3" s="34"/>
      <c r="H3" s="37"/>
      <c r="I3" s="38"/>
      <c r="J3" s="39"/>
      <c r="K3" s="40"/>
    </row>
    <row r="4" spans="1:12" ht="13">
      <c r="A4" s="62" t="s">
        <v>23</v>
      </c>
      <c r="B4" s="63"/>
      <c r="C4" s="63"/>
      <c r="D4" s="63"/>
      <c r="E4" s="63"/>
      <c r="F4" s="64"/>
      <c r="G4" s="63"/>
      <c r="H4" s="63"/>
      <c r="I4" s="63"/>
      <c r="J4" s="63"/>
      <c r="K4" s="63"/>
      <c r="L4" s="63"/>
    </row>
    <row r="5" spans="1:12" ht="26">
      <c r="A5" s="41" t="s">
        <v>2</v>
      </c>
      <c r="B5" s="41" t="s">
        <v>3</v>
      </c>
      <c r="C5" s="41" t="s">
        <v>24</v>
      </c>
      <c r="D5" s="41" t="s">
        <v>25</v>
      </c>
      <c r="E5" s="41" t="s">
        <v>26</v>
      </c>
      <c r="F5" s="42" t="s">
        <v>27</v>
      </c>
      <c r="G5" s="41" t="s">
        <v>28</v>
      </c>
      <c r="H5" s="41" t="s">
        <v>29</v>
      </c>
      <c r="I5" s="41" t="s">
        <v>30</v>
      </c>
      <c r="J5" s="43" t="s">
        <v>31</v>
      </c>
      <c r="K5" s="41" t="s">
        <v>7</v>
      </c>
      <c r="L5" s="41" t="s">
        <v>32</v>
      </c>
    </row>
    <row r="6" spans="1:12" s="47" customFormat="1" ht="19.899999999999999" customHeight="1">
      <c r="A6" s="44">
        <v>42461</v>
      </c>
      <c r="B6" s="45"/>
      <c r="C6" s="45" t="s">
        <v>33</v>
      </c>
      <c r="D6" s="65">
        <v>48.0379</v>
      </c>
      <c r="E6" s="65">
        <v>48583.942000000003</v>
      </c>
      <c r="F6" s="66">
        <v>7.6645000000000003</v>
      </c>
      <c r="G6" s="67">
        <f>F6*E6+0.01</f>
        <v>372371.63345900003</v>
      </c>
      <c r="H6" s="68">
        <v>1200</v>
      </c>
      <c r="I6" s="69">
        <f>372371.63*1200</f>
        <v>446845956</v>
      </c>
      <c r="J6" s="46" t="s">
        <v>34</v>
      </c>
      <c r="K6" s="70" t="s">
        <v>35</v>
      </c>
      <c r="L6" s="45" t="s">
        <v>36</v>
      </c>
    </row>
    <row r="7" spans="1:12" s="47" customFormat="1" ht="19.899999999999999" customHeight="1">
      <c r="A7" s="44">
        <v>42461</v>
      </c>
      <c r="B7" s="45"/>
      <c r="C7" s="45" t="s">
        <v>33</v>
      </c>
      <c r="D7" s="65">
        <v>728.59939999999995</v>
      </c>
      <c r="E7" s="65">
        <v>736881.31649999996</v>
      </c>
      <c r="F7" s="66">
        <v>7.6645000000000003</v>
      </c>
      <c r="G7" s="67">
        <f>F7*E7</f>
        <v>5647826.8503142502</v>
      </c>
      <c r="H7" s="68">
        <v>1200</v>
      </c>
      <c r="I7" s="69">
        <f>5647826.85*1200</f>
        <v>6777392220</v>
      </c>
      <c r="J7" s="46" t="s">
        <v>34</v>
      </c>
      <c r="K7" s="71" t="s">
        <v>37</v>
      </c>
      <c r="L7" s="45" t="s">
        <v>36</v>
      </c>
    </row>
    <row r="8" spans="1:12" s="47" customFormat="1" ht="19.899999999999999" customHeight="1">
      <c r="A8" s="44">
        <v>42461</v>
      </c>
      <c r="B8" s="45"/>
      <c r="C8" s="45" t="s">
        <v>33</v>
      </c>
      <c r="D8" s="72">
        <v>7.1999999999999998E-3</v>
      </c>
      <c r="E8" s="72">
        <v>7.2817999999999996</v>
      </c>
      <c r="F8" s="66">
        <v>6.9467999999999996</v>
      </c>
      <c r="G8" s="67">
        <f>F8*E8-0.01</f>
        <v>50.575208239999995</v>
      </c>
      <c r="H8" s="68">
        <v>1200</v>
      </c>
      <c r="I8" s="69">
        <f>50.58*1200</f>
        <v>60696</v>
      </c>
      <c r="J8" s="46" t="s">
        <v>34</v>
      </c>
      <c r="K8" s="70" t="s">
        <v>38</v>
      </c>
      <c r="L8" s="45" t="s">
        <v>36</v>
      </c>
    </row>
    <row r="9" spans="1:12" s="47" customFormat="1" ht="19.899999999999999" customHeight="1">
      <c r="A9" s="44">
        <v>42461</v>
      </c>
      <c r="B9" s="45"/>
      <c r="C9" s="45" t="s">
        <v>33</v>
      </c>
      <c r="D9" s="72">
        <v>0.28399999999999997</v>
      </c>
      <c r="E9" s="72">
        <v>287.22820000000002</v>
      </c>
      <c r="F9" s="66">
        <v>6.9467999999999996</v>
      </c>
      <c r="G9" s="67">
        <f t="shared" ref="G9:G11" si="0">F9*E9</f>
        <v>1995.3168597599999</v>
      </c>
      <c r="H9" s="68">
        <v>1200</v>
      </c>
      <c r="I9" s="69">
        <f>1995.32*1200</f>
        <v>2394384</v>
      </c>
      <c r="J9" s="46" t="s">
        <v>34</v>
      </c>
      <c r="K9" s="71" t="s">
        <v>39</v>
      </c>
      <c r="L9" s="45" t="s">
        <v>36</v>
      </c>
    </row>
    <row r="10" spans="1:12" s="47" customFormat="1" ht="19.899999999999999" customHeight="1">
      <c r="A10" s="44">
        <v>42461</v>
      </c>
      <c r="B10" s="45"/>
      <c r="C10" s="45" t="s">
        <v>33</v>
      </c>
      <c r="D10" s="72">
        <v>0.96179999999999999</v>
      </c>
      <c r="E10" s="72">
        <v>972.73270000000002</v>
      </c>
      <c r="F10" s="66">
        <v>6.9467999999999996</v>
      </c>
      <c r="G10" s="67">
        <f t="shared" si="0"/>
        <v>6757.3795203600002</v>
      </c>
      <c r="H10" s="68">
        <v>1200</v>
      </c>
      <c r="I10" s="69">
        <f>6757.38*1200</f>
        <v>8108856</v>
      </c>
      <c r="J10" s="46" t="s">
        <v>34</v>
      </c>
      <c r="K10" s="73" t="s">
        <v>40</v>
      </c>
      <c r="L10" s="45" t="s">
        <v>36</v>
      </c>
    </row>
    <row r="11" spans="1:12" s="47" customFormat="1" ht="19.899999999999999" customHeight="1">
      <c r="A11" s="44">
        <v>42461</v>
      </c>
      <c r="B11" s="45"/>
      <c r="C11" s="45" t="s">
        <v>33</v>
      </c>
      <c r="D11" s="72">
        <v>540.00099999999998</v>
      </c>
      <c r="E11" s="72">
        <v>546139.13740000001</v>
      </c>
      <c r="F11" s="66">
        <v>7.3571</v>
      </c>
      <c r="G11" s="69">
        <f t="shared" si="0"/>
        <v>4018000.2477655401</v>
      </c>
      <c r="H11" s="68">
        <v>1200</v>
      </c>
      <c r="I11" s="69">
        <f>4018000.25*1200</f>
        <v>4821600300</v>
      </c>
      <c r="J11" s="46" t="s">
        <v>34</v>
      </c>
      <c r="K11" s="73" t="s">
        <v>41</v>
      </c>
      <c r="L11" s="45" t="s">
        <v>36</v>
      </c>
    </row>
    <row r="12" spans="1:12" s="47" customFormat="1" ht="19.899999999999999" customHeight="1">
      <c r="A12" s="44">
        <v>42461</v>
      </c>
      <c r="B12" s="45"/>
      <c r="C12" s="45" t="s">
        <v>33</v>
      </c>
      <c r="D12" s="72">
        <v>594.70759999999996</v>
      </c>
      <c r="E12" s="72">
        <v>601467.58180000004</v>
      </c>
      <c r="F12" s="66">
        <v>6.2123999999999997</v>
      </c>
      <c r="G12" s="69">
        <f>F12*E12-0.01</f>
        <v>3736557.1951743201</v>
      </c>
      <c r="H12" s="68">
        <v>1200</v>
      </c>
      <c r="I12" s="69">
        <f>3736557.2*1200</f>
        <v>4483868640</v>
      </c>
      <c r="J12" s="46" t="s">
        <v>34</v>
      </c>
      <c r="K12" s="70" t="s">
        <v>42</v>
      </c>
      <c r="L12" s="45" t="s">
        <v>36</v>
      </c>
    </row>
    <row r="13" spans="1:12" s="47" customFormat="1" ht="19.899999999999999" customHeight="1">
      <c r="A13" s="45"/>
      <c r="B13" s="45"/>
      <c r="C13" s="45"/>
      <c r="D13" s="45"/>
      <c r="E13" s="45"/>
      <c r="F13" s="48"/>
      <c r="G13" s="45"/>
      <c r="H13" s="45"/>
      <c r="I13" s="45"/>
      <c r="J13" s="46"/>
      <c r="K13" s="45"/>
      <c r="L13" s="45"/>
    </row>
    <row r="14" spans="1:12" s="47" customFormat="1" ht="19.899999999999999" customHeight="1">
      <c r="A14" s="44">
        <v>42491</v>
      </c>
      <c r="B14" s="45"/>
      <c r="C14" s="45" t="s">
        <v>33</v>
      </c>
      <c r="D14" s="65">
        <v>47.034100000000002</v>
      </c>
      <c r="E14" s="65">
        <v>47567.161</v>
      </c>
      <c r="F14" s="66">
        <v>7.6645000000000003</v>
      </c>
      <c r="G14" s="67">
        <f>F14*E14-0.01</f>
        <v>364578.49548450002</v>
      </c>
      <c r="H14" s="68">
        <v>1200</v>
      </c>
      <c r="I14" s="69">
        <f>364578.5*1200</f>
        <v>437494200</v>
      </c>
      <c r="J14" s="46" t="s">
        <v>34</v>
      </c>
      <c r="K14" s="70" t="s">
        <v>35</v>
      </c>
      <c r="L14" s="45" t="s">
        <v>36</v>
      </c>
    </row>
    <row r="15" spans="1:12" s="47" customFormat="1" ht="19.899999999999999" customHeight="1">
      <c r="A15" s="44">
        <v>42491</v>
      </c>
      <c r="B15" s="45"/>
      <c r="C15" s="45" t="s">
        <v>33</v>
      </c>
      <c r="D15" s="65">
        <v>766.03539999999998</v>
      </c>
      <c r="E15" s="65">
        <v>774717.2622</v>
      </c>
      <c r="F15" s="66">
        <v>7.6645000000000003</v>
      </c>
      <c r="G15" s="67">
        <f>F15*E15-0.01</f>
        <v>5937820.4461319009</v>
      </c>
      <c r="H15" s="68">
        <v>1200</v>
      </c>
      <c r="I15" s="69">
        <f>5937820.45*1200</f>
        <v>7125384540</v>
      </c>
      <c r="J15" s="46" t="s">
        <v>34</v>
      </c>
      <c r="K15" s="71" t="s">
        <v>37</v>
      </c>
      <c r="L15" s="45" t="s">
        <v>36</v>
      </c>
    </row>
    <row r="16" spans="1:12" s="47" customFormat="1" ht="19.899999999999999" customHeight="1">
      <c r="A16" s="44">
        <v>42491</v>
      </c>
      <c r="B16" s="45"/>
      <c r="C16" s="45" t="s">
        <v>33</v>
      </c>
      <c r="D16" s="72">
        <v>7.7999999999999996E-3</v>
      </c>
      <c r="E16" s="72">
        <v>7.8883999999999999</v>
      </c>
      <c r="F16" s="66">
        <v>6.9467999999999996</v>
      </c>
      <c r="G16" s="67">
        <f t="shared" ref="G16:G20" si="1">F16*E16</f>
        <v>54.799137119999997</v>
      </c>
      <c r="H16" s="68">
        <v>1200</v>
      </c>
      <c r="I16" s="69">
        <f>54.8*1200</f>
        <v>65760</v>
      </c>
      <c r="J16" s="46" t="s">
        <v>34</v>
      </c>
      <c r="K16" s="70" t="s">
        <v>38</v>
      </c>
      <c r="L16" s="45" t="s">
        <v>36</v>
      </c>
    </row>
    <row r="17" spans="1:12" s="47" customFormat="1" ht="19.899999999999999" customHeight="1">
      <c r="A17" s="44">
        <v>42491</v>
      </c>
      <c r="B17" s="45"/>
      <c r="C17" s="45" t="s">
        <v>33</v>
      </c>
      <c r="D17" s="72">
        <v>1.0331999999999999</v>
      </c>
      <c r="E17" s="72">
        <v>1044.9097999999999</v>
      </c>
      <c r="F17" s="66">
        <v>6.9467999999999996</v>
      </c>
      <c r="G17" s="67">
        <f t="shared" si="1"/>
        <v>7258.7793986399993</v>
      </c>
      <c r="H17" s="68">
        <v>1200</v>
      </c>
      <c r="I17" s="69">
        <f>7258.78*1200</f>
        <v>8710536</v>
      </c>
      <c r="J17" s="46" t="s">
        <v>34</v>
      </c>
      <c r="K17" s="71" t="s">
        <v>39</v>
      </c>
      <c r="L17" s="45" t="s">
        <v>36</v>
      </c>
    </row>
    <row r="18" spans="1:12" s="47" customFormat="1" ht="19.899999999999999" customHeight="1">
      <c r="A18" s="44">
        <v>42491</v>
      </c>
      <c r="B18" s="45"/>
      <c r="C18" s="45" t="s">
        <v>33</v>
      </c>
      <c r="D18" s="72">
        <v>950.28959999999995</v>
      </c>
      <c r="E18" s="72">
        <v>961059.70719999995</v>
      </c>
      <c r="F18" s="66">
        <v>7.3571</v>
      </c>
      <c r="G18" s="69">
        <f>F18*E18+0.01</f>
        <v>7070612.3818411194</v>
      </c>
      <c r="H18" s="68">
        <v>1200</v>
      </c>
      <c r="I18" s="69">
        <f>7070612.38*1200</f>
        <v>8484734856</v>
      </c>
      <c r="J18" s="46" t="s">
        <v>34</v>
      </c>
      <c r="K18" s="73" t="s">
        <v>43</v>
      </c>
      <c r="L18" s="45" t="s">
        <v>36</v>
      </c>
    </row>
    <row r="19" spans="1:12" s="47" customFormat="1" ht="19.899999999999999" customHeight="1">
      <c r="A19" s="44">
        <v>42491</v>
      </c>
      <c r="B19" s="45"/>
      <c r="C19" s="45" t="s">
        <v>33</v>
      </c>
      <c r="D19" s="72">
        <v>2.64E-2</v>
      </c>
      <c r="E19" s="72">
        <v>26.699200000000001</v>
      </c>
      <c r="F19" s="66">
        <v>7.3571</v>
      </c>
      <c r="G19" s="69">
        <f t="shared" si="1"/>
        <v>196.42868432</v>
      </c>
      <c r="H19" s="68">
        <v>1200</v>
      </c>
      <c r="I19" s="69">
        <f>196.43*1200</f>
        <v>235716</v>
      </c>
      <c r="J19" s="46" t="s">
        <v>34</v>
      </c>
      <c r="K19" s="73" t="s">
        <v>44</v>
      </c>
      <c r="L19" s="45" t="s">
        <v>36</v>
      </c>
    </row>
    <row r="20" spans="1:12" s="47" customFormat="1" ht="19.899999999999999" customHeight="1">
      <c r="A20" s="44">
        <v>42491</v>
      </c>
      <c r="B20" s="45"/>
      <c r="C20" s="45" t="s">
        <v>33</v>
      </c>
      <c r="D20" s="72">
        <v>626.24689999999998</v>
      </c>
      <c r="E20" s="72">
        <v>633344.46920000005</v>
      </c>
      <c r="F20" s="66">
        <v>6.2123999999999997</v>
      </c>
      <c r="G20" s="69">
        <f t="shared" si="1"/>
        <v>3934589.18045808</v>
      </c>
      <c r="H20" s="68">
        <v>1200</v>
      </c>
      <c r="I20" s="69">
        <f>3934589.18*1200</f>
        <v>4721507016</v>
      </c>
      <c r="J20" s="46" t="s">
        <v>34</v>
      </c>
      <c r="K20" s="70" t="s">
        <v>42</v>
      </c>
      <c r="L20" s="45" t="s">
        <v>36</v>
      </c>
    </row>
    <row r="21" spans="1:12" s="47" customFormat="1" ht="19.899999999999999" customHeight="1">
      <c r="A21" s="45"/>
      <c r="B21" s="45"/>
      <c r="C21" s="45"/>
      <c r="D21" s="45"/>
      <c r="E21" s="45"/>
      <c r="F21" s="48"/>
      <c r="G21" s="45"/>
      <c r="H21" s="45"/>
      <c r="I21" s="45"/>
      <c r="J21" s="46"/>
      <c r="K21" s="45"/>
      <c r="L21" s="45"/>
    </row>
    <row r="22" spans="1:12" s="47" customFormat="1" ht="19.899999999999999" customHeight="1">
      <c r="A22" s="44">
        <v>42522</v>
      </c>
      <c r="B22" s="45"/>
      <c r="C22" s="45" t="s">
        <v>33</v>
      </c>
      <c r="D22" s="65">
        <v>48.887</v>
      </c>
      <c r="E22" s="65">
        <v>49435.741900000001</v>
      </c>
      <c r="F22" s="66">
        <v>7.6645000000000003</v>
      </c>
      <c r="G22" s="67">
        <f>F22*E22+0.01</f>
        <v>378900.25379255001</v>
      </c>
      <c r="H22" s="68">
        <v>1200</v>
      </c>
      <c r="I22" s="69">
        <f>378900.25*1200</f>
        <v>454680300</v>
      </c>
      <c r="J22" s="46" t="s">
        <v>34</v>
      </c>
      <c r="K22" s="70" t="s">
        <v>35</v>
      </c>
      <c r="L22" s="45" t="s">
        <v>36</v>
      </c>
    </row>
    <row r="23" spans="1:12" s="47" customFormat="1" ht="19.899999999999999" customHeight="1">
      <c r="A23" s="44">
        <v>42522</v>
      </c>
      <c r="B23" s="45"/>
      <c r="C23" s="45" t="s">
        <v>33</v>
      </c>
      <c r="D23" s="65">
        <v>759.57849999999996</v>
      </c>
      <c r="E23" s="65">
        <v>768104.54079999996</v>
      </c>
      <c r="F23" s="66">
        <v>7.6645000000000003</v>
      </c>
      <c r="G23" s="67">
        <f>F23*E23</f>
        <v>5887137.2529616002</v>
      </c>
      <c r="H23" s="68">
        <v>1200</v>
      </c>
      <c r="I23" s="69">
        <f>5887137.25*1200</f>
        <v>7064564700</v>
      </c>
      <c r="J23" s="46" t="s">
        <v>34</v>
      </c>
      <c r="K23" s="71" t="s">
        <v>37</v>
      </c>
      <c r="L23" s="45" t="s">
        <v>36</v>
      </c>
    </row>
    <row r="24" spans="1:12" s="47" customFormat="1" ht="19.899999999999999" customHeight="1">
      <c r="A24" s="44">
        <v>42522</v>
      </c>
      <c r="B24" s="45"/>
      <c r="C24" s="45" t="s">
        <v>33</v>
      </c>
      <c r="D24" s="72">
        <v>6.6E-3</v>
      </c>
      <c r="E24" s="72">
        <v>6.6741000000000001</v>
      </c>
      <c r="F24" s="66">
        <v>6.9467999999999996</v>
      </c>
      <c r="G24" s="67">
        <f t="shared" ref="G24:G27" si="2">F24*E24</f>
        <v>46.363637879999999</v>
      </c>
      <c r="H24" s="68">
        <v>1200</v>
      </c>
      <c r="I24" s="69">
        <f>46.36*1200</f>
        <v>55632</v>
      </c>
      <c r="J24" s="46" t="s">
        <v>34</v>
      </c>
      <c r="K24" s="70" t="s">
        <v>38</v>
      </c>
      <c r="L24" s="45" t="s">
        <v>36</v>
      </c>
    </row>
    <row r="25" spans="1:12" s="47" customFormat="1" ht="19.899999999999999" customHeight="1">
      <c r="A25" s="44">
        <v>42522</v>
      </c>
      <c r="B25" s="45"/>
      <c r="C25" s="45" t="s">
        <v>33</v>
      </c>
      <c r="D25" s="72">
        <v>1.3504</v>
      </c>
      <c r="E25" s="72">
        <v>1365.5578</v>
      </c>
      <c r="F25" s="66">
        <v>6.9467999999999996</v>
      </c>
      <c r="G25" s="67">
        <f>F25*E25-0.01</f>
        <v>9486.246925039999</v>
      </c>
      <c r="H25" s="68">
        <v>1200</v>
      </c>
      <c r="I25" s="69">
        <f>9486.25*1200</f>
        <v>11383500</v>
      </c>
      <c r="J25" s="46" t="s">
        <v>34</v>
      </c>
      <c r="K25" s="71" t="s">
        <v>39</v>
      </c>
      <c r="L25" s="45" t="s">
        <v>36</v>
      </c>
    </row>
    <row r="26" spans="1:12" s="47" customFormat="1" ht="19.899999999999999" customHeight="1">
      <c r="A26" s="44">
        <v>42522</v>
      </c>
      <c r="B26" s="45"/>
      <c r="C26" s="45" t="s">
        <v>33</v>
      </c>
      <c r="D26" s="72">
        <v>1197.9893999999999</v>
      </c>
      <c r="E26" s="72">
        <v>1211436.4716</v>
      </c>
      <c r="F26" s="66">
        <v>7.3571</v>
      </c>
      <c r="G26" s="67">
        <f t="shared" si="2"/>
        <v>8912659.2652083598</v>
      </c>
      <c r="H26" s="68">
        <v>1200</v>
      </c>
      <c r="I26" s="69">
        <f>8912659.27*1200</f>
        <v>10695191124</v>
      </c>
      <c r="J26" s="46" t="s">
        <v>34</v>
      </c>
      <c r="K26" s="73" t="s">
        <v>43</v>
      </c>
      <c r="L26" s="45" t="s">
        <v>36</v>
      </c>
    </row>
    <row r="27" spans="1:12" s="47" customFormat="1" ht="19.899999999999999" customHeight="1">
      <c r="A27" s="44">
        <v>42522</v>
      </c>
      <c r="B27" s="45"/>
      <c r="C27" s="45" t="s">
        <v>33</v>
      </c>
      <c r="D27" s="72">
        <v>1.7404999999999999</v>
      </c>
      <c r="E27" s="72">
        <v>1760.0365999999999</v>
      </c>
      <c r="F27" s="66">
        <v>7.3571</v>
      </c>
      <c r="G27" s="67">
        <f t="shared" si="2"/>
        <v>12948.76526986</v>
      </c>
      <c r="H27" s="68">
        <v>1200</v>
      </c>
      <c r="I27" s="69">
        <f>12948.77*1200</f>
        <v>15538524</v>
      </c>
      <c r="J27" s="46" t="s">
        <v>34</v>
      </c>
      <c r="K27" s="73" t="s">
        <v>44</v>
      </c>
      <c r="L27" s="45" t="s">
        <v>36</v>
      </c>
    </row>
    <row r="28" spans="1:12" s="47" customFormat="1" ht="19.899999999999999" customHeight="1">
      <c r="A28" s="44">
        <v>42522</v>
      </c>
      <c r="B28" s="45"/>
      <c r="C28" s="45" t="s">
        <v>33</v>
      </c>
      <c r="D28" s="72">
        <v>593.53200000000004</v>
      </c>
      <c r="E28" s="72">
        <v>600194.21860000002</v>
      </c>
      <c r="F28" s="66">
        <v>6.2123999999999997</v>
      </c>
      <c r="G28" s="69">
        <f>F28*E28+0.01</f>
        <v>3728646.5736306398</v>
      </c>
      <c r="H28" s="68">
        <v>1200</v>
      </c>
      <c r="I28" s="69">
        <f>3728646.57*1200</f>
        <v>4474375884</v>
      </c>
      <c r="J28" s="46" t="s">
        <v>34</v>
      </c>
      <c r="K28" s="70" t="s">
        <v>42</v>
      </c>
      <c r="L28" s="45" t="s">
        <v>36</v>
      </c>
    </row>
    <row r="29" spans="1:12" s="47" customFormat="1" ht="19.899999999999999" customHeight="1">
      <c r="A29" s="45"/>
      <c r="B29" s="45"/>
      <c r="C29" s="45"/>
      <c r="D29" s="45"/>
      <c r="E29" s="45"/>
      <c r="F29" s="48"/>
      <c r="G29" s="45"/>
      <c r="H29" s="45"/>
      <c r="I29" s="45"/>
      <c r="J29" s="46"/>
      <c r="K29" s="45"/>
      <c r="L29" s="45"/>
    </row>
    <row r="30" spans="1:12" s="47" customFormat="1" ht="19.899999999999999" customHeight="1">
      <c r="A30" s="44">
        <v>42552</v>
      </c>
      <c r="B30" s="45"/>
      <c r="C30" s="45" t="s">
        <v>33</v>
      </c>
      <c r="D30" s="65">
        <v>48.695399999999999</v>
      </c>
      <c r="E30" s="65">
        <v>49237.910600000003</v>
      </c>
      <c r="F30" s="66">
        <v>7.4015000000000004</v>
      </c>
      <c r="G30" s="67">
        <f>F30*E30</f>
        <v>364434.39530590002</v>
      </c>
      <c r="H30" s="68">
        <v>1200</v>
      </c>
      <c r="I30" s="69">
        <f>364434.4*1200</f>
        <v>437321280</v>
      </c>
      <c r="J30" s="46" t="s">
        <v>34</v>
      </c>
      <c r="K30" s="70" t="s">
        <v>35</v>
      </c>
      <c r="L30" s="45" t="s">
        <v>36</v>
      </c>
    </row>
    <row r="31" spans="1:12" s="47" customFormat="1" ht="19.899999999999999" customHeight="1">
      <c r="A31" s="44">
        <v>42552</v>
      </c>
      <c r="B31" s="45"/>
      <c r="C31" s="45" t="s">
        <v>33</v>
      </c>
      <c r="D31" s="65">
        <v>431.54939999999999</v>
      </c>
      <c r="E31" s="65">
        <v>436357.2487</v>
      </c>
      <c r="F31" s="66">
        <v>7.4015000000000004</v>
      </c>
      <c r="G31" s="67">
        <f t="shared" ref="G31:G34" si="3">F31*E31</f>
        <v>3229698.1762530501</v>
      </c>
      <c r="H31" s="68">
        <v>1200</v>
      </c>
      <c r="I31" s="69">
        <f>3229698.18*1200</f>
        <v>3875637816</v>
      </c>
      <c r="J31" s="46" t="s">
        <v>34</v>
      </c>
      <c r="K31" s="71" t="s">
        <v>37</v>
      </c>
      <c r="L31" s="45" t="s">
        <v>36</v>
      </c>
    </row>
    <row r="32" spans="1:12" s="47" customFormat="1" ht="19.899999999999999" customHeight="1">
      <c r="A32" s="44">
        <v>42552</v>
      </c>
      <c r="B32" s="45"/>
      <c r="C32" s="45" t="s">
        <v>33</v>
      </c>
      <c r="D32" s="72">
        <v>7.0000000000000001E-3</v>
      </c>
      <c r="E32" s="72">
        <v>7.0780000000000003</v>
      </c>
      <c r="F32" s="66">
        <v>6.6837999999999997</v>
      </c>
      <c r="G32" s="67">
        <f t="shared" si="3"/>
        <v>47.307936400000003</v>
      </c>
      <c r="H32" s="68">
        <v>1200</v>
      </c>
      <c r="I32" s="69">
        <f>47.31*1200</f>
        <v>56772</v>
      </c>
      <c r="J32" s="46" t="s">
        <v>34</v>
      </c>
      <c r="K32" s="70" t="s">
        <v>38</v>
      </c>
      <c r="L32" s="45" t="s">
        <v>36</v>
      </c>
    </row>
    <row r="33" spans="1:12" s="47" customFormat="1" ht="19.899999999999999" customHeight="1">
      <c r="A33" s="44">
        <v>42552</v>
      </c>
      <c r="B33" s="45"/>
      <c r="C33" s="45" t="s">
        <v>33</v>
      </c>
      <c r="D33" s="72">
        <v>1.0401</v>
      </c>
      <c r="E33" s="72">
        <v>1051.6876999999999</v>
      </c>
      <c r="F33" s="66">
        <v>6.6837999999999997</v>
      </c>
      <c r="G33" s="67">
        <f t="shared" si="3"/>
        <v>7029.2702492599992</v>
      </c>
      <c r="H33" s="68">
        <v>1200</v>
      </c>
      <c r="I33" s="69">
        <f>7029.27*1200</f>
        <v>8435124</v>
      </c>
      <c r="J33" s="46" t="s">
        <v>34</v>
      </c>
      <c r="K33" s="71" t="s">
        <v>39</v>
      </c>
      <c r="L33" s="45" t="s">
        <v>36</v>
      </c>
    </row>
    <row r="34" spans="1:12" s="47" customFormat="1" ht="19.899999999999999" customHeight="1">
      <c r="A34" s="44">
        <v>42552</v>
      </c>
      <c r="B34" s="45"/>
      <c r="C34" s="45" t="s">
        <v>33</v>
      </c>
      <c r="D34" s="72">
        <v>1454.9709</v>
      </c>
      <c r="E34" s="72">
        <v>1471180.5852999999</v>
      </c>
      <c r="F34" s="66">
        <v>7.0941000000000001</v>
      </c>
      <c r="G34" s="67">
        <f t="shared" si="3"/>
        <v>10436702.190176729</v>
      </c>
      <c r="H34" s="68">
        <v>1200</v>
      </c>
      <c r="I34" s="69">
        <f>10436702.19*1200</f>
        <v>12524042628</v>
      </c>
      <c r="J34" s="46" t="s">
        <v>34</v>
      </c>
      <c r="K34" s="73" t="s">
        <v>43</v>
      </c>
      <c r="L34" s="45" t="s">
        <v>36</v>
      </c>
    </row>
    <row r="35" spans="1:12" s="47" customFormat="1" ht="19.899999999999999" customHeight="1">
      <c r="A35" s="44">
        <v>42552</v>
      </c>
      <c r="B35" s="45"/>
      <c r="C35" s="45" t="s">
        <v>33</v>
      </c>
      <c r="D35" s="72">
        <v>1.7844</v>
      </c>
      <c r="E35" s="72">
        <v>1804.2798</v>
      </c>
      <c r="F35" s="66">
        <v>7.0941000000000001</v>
      </c>
      <c r="G35" s="67">
        <f>F35*E35+0.01</f>
        <v>12799.751329180001</v>
      </c>
      <c r="H35" s="68">
        <v>1200</v>
      </c>
      <c r="I35" s="69">
        <f>12799.75*1200</f>
        <v>15359700</v>
      </c>
      <c r="J35" s="46" t="s">
        <v>34</v>
      </c>
      <c r="K35" s="73" t="s">
        <v>44</v>
      </c>
      <c r="L35" s="45" t="s">
        <v>36</v>
      </c>
    </row>
    <row r="36" spans="1:12" s="47" customFormat="1" ht="19.899999999999999" customHeight="1">
      <c r="A36" s="44">
        <v>42552</v>
      </c>
      <c r="B36" s="45"/>
      <c r="C36" s="45" t="s">
        <v>33</v>
      </c>
      <c r="D36" s="72">
        <v>322.87979999999999</v>
      </c>
      <c r="E36" s="72">
        <v>326476.97159999999</v>
      </c>
      <c r="F36" s="66">
        <v>5.9493999999999998</v>
      </c>
      <c r="G36" s="67">
        <f>F36*E36+0.01</f>
        <v>1942342.10483704</v>
      </c>
      <c r="H36" s="68">
        <v>1200</v>
      </c>
      <c r="I36" s="69">
        <f>1942342.1*1200</f>
        <v>2330810520</v>
      </c>
      <c r="J36" s="46" t="s">
        <v>34</v>
      </c>
      <c r="K36" s="70" t="s">
        <v>42</v>
      </c>
      <c r="L36" s="45" t="s">
        <v>36</v>
      </c>
    </row>
    <row r="37" spans="1:12" s="47" customFormat="1" ht="19.899999999999999" customHeight="1">
      <c r="A37" s="45"/>
      <c r="B37" s="45"/>
      <c r="C37" s="45"/>
      <c r="D37" s="45"/>
      <c r="E37" s="45"/>
      <c r="F37" s="48"/>
      <c r="G37" s="45"/>
      <c r="H37" s="45"/>
      <c r="I37" s="45"/>
      <c r="J37" s="46"/>
      <c r="K37" s="45"/>
      <c r="L37" s="45"/>
    </row>
    <row r="38" spans="1:12" s="47" customFormat="1" ht="19.899999999999999" customHeight="1">
      <c r="A38" s="44">
        <v>42583</v>
      </c>
      <c r="B38" s="45"/>
      <c r="C38" s="45" t="s">
        <v>33</v>
      </c>
      <c r="D38" s="65">
        <v>52.756799999999998</v>
      </c>
      <c r="E38" s="65">
        <v>53345.9035</v>
      </c>
      <c r="F38" s="66">
        <v>7.4015000000000004</v>
      </c>
      <c r="G38" s="67">
        <f>F38*E38</f>
        <v>394839.70475525002</v>
      </c>
      <c r="H38" s="68">
        <v>1200</v>
      </c>
      <c r="I38" s="69">
        <f>394839.7*1200</f>
        <v>473807640</v>
      </c>
      <c r="J38" s="46" t="s">
        <v>34</v>
      </c>
      <c r="K38" s="70" t="s">
        <v>35</v>
      </c>
      <c r="L38" s="45" t="s">
        <v>36</v>
      </c>
    </row>
    <row r="39" spans="1:12" s="47" customFormat="1" ht="19.899999999999999" customHeight="1">
      <c r="A39" s="44">
        <v>42583</v>
      </c>
      <c r="B39" s="45"/>
      <c r="C39" s="45" t="s">
        <v>33</v>
      </c>
      <c r="D39" s="65">
        <v>390.39710000000002</v>
      </c>
      <c r="E39" s="65">
        <v>394756.4302</v>
      </c>
      <c r="F39" s="66">
        <v>7.4015000000000004</v>
      </c>
      <c r="G39" s="67">
        <f t="shared" ref="G39:G45" si="4">F39*E39</f>
        <v>2921789.7181253</v>
      </c>
      <c r="H39" s="68">
        <v>1200</v>
      </c>
      <c r="I39" s="69">
        <f>2921789.72*1200</f>
        <v>3506147664.0000005</v>
      </c>
      <c r="J39" s="46" t="s">
        <v>34</v>
      </c>
      <c r="K39" s="71" t="s">
        <v>37</v>
      </c>
      <c r="L39" s="45" t="s">
        <v>36</v>
      </c>
    </row>
    <row r="40" spans="1:12" s="47" customFormat="1" ht="19.899999999999999" customHeight="1">
      <c r="A40" s="44">
        <v>42583</v>
      </c>
      <c r="B40" s="45"/>
      <c r="C40" s="45" t="s">
        <v>33</v>
      </c>
      <c r="D40" s="72">
        <v>7.1000000000000004E-3</v>
      </c>
      <c r="E40" s="72">
        <v>7.1792999999999996</v>
      </c>
      <c r="F40" s="66">
        <v>6.6837999999999997</v>
      </c>
      <c r="G40" s="67">
        <f>F40*E40-0.01</f>
        <v>47.975005339999996</v>
      </c>
      <c r="H40" s="68">
        <v>1200</v>
      </c>
      <c r="I40" s="69">
        <f>47.98*1200</f>
        <v>57575.999999999993</v>
      </c>
      <c r="J40" s="46" t="s">
        <v>34</v>
      </c>
      <c r="K40" s="70" t="s">
        <v>38</v>
      </c>
      <c r="L40" s="45" t="s">
        <v>36</v>
      </c>
    </row>
    <row r="41" spans="1:12" s="47" customFormat="1" ht="19.899999999999999" customHeight="1">
      <c r="A41" s="44">
        <v>42583</v>
      </c>
      <c r="B41" s="45"/>
      <c r="C41" s="45" t="s">
        <v>33</v>
      </c>
      <c r="D41" s="72">
        <v>1.5593999999999999</v>
      </c>
      <c r="E41" s="72">
        <v>1576.8128999999999</v>
      </c>
      <c r="F41" s="66">
        <v>6.6837999999999997</v>
      </c>
      <c r="G41" s="67">
        <f t="shared" si="4"/>
        <v>10539.102061019999</v>
      </c>
      <c r="H41" s="68">
        <v>1200</v>
      </c>
      <c r="I41" s="69">
        <f>10539.1*1200</f>
        <v>12646920</v>
      </c>
      <c r="J41" s="46" t="s">
        <v>34</v>
      </c>
      <c r="K41" s="71" t="s">
        <v>39</v>
      </c>
      <c r="L41" s="45" t="s">
        <v>36</v>
      </c>
    </row>
    <row r="42" spans="1:12" s="47" customFormat="1" ht="19.899999999999999" customHeight="1">
      <c r="A42" s="44">
        <v>42583</v>
      </c>
      <c r="B42" s="45"/>
      <c r="C42" s="45" t="s">
        <v>33</v>
      </c>
      <c r="D42" s="72">
        <v>2.1652999999999998</v>
      </c>
      <c r="E42" s="72">
        <v>2189.4785999999999</v>
      </c>
      <c r="F42" s="66">
        <v>6.6837999999999997</v>
      </c>
      <c r="G42" s="67">
        <f t="shared" si="4"/>
        <v>14634.037066679999</v>
      </c>
      <c r="H42" s="68">
        <v>1200</v>
      </c>
      <c r="I42" s="69">
        <f>14634.04*1200</f>
        <v>17560848</v>
      </c>
      <c r="J42" s="46" t="s">
        <v>34</v>
      </c>
      <c r="K42" s="71" t="s">
        <v>45</v>
      </c>
      <c r="L42" s="45" t="s">
        <v>36</v>
      </c>
    </row>
    <row r="43" spans="1:12" s="47" customFormat="1" ht="20.149999999999999" customHeight="1">
      <c r="A43" s="44">
        <v>42583</v>
      </c>
      <c r="B43" s="45"/>
      <c r="C43" s="45" t="s">
        <v>33</v>
      </c>
      <c r="D43" s="72">
        <v>1293.0427999999999</v>
      </c>
      <c r="E43" s="72">
        <v>1307481.4331</v>
      </c>
      <c r="F43" s="66">
        <v>7.0941000000000001</v>
      </c>
      <c r="G43" s="67">
        <f t="shared" si="4"/>
        <v>9275404.0345547106</v>
      </c>
      <c r="H43" s="68">
        <v>1200</v>
      </c>
      <c r="I43" s="69">
        <f>9275404.03*1200</f>
        <v>11130484836</v>
      </c>
      <c r="J43" s="46" t="s">
        <v>34</v>
      </c>
      <c r="K43" s="73" t="s">
        <v>43</v>
      </c>
      <c r="L43" s="45" t="s">
        <v>36</v>
      </c>
    </row>
    <row r="44" spans="1:12" s="47" customFormat="1" ht="19.899999999999999" customHeight="1">
      <c r="A44" s="44">
        <v>42583</v>
      </c>
      <c r="B44" s="45"/>
      <c r="C44" s="45" t="s">
        <v>33</v>
      </c>
      <c r="D44" s="72">
        <v>5.1877000000000004</v>
      </c>
      <c r="E44" s="72">
        <v>5245.6279000000004</v>
      </c>
      <c r="F44" s="66">
        <v>7.0941000000000001</v>
      </c>
      <c r="G44" s="67">
        <f t="shared" si="4"/>
        <v>37213.008885390002</v>
      </c>
      <c r="H44" s="68">
        <v>1200</v>
      </c>
      <c r="I44" s="69">
        <f>37213.01*1200</f>
        <v>44655612</v>
      </c>
      <c r="J44" s="46" t="s">
        <v>34</v>
      </c>
      <c r="K44" s="73" t="s">
        <v>44</v>
      </c>
      <c r="L44" s="45" t="s">
        <v>36</v>
      </c>
    </row>
    <row r="45" spans="1:12" s="47" customFormat="1" ht="19.899999999999999" customHeight="1">
      <c r="A45" s="44">
        <v>42583</v>
      </c>
      <c r="B45" s="45"/>
      <c r="C45" s="45" t="s">
        <v>33</v>
      </c>
      <c r="D45" s="72">
        <v>322.33609999999999</v>
      </c>
      <c r="E45" s="72">
        <v>325935.4338</v>
      </c>
      <c r="F45" s="66">
        <v>5.9493999999999998</v>
      </c>
      <c r="G45" s="67">
        <f t="shared" si="4"/>
        <v>1939120.2698497199</v>
      </c>
      <c r="H45" s="68">
        <v>1200</v>
      </c>
      <c r="I45" s="69">
        <f>1939120.27*1200</f>
        <v>2326944324</v>
      </c>
      <c r="J45" s="46" t="s">
        <v>34</v>
      </c>
      <c r="K45" s="70" t="s">
        <v>42</v>
      </c>
      <c r="L45" s="45" t="s">
        <v>36</v>
      </c>
    </row>
    <row r="46" spans="1:12" s="47" customFormat="1" ht="19.899999999999999" customHeight="1">
      <c r="A46" s="45"/>
      <c r="B46" s="45"/>
      <c r="C46" s="45"/>
      <c r="D46" s="45"/>
      <c r="E46" s="45"/>
      <c r="F46" s="48"/>
      <c r="G46" s="45"/>
      <c r="H46" s="45"/>
      <c r="I46" s="45"/>
      <c r="J46" s="46"/>
      <c r="K46" s="45"/>
      <c r="L46" s="45"/>
    </row>
    <row r="47" spans="1:12" s="47" customFormat="1" ht="19.899999999999999" customHeight="1">
      <c r="A47" s="44">
        <v>42614</v>
      </c>
      <c r="B47" s="45"/>
      <c r="C47" s="45" t="s">
        <v>33</v>
      </c>
      <c r="D47" s="65">
        <v>51.7607</v>
      </c>
      <c r="E47" s="65">
        <v>52337.935299999997</v>
      </c>
      <c r="F47" s="66">
        <v>7.4015000000000004</v>
      </c>
      <c r="G47" s="67">
        <f>F47*E47</f>
        <v>387379.22812295001</v>
      </c>
      <c r="H47" s="68">
        <v>1200</v>
      </c>
      <c r="I47" s="69">
        <f>387379.23*1200</f>
        <v>464855076</v>
      </c>
      <c r="J47" s="46" t="s">
        <v>34</v>
      </c>
      <c r="K47" s="70" t="s">
        <v>35</v>
      </c>
      <c r="L47" s="45" t="s">
        <v>36</v>
      </c>
    </row>
    <row r="48" spans="1:12" s="47" customFormat="1" ht="19.899999999999999" customHeight="1">
      <c r="A48" s="44">
        <v>42614</v>
      </c>
      <c r="B48" s="45"/>
      <c r="C48" s="45" t="s">
        <v>33</v>
      </c>
      <c r="D48" s="65">
        <v>374.92259999999999</v>
      </c>
      <c r="E48" s="65">
        <v>379103.73680000001</v>
      </c>
      <c r="F48" s="66">
        <v>7.4015000000000004</v>
      </c>
      <c r="G48" s="67">
        <f t="shared" ref="G48:G53" si="5">F48*E48</f>
        <v>2805936.3079252001</v>
      </c>
      <c r="H48" s="68">
        <v>1200</v>
      </c>
      <c r="I48" s="69">
        <f>2805936.31*1200</f>
        <v>3367123572</v>
      </c>
      <c r="J48" s="46" t="s">
        <v>34</v>
      </c>
      <c r="K48" s="71" t="s">
        <v>37</v>
      </c>
      <c r="L48" s="45" t="s">
        <v>36</v>
      </c>
    </row>
    <row r="49" spans="1:12" s="47" customFormat="1" ht="19.899999999999999" customHeight="1">
      <c r="A49" s="44">
        <v>42614</v>
      </c>
      <c r="B49" s="45"/>
      <c r="C49" s="45" t="s">
        <v>33</v>
      </c>
      <c r="D49" s="72">
        <v>6.8999999999999999E-3</v>
      </c>
      <c r="E49" s="72">
        <v>6.9768999999999997</v>
      </c>
      <c r="F49" s="66">
        <v>6.6837999999999997</v>
      </c>
      <c r="G49" s="67">
        <f t="shared" si="5"/>
        <v>46.632204219999998</v>
      </c>
      <c r="H49" s="68">
        <v>1200</v>
      </c>
      <c r="I49" s="69">
        <f>46.63*1200</f>
        <v>55956</v>
      </c>
      <c r="J49" s="46" t="s">
        <v>34</v>
      </c>
      <c r="K49" s="70" t="s">
        <v>38</v>
      </c>
      <c r="L49" s="45" t="s">
        <v>36</v>
      </c>
    </row>
    <row r="50" spans="1:12" s="47" customFormat="1" ht="19.899999999999999" customHeight="1">
      <c r="A50" s="44">
        <v>42614</v>
      </c>
      <c r="B50" s="45"/>
      <c r="C50" s="45" t="s">
        <v>33</v>
      </c>
      <c r="D50" s="72">
        <v>1.6013999999999999</v>
      </c>
      <c r="E50" s="72">
        <v>1619.2588000000001</v>
      </c>
      <c r="F50" s="66">
        <v>6.6837999999999997</v>
      </c>
      <c r="G50" s="67">
        <f t="shared" si="5"/>
        <v>10822.80196744</v>
      </c>
      <c r="H50" s="68">
        <v>1200</v>
      </c>
      <c r="I50" s="69">
        <f>10822.8*1200</f>
        <v>12987360</v>
      </c>
      <c r="J50" s="46" t="s">
        <v>34</v>
      </c>
      <c r="K50" s="71" t="s">
        <v>39</v>
      </c>
      <c r="L50" s="45" t="s">
        <v>36</v>
      </c>
    </row>
    <row r="51" spans="1:12" s="47" customFormat="1" ht="19.899999999999999" customHeight="1">
      <c r="A51" s="44">
        <v>42614</v>
      </c>
      <c r="B51" s="45"/>
      <c r="C51" s="45" t="s">
        <v>33</v>
      </c>
      <c r="D51" s="72">
        <v>1303.2873999999999</v>
      </c>
      <c r="E51" s="72">
        <v>1317821.6610999999</v>
      </c>
      <c r="F51" s="66">
        <v>7.0941000000000001</v>
      </c>
      <c r="G51" s="67">
        <f>F51*E51-0.01</f>
        <v>9348758.6360095106</v>
      </c>
      <c r="H51" s="68">
        <v>1200</v>
      </c>
      <c r="I51" s="69">
        <f>9348758.64*1200</f>
        <v>11218510368</v>
      </c>
      <c r="J51" s="46" t="s">
        <v>34</v>
      </c>
      <c r="K51" s="73" t="s">
        <v>43</v>
      </c>
      <c r="L51" s="45" t="s">
        <v>36</v>
      </c>
    </row>
    <row r="52" spans="1:12" s="47" customFormat="1" ht="19.899999999999999" customHeight="1">
      <c r="A52" s="44">
        <v>42614</v>
      </c>
      <c r="B52" s="45"/>
      <c r="C52" s="45" t="s">
        <v>33</v>
      </c>
      <c r="D52" s="72">
        <v>8.0228999999999999</v>
      </c>
      <c r="E52" s="72">
        <v>8112.3714</v>
      </c>
      <c r="F52" s="66">
        <v>7.0941000000000001</v>
      </c>
      <c r="G52" s="67">
        <f t="shared" si="5"/>
        <v>57549.97394874</v>
      </c>
      <c r="H52" s="68">
        <v>1200</v>
      </c>
      <c r="I52" s="69">
        <f>57549.97*1200</f>
        <v>69059964</v>
      </c>
      <c r="J52" s="46" t="s">
        <v>34</v>
      </c>
      <c r="K52" s="73" t="s">
        <v>44</v>
      </c>
      <c r="L52" s="45" t="s">
        <v>36</v>
      </c>
    </row>
    <row r="53" spans="1:12" s="47" customFormat="1" ht="19.899999999999999" customHeight="1">
      <c r="A53" s="44">
        <v>42614</v>
      </c>
      <c r="B53" s="45"/>
      <c r="C53" s="45" t="s">
        <v>33</v>
      </c>
      <c r="D53" s="72">
        <v>312.03230000000002</v>
      </c>
      <c r="E53" s="72">
        <v>315512.08419999998</v>
      </c>
      <c r="F53" s="66">
        <v>5.9493999999999998</v>
      </c>
      <c r="G53" s="67">
        <f t="shared" si="5"/>
        <v>1877107.5937394798</v>
      </c>
      <c r="H53" s="68">
        <v>1200</v>
      </c>
      <c r="I53" s="69">
        <f>1877107.59*1200</f>
        <v>2252529108</v>
      </c>
      <c r="J53" s="46" t="s">
        <v>34</v>
      </c>
      <c r="K53" s="70" t="s">
        <v>46</v>
      </c>
      <c r="L53" s="45" t="s">
        <v>36</v>
      </c>
    </row>
    <row r="54" spans="1:12" s="47" customFormat="1" ht="19.899999999999999" customHeight="1">
      <c r="A54" s="45"/>
      <c r="B54" s="45"/>
      <c r="C54" s="45"/>
      <c r="D54" s="45"/>
      <c r="E54" s="45"/>
      <c r="F54" s="48"/>
      <c r="G54" s="45"/>
      <c r="H54" s="45"/>
      <c r="I54" s="45"/>
      <c r="J54" s="46"/>
      <c r="K54" s="45"/>
      <c r="L54" s="45"/>
    </row>
    <row r="55" spans="1:12" s="47" customFormat="1" ht="19.899999999999999" customHeight="1">
      <c r="A55" s="44">
        <v>42644</v>
      </c>
      <c r="B55" s="45"/>
      <c r="C55" s="45" t="s">
        <v>33</v>
      </c>
      <c r="D55" s="65">
        <v>50.433599999999998</v>
      </c>
      <c r="E55" s="65">
        <v>50998.476499999997</v>
      </c>
      <c r="F55" s="66">
        <v>7.3727</v>
      </c>
      <c r="G55" s="67">
        <f>F55*E55</f>
        <v>375996.46769154997</v>
      </c>
      <c r="H55" s="68">
        <v>1215</v>
      </c>
      <c r="I55" s="68">
        <f>375996.47*1215</f>
        <v>456835711.04999995</v>
      </c>
      <c r="J55" s="46" t="s">
        <v>34</v>
      </c>
      <c r="K55" s="70" t="s">
        <v>35</v>
      </c>
      <c r="L55" s="45" t="s">
        <v>36</v>
      </c>
    </row>
    <row r="56" spans="1:12" s="47" customFormat="1" ht="19.899999999999999" customHeight="1">
      <c r="A56" s="44">
        <v>42644</v>
      </c>
      <c r="B56" s="45"/>
      <c r="C56" s="45" t="s">
        <v>33</v>
      </c>
      <c r="D56" s="65">
        <v>388.93630000000002</v>
      </c>
      <c r="E56" s="65">
        <v>393292.54210000002</v>
      </c>
      <c r="F56" s="66">
        <v>7.3727</v>
      </c>
      <c r="G56" s="67">
        <f>F56*E56</f>
        <v>2899627.92514067</v>
      </c>
      <c r="H56" s="68">
        <v>1215</v>
      </c>
      <c r="I56" s="69">
        <f>2899627.93*1215</f>
        <v>3523047934.9500003</v>
      </c>
      <c r="J56" s="46" t="s">
        <v>34</v>
      </c>
      <c r="K56" s="71" t="s">
        <v>37</v>
      </c>
      <c r="L56" s="45" t="s">
        <v>36</v>
      </c>
    </row>
    <row r="57" spans="1:12" s="47" customFormat="1" ht="19.899999999999999" customHeight="1">
      <c r="A57" s="44">
        <v>42644</v>
      </c>
      <c r="B57" s="45"/>
      <c r="C57" s="45" t="s">
        <v>33</v>
      </c>
      <c r="D57" s="72">
        <v>7.7999999999999996E-3</v>
      </c>
      <c r="E57" s="72">
        <v>7.8874000000000004</v>
      </c>
      <c r="F57" s="66">
        <v>6.6550000000000002</v>
      </c>
      <c r="G57" s="67">
        <f t="shared" ref="G57" si="6">F57*E57</f>
        <v>52.490647000000003</v>
      </c>
      <c r="H57" s="68">
        <v>1215</v>
      </c>
      <c r="I57" s="69">
        <f>52.49*1215</f>
        <v>63775.350000000006</v>
      </c>
      <c r="J57" s="46" t="s">
        <v>34</v>
      </c>
      <c r="K57" s="70" t="s">
        <v>38</v>
      </c>
      <c r="L57" s="45" t="s">
        <v>36</v>
      </c>
    </row>
    <row r="58" spans="1:12" s="47" customFormat="1" ht="19.899999999999999" customHeight="1">
      <c r="A58" s="44">
        <v>42644</v>
      </c>
      <c r="B58" s="45"/>
      <c r="C58" s="45" t="s">
        <v>33</v>
      </c>
      <c r="D58" s="72">
        <v>1.4763999999999999</v>
      </c>
      <c r="E58" s="72">
        <v>1492.9363000000001</v>
      </c>
      <c r="F58" s="66">
        <v>6.6550000000000002</v>
      </c>
      <c r="G58" s="67">
        <f>F58*E58+0.01</f>
        <v>9935.5010765000006</v>
      </c>
      <c r="H58" s="68">
        <v>1215</v>
      </c>
      <c r="I58" s="69">
        <f>9935.5*1215</f>
        <v>12071632.5</v>
      </c>
      <c r="J58" s="46" t="s">
        <v>34</v>
      </c>
      <c r="K58" s="71" t="s">
        <v>39</v>
      </c>
      <c r="L58" s="45" t="s">
        <v>36</v>
      </c>
    </row>
    <row r="59" spans="1:12" s="47" customFormat="1" ht="19.899999999999999" customHeight="1">
      <c r="A59" s="44">
        <v>42644</v>
      </c>
      <c r="B59" s="45"/>
      <c r="C59" s="45" t="s">
        <v>33</v>
      </c>
      <c r="D59" s="72">
        <v>1327.5856000000001</v>
      </c>
      <c r="E59" s="72">
        <v>1342455.0898</v>
      </c>
      <c r="F59" s="66">
        <v>7.0652999999999997</v>
      </c>
      <c r="G59" s="69">
        <f>F59*E59</f>
        <v>9484847.9459639397</v>
      </c>
      <c r="H59" s="68">
        <v>1215</v>
      </c>
      <c r="I59" s="69">
        <f>9484847.95*1215</f>
        <v>11524090259.25</v>
      </c>
      <c r="J59" s="46" t="s">
        <v>34</v>
      </c>
      <c r="K59" s="73" t="s">
        <v>43</v>
      </c>
      <c r="L59" s="45" t="s">
        <v>36</v>
      </c>
    </row>
    <row r="60" spans="1:12" s="47" customFormat="1" ht="19.899999999999999" customHeight="1">
      <c r="A60" s="44">
        <v>42644</v>
      </c>
      <c r="B60" s="45"/>
      <c r="C60" s="45" t="s">
        <v>33</v>
      </c>
      <c r="D60" s="72">
        <v>7.4024000000000001</v>
      </c>
      <c r="E60" s="72">
        <v>7485.3098</v>
      </c>
      <c r="F60" s="66">
        <v>7.0652999999999997</v>
      </c>
      <c r="G60" s="69">
        <f>F60*E60</f>
        <v>52885.95932994</v>
      </c>
      <c r="H60" s="68">
        <v>1215</v>
      </c>
      <c r="I60" s="69">
        <f>52885.96*1215</f>
        <v>64256441.399999999</v>
      </c>
      <c r="J60" s="46" t="s">
        <v>34</v>
      </c>
      <c r="K60" s="73" t="s">
        <v>44</v>
      </c>
      <c r="L60" s="45" t="s">
        <v>36</v>
      </c>
    </row>
    <row r="61" spans="1:12" s="47" customFormat="1" ht="19.899999999999999" customHeight="1">
      <c r="A61" s="44">
        <v>42644</v>
      </c>
      <c r="B61" s="45"/>
      <c r="C61" s="45" t="s">
        <v>33</v>
      </c>
      <c r="D61" s="72">
        <v>317.88959999999997</v>
      </c>
      <c r="E61" s="72">
        <v>321450.0907</v>
      </c>
      <c r="F61" s="66">
        <v>5.9206000000000003</v>
      </c>
      <c r="G61" s="69">
        <f>F61*E61</f>
        <v>1903177.4069984201</v>
      </c>
      <c r="H61" s="68">
        <v>1215</v>
      </c>
      <c r="I61" s="69">
        <f>1903177.41*1215</f>
        <v>2312360553.1500001</v>
      </c>
      <c r="J61" s="46" t="s">
        <v>34</v>
      </c>
      <c r="K61" s="70" t="s">
        <v>46</v>
      </c>
      <c r="L61" s="45" t="s">
        <v>36</v>
      </c>
    </row>
    <row r="62" spans="1:12" s="47" customFormat="1" ht="19.899999999999999" customHeight="1">
      <c r="A62" s="45"/>
      <c r="B62" s="45"/>
      <c r="C62" s="45"/>
      <c r="D62" s="45"/>
      <c r="E62" s="45"/>
      <c r="F62" s="48"/>
      <c r="G62" s="45"/>
      <c r="H62" s="45"/>
      <c r="I62" s="45"/>
      <c r="J62" s="46"/>
      <c r="K62" s="45"/>
      <c r="L62" s="45"/>
    </row>
    <row r="63" spans="1:12" s="47" customFormat="1" ht="19.899999999999999" customHeight="1">
      <c r="A63" s="44">
        <v>42675</v>
      </c>
      <c r="B63" s="45"/>
      <c r="C63" s="45" t="s">
        <v>33</v>
      </c>
      <c r="D63" s="65">
        <v>50.160499999999999</v>
      </c>
      <c r="E63" s="65">
        <v>50729.866800000003</v>
      </c>
      <c r="F63" s="66">
        <v>7.3727</v>
      </c>
      <c r="G63" s="67">
        <f>F63*E63</f>
        <v>374016.08895636001</v>
      </c>
      <c r="H63" s="68">
        <v>1215</v>
      </c>
      <c r="I63" s="69">
        <f>374016.09*1215</f>
        <v>454429549.35000002</v>
      </c>
      <c r="J63" s="46" t="s">
        <v>34</v>
      </c>
      <c r="K63" s="70" t="s">
        <v>35</v>
      </c>
      <c r="L63" s="45" t="s">
        <v>36</v>
      </c>
    </row>
    <row r="64" spans="1:12" s="47" customFormat="1" ht="19.899999999999999" customHeight="1">
      <c r="A64" s="44">
        <v>42675</v>
      </c>
      <c r="B64" s="45"/>
      <c r="C64" s="45" t="s">
        <v>33</v>
      </c>
      <c r="D64" s="65">
        <v>375.95</v>
      </c>
      <c r="E64" s="65">
        <v>380217.37089999998</v>
      </c>
      <c r="F64" s="66">
        <v>7.3727</v>
      </c>
      <c r="G64" s="67">
        <f>F64*E64</f>
        <v>2803228.6104344297</v>
      </c>
      <c r="H64" s="68">
        <v>1215</v>
      </c>
      <c r="I64" s="69">
        <f>2803228.61*1215</f>
        <v>3405922761.1499996</v>
      </c>
      <c r="J64" s="46" t="s">
        <v>34</v>
      </c>
      <c r="K64" s="71" t="s">
        <v>37</v>
      </c>
      <c r="L64" s="45" t="s">
        <v>36</v>
      </c>
    </row>
    <row r="65" spans="1:12" s="47" customFormat="1" ht="19.899999999999999" customHeight="1">
      <c r="A65" s="44">
        <v>42675</v>
      </c>
      <c r="B65" s="45"/>
      <c r="C65" s="45" t="s">
        <v>33</v>
      </c>
      <c r="D65" s="72">
        <v>6.7000000000000002E-3</v>
      </c>
      <c r="E65" s="72">
        <v>6.7760999999999996</v>
      </c>
      <c r="F65" s="66">
        <v>6.6550000000000002</v>
      </c>
      <c r="G65" s="67">
        <f t="shared" ref="G65" si="7">F65*E65</f>
        <v>45.094945500000001</v>
      </c>
      <c r="H65" s="68">
        <v>1215</v>
      </c>
      <c r="I65" s="69">
        <f>45.09*1215</f>
        <v>54784.350000000006</v>
      </c>
      <c r="J65" s="46" t="s">
        <v>34</v>
      </c>
      <c r="K65" s="70" t="s">
        <v>38</v>
      </c>
      <c r="L65" s="45" t="s">
        <v>36</v>
      </c>
    </row>
    <row r="66" spans="1:12" s="47" customFormat="1" ht="19.899999999999999" customHeight="1">
      <c r="A66" s="44">
        <v>42675</v>
      </c>
      <c r="B66" s="45"/>
      <c r="C66" s="45" t="s">
        <v>33</v>
      </c>
      <c r="D66" s="72">
        <v>1.8998999999999999</v>
      </c>
      <c r="E66" s="72">
        <v>1921.4656</v>
      </c>
      <c r="F66" s="66">
        <v>6.6550000000000002</v>
      </c>
      <c r="G66" s="67">
        <f>F66*E66+0.01</f>
        <v>12787.363568000001</v>
      </c>
      <c r="H66" s="68">
        <v>1215</v>
      </c>
      <c r="I66" s="69">
        <f>12787.36*1215</f>
        <v>15536642.4</v>
      </c>
      <c r="J66" s="46" t="s">
        <v>34</v>
      </c>
      <c r="K66" s="71" t="s">
        <v>39</v>
      </c>
      <c r="L66" s="45" t="s">
        <v>36</v>
      </c>
    </row>
    <row r="67" spans="1:12" s="47" customFormat="1" ht="19.899999999999999" customHeight="1">
      <c r="A67" s="44">
        <v>42675</v>
      </c>
      <c r="B67" s="45"/>
      <c r="C67" s="45" t="s">
        <v>33</v>
      </c>
      <c r="D67" s="72">
        <v>4.3769999999999998</v>
      </c>
      <c r="E67" s="72">
        <v>4426.6828999999998</v>
      </c>
      <c r="F67" s="66">
        <v>6.6550000000000002</v>
      </c>
      <c r="G67" s="67">
        <f>F67*E67+0.01</f>
        <v>29459.584699499999</v>
      </c>
      <c r="H67" s="68">
        <v>1215</v>
      </c>
      <c r="I67" s="69">
        <f>29459.58*1215</f>
        <v>35793389.700000003</v>
      </c>
      <c r="J67" s="46" t="s">
        <v>34</v>
      </c>
      <c r="K67" s="73" t="s">
        <v>47</v>
      </c>
      <c r="L67" s="45" t="s">
        <v>36</v>
      </c>
    </row>
    <row r="68" spans="1:12" s="35" customFormat="1" ht="30" customHeight="1">
      <c r="A68" s="44">
        <v>42675</v>
      </c>
      <c r="B68" s="49"/>
      <c r="C68" s="45" t="s">
        <v>33</v>
      </c>
      <c r="D68" s="72">
        <v>1268.8339000000001</v>
      </c>
      <c r="E68" s="72">
        <v>1283236.3067000001</v>
      </c>
      <c r="F68" s="66">
        <v>7.0652999999999997</v>
      </c>
      <c r="G68" s="69">
        <f>F68*E68</f>
        <v>9066449.47772751</v>
      </c>
      <c r="H68" s="68">
        <v>1215</v>
      </c>
      <c r="I68" s="69">
        <f>9066449.48*1215</f>
        <v>11015736118.200001</v>
      </c>
      <c r="J68" s="46" t="s">
        <v>34</v>
      </c>
      <c r="K68" s="73" t="s">
        <v>43</v>
      </c>
      <c r="L68" s="45" t="s">
        <v>36</v>
      </c>
    </row>
    <row r="69" spans="1:12" ht="30" customHeight="1">
      <c r="A69" s="44">
        <v>42675</v>
      </c>
      <c r="B69" s="49"/>
      <c r="C69" s="45" t="s">
        <v>33</v>
      </c>
      <c r="D69" s="72">
        <v>1.2021999999999999</v>
      </c>
      <c r="E69" s="72">
        <v>1215.8461</v>
      </c>
      <c r="F69" s="66">
        <v>7.0652999999999997</v>
      </c>
      <c r="G69" s="69">
        <f>F69*E69</f>
        <v>8590.3174503299997</v>
      </c>
      <c r="H69" s="68">
        <v>1215</v>
      </c>
      <c r="I69" s="69">
        <f>8590.32*1215</f>
        <v>10437238.799999999</v>
      </c>
      <c r="J69" s="46" t="s">
        <v>34</v>
      </c>
      <c r="K69" s="73" t="s">
        <v>48</v>
      </c>
      <c r="L69" s="45" t="s">
        <v>36</v>
      </c>
    </row>
    <row r="70" spans="1:12" ht="30" customHeight="1">
      <c r="A70" s="44">
        <v>42675</v>
      </c>
      <c r="B70" s="50"/>
      <c r="C70" s="45" t="s">
        <v>33</v>
      </c>
      <c r="D70" s="72">
        <v>309.22730000000001</v>
      </c>
      <c r="E70" s="72">
        <v>312737.30820000003</v>
      </c>
      <c r="F70" s="66">
        <v>5.9206000000000003</v>
      </c>
      <c r="G70" s="69">
        <f>F70*E70</f>
        <v>1851592.5069289203</v>
      </c>
      <c r="H70" s="68">
        <v>1215</v>
      </c>
      <c r="I70" s="69">
        <f>1851592.51*1215</f>
        <v>2249684899.6500001</v>
      </c>
      <c r="J70" s="46" t="s">
        <v>34</v>
      </c>
      <c r="K70" s="70" t="s">
        <v>46</v>
      </c>
      <c r="L70" s="45" t="s">
        <v>36</v>
      </c>
    </row>
    <row r="71" spans="1:12" ht="30" customHeight="1">
      <c r="A71" s="44"/>
      <c r="B71" s="50"/>
      <c r="C71" s="45"/>
      <c r="D71" s="72"/>
      <c r="E71" s="72"/>
      <c r="F71" s="66"/>
      <c r="G71" s="69"/>
      <c r="H71" s="68"/>
      <c r="I71" s="69"/>
      <c r="J71" s="46"/>
      <c r="K71" s="70"/>
      <c r="L71" s="45"/>
    </row>
    <row r="72" spans="1:12" ht="20.149999999999999" customHeight="1">
      <c r="A72" s="44">
        <v>42705</v>
      </c>
      <c r="B72" s="50"/>
      <c r="C72" s="45" t="s">
        <v>33</v>
      </c>
      <c r="D72" s="65">
        <v>50.935299999999998</v>
      </c>
      <c r="E72" s="65">
        <v>51504.786200000002</v>
      </c>
      <c r="F72" s="66">
        <v>7.3727</v>
      </c>
      <c r="G72" s="67">
        <f>F72*E72-0.01</f>
        <v>379729.32721674</v>
      </c>
      <c r="H72" s="68">
        <v>1215</v>
      </c>
      <c r="I72" s="69">
        <f>379729.33*1215</f>
        <v>461371135.95000005</v>
      </c>
      <c r="J72" s="46" t="s">
        <v>34</v>
      </c>
      <c r="K72" s="70" t="s">
        <v>35</v>
      </c>
      <c r="L72" s="45" t="s">
        <v>36</v>
      </c>
    </row>
    <row r="73" spans="1:12" ht="20.149999999999999" customHeight="1">
      <c r="A73" s="44">
        <v>42705</v>
      </c>
      <c r="B73" s="50"/>
      <c r="C73" s="45" t="s">
        <v>33</v>
      </c>
      <c r="D73" s="65">
        <v>767.94510000000002</v>
      </c>
      <c r="E73" s="65">
        <v>776531.1716</v>
      </c>
      <c r="F73" s="66">
        <v>7.3727</v>
      </c>
      <c r="G73" s="67">
        <f>F73*E73</f>
        <v>5725131.3688553199</v>
      </c>
      <c r="H73" s="68">
        <v>1215</v>
      </c>
      <c r="I73" s="69">
        <f>5725131.37*1215</f>
        <v>6956034614.5500002</v>
      </c>
      <c r="J73" s="46" t="s">
        <v>34</v>
      </c>
      <c r="K73" s="71" t="s">
        <v>37</v>
      </c>
      <c r="L73" s="45" t="s">
        <v>36</v>
      </c>
    </row>
    <row r="74" spans="1:12" ht="20.149999999999999" customHeight="1">
      <c r="A74" s="44">
        <v>42705</v>
      </c>
      <c r="B74" s="50"/>
      <c r="C74" s="45" t="s">
        <v>33</v>
      </c>
      <c r="D74" s="72">
        <v>7.0000000000000001E-3</v>
      </c>
      <c r="E74" s="72">
        <v>7.0782999999999996</v>
      </c>
      <c r="F74" s="66">
        <v>6.6550000000000002</v>
      </c>
      <c r="G74" s="67">
        <f t="shared" ref="G74" si="8">F74*E74</f>
        <v>47.106086499999996</v>
      </c>
      <c r="H74" s="68">
        <v>1215</v>
      </c>
      <c r="I74" s="69">
        <f>47.11*1215</f>
        <v>57238.65</v>
      </c>
      <c r="J74" s="46" t="s">
        <v>34</v>
      </c>
      <c r="K74" s="70" t="s">
        <v>38</v>
      </c>
      <c r="L74" s="45" t="s">
        <v>36</v>
      </c>
    </row>
    <row r="75" spans="1:12" ht="20.149999999999999" customHeight="1">
      <c r="A75" s="44">
        <v>42705</v>
      </c>
      <c r="B75" s="50"/>
      <c r="C75" s="45" t="s">
        <v>33</v>
      </c>
      <c r="D75" s="72">
        <v>2.0095999999999998</v>
      </c>
      <c r="E75" s="72">
        <v>2032.0685000000001</v>
      </c>
      <c r="F75" s="66">
        <v>6.6550000000000002</v>
      </c>
      <c r="G75" s="67">
        <f>F75*E75</f>
        <v>13523.415867500002</v>
      </c>
      <c r="H75" s="68">
        <v>1215</v>
      </c>
      <c r="I75" s="69">
        <f>13523.42*1215</f>
        <v>16430955.300000001</v>
      </c>
      <c r="J75" s="46" t="s">
        <v>34</v>
      </c>
      <c r="K75" s="71" t="s">
        <v>49</v>
      </c>
      <c r="L75" s="45" t="s">
        <v>36</v>
      </c>
    </row>
    <row r="76" spans="1:12" ht="20.149999999999999" customHeight="1">
      <c r="A76" s="44">
        <v>42705</v>
      </c>
      <c r="B76" s="50"/>
      <c r="C76" s="45" t="s">
        <v>33</v>
      </c>
      <c r="D76" s="72">
        <v>14.902799999999999</v>
      </c>
      <c r="E76" s="72">
        <v>15069.421899999999</v>
      </c>
      <c r="F76" s="66">
        <v>6.6550000000000002</v>
      </c>
      <c r="G76" s="67">
        <f t="shared" ref="G76" si="9">F76*E76</f>
        <v>100287.0027445</v>
      </c>
      <c r="H76" s="68">
        <v>1215</v>
      </c>
      <c r="I76" s="69">
        <f>100287*1215</f>
        <v>121848705</v>
      </c>
      <c r="J76" s="46" t="s">
        <v>34</v>
      </c>
      <c r="K76" s="73" t="s">
        <v>47</v>
      </c>
      <c r="L76" s="45" t="s">
        <v>36</v>
      </c>
    </row>
    <row r="77" spans="1:12" ht="20.149999999999999" customHeight="1">
      <c r="A77" s="44">
        <v>42705</v>
      </c>
      <c r="B77" s="50"/>
      <c r="C77" s="45" t="s">
        <v>33</v>
      </c>
      <c r="D77" s="72">
        <v>1622.7761</v>
      </c>
      <c r="E77" s="72">
        <v>1640919.6780000001</v>
      </c>
      <c r="F77" s="66">
        <v>7.0652999999999997</v>
      </c>
      <c r="G77" s="69">
        <f>F77*E77</f>
        <v>11593589.8009734</v>
      </c>
      <c r="H77" s="68">
        <v>1215</v>
      </c>
      <c r="I77" s="69">
        <f>11593589.8*1215</f>
        <v>14086211607</v>
      </c>
      <c r="J77" s="46" t="s">
        <v>34</v>
      </c>
      <c r="K77" s="73" t="s">
        <v>43</v>
      </c>
      <c r="L77" s="45" t="s">
        <v>36</v>
      </c>
    </row>
    <row r="78" spans="1:12" ht="20.149999999999999" customHeight="1">
      <c r="A78" s="44">
        <v>42705</v>
      </c>
      <c r="B78" s="50"/>
      <c r="C78" s="45" t="s">
        <v>33</v>
      </c>
      <c r="D78" s="72">
        <v>7.2389000000000001</v>
      </c>
      <c r="E78" s="72">
        <v>7319.8351000000002</v>
      </c>
      <c r="F78" s="66">
        <v>7.0652999999999997</v>
      </c>
      <c r="G78" s="69">
        <f>F78*E78</f>
        <v>51716.830932029996</v>
      </c>
      <c r="H78" s="68">
        <v>1215</v>
      </c>
      <c r="I78" s="69">
        <f>51716.83*1215</f>
        <v>62835948.450000003</v>
      </c>
      <c r="J78" s="46" t="s">
        <v>34</v>
      </c>
      <c r="K78" s="73" t="s">
        <v>44</v>
      </c>
      <c r="L78" s="45" t="s">
        <v>36</v>
      </c>
    </row>
    <row r="79" spans="1:12" ht="20.149999999999999" customHeight="1">
      <c r="A79" s="44">
        <v>42705</v>
      </c>
      <c r="B79" s="50"/>
      <c r="C79" s="45" t="s">
        <v>33</v>
      </c>
      <c r="D79" s="72">
        <v>623.41989999999998</v>
      </c>
      <c r="E79" s="72">
        <v>630390.09609999997</v>
      </c>
      <c r="F79" s="66">
        <v>5.9206000000000003</v>
      </c>
      <c r="G79" s="69">
        <f>F79*E79</f>
        <v>3732287.60296966</v>
      </c>
      <c r="H79" s="68">
        <v>1215</v>
      </c>
      <c r="I79" s="69">
        <f>3732287.6*1215</f>
        <v>4534729434</v>
      </c>
      <c r="J79" s="46" t="s">
        <v>34</v>
      </c>
      <c r="K79" s="70" t="s">
        <v>46</v>
      </c>
      <c r="L79" s="45" t="s">
        <v>36</v>
      </c>
    </row>
    <row r="80" spans="1:12" ht="20.149999999999999" customHeight="1">
      <c r="A80" s="44"/>
      <c r="B80" s="50"/>
      <c r="C80" s="45"/>
      <c r="D80" s="72"/>
      <c r="E80" s="72"/>
      <c r="F80" s="66"/>
      <c r="G80" s="69"/>
      <c r="H80" s="68"/>
      <c r="I80" s="69"/>
      <c r="J80" s="46"/>
      <c r="K80" s="70"/>
      <c r="L80" s="45"/>
    </row>
    <row r="81" spans="1:12" ht="20.149999999999999" customHeight="1">
      <c r="A81" s="44">
        <v>42736</v>
      </c>
      <c r="B81" s="50"/>
      <c r="C81" s="45" t="s">
        <v>33</v>
      </c>
      <c r="D81" s="65">
        <v>49.544800000000002</v>
      </c>
      <c r="E81" s="65">
        <v>50096.644800000002</v>
      </c>
      <c r="F81" s="66">
        <v>7.5128000000000004</v>
      </c>
      <c r="G81" s="67">
        <f>F81*E81</f>
        <v>376366.07305344002</v>
      </c>
      <c r="H81" s="68">
        <v>1215</v>
      </c>
      <c r="I81" s="69">
        <f>376366.07*1215</f>
        <v>457284775.05000001</v>
      </c>
      <c r="J81" s="46" t="s">
        <v>34</v>
      </c>
      <c r="K81" s="70" t="s">
        <v>35</v>
      </c>
      <c r="L81" s="45" t="s">
        <v>36</v>
      </c>
    </row>
    <row r="82" spans="1:12" ht="20.149999999999999" customHeight="1">
      <c r="A82" s="44">
        <v>42736</v>
      </c>
      <c r="B82" s="50"/>
      <c r="C82" s="45" t="s">
        <v>33</v>
      </c>
      <c r="D82" s="65">
        <v>767.1037</v>
      </c>
      <c r="E82" s="65">
        <v>775647.93110000005</v>
      </c>
      <c r="F82" s="66">
        <v>7.5128000000000004</v>
      </c>
      <c r="G82" s="67">
        <f>F82*E82-0.01</f>
        <v>5827287.7667680811</v>
      </c>
      <c r="H82" s="68">
        <v>1215</v>
      </c>
      <c r="I82" s="69">
        <f>5827287.77*1215</f>
        <v>7080154640.5499992</v>
      </c>
      <c r="J82" s="46" t="s">
        <v>34</v>
      </c>
      <c r="K82" s="71" t="s">
        <v>37</v>
      </c>
      <c r="L82" s="45" t="s">
        <v>36</v>
      </c>
    </row>
    <row r="83" spans="1:12" ht="20.149999999999999" customHeight="1">
      <c r="A83" s="44">
        <v>42736</v>
      </c>
      <c r="B83" s="50"/>
      <c r="C83" s="45" t="s">
        <v>33</v>
      </c>
      <c r="D83" s="74">
        <v>7.3000000000000001E-3</v>
      </c>
      <c r="E83" s="72">
        <v>7.3813000000000004</v>
      </c>
      <c r="F83" s="66">
        <v>6.7950999999999997</v>
      </c>
      <c r="G83" s="67">
        <f t="shared" ref="G83" si="10">F83*E83</f>
        <v>50.156671629999998</v>
      </c>
      <c r="H83" s="68">
        <v>1215</v>
      </c>
      <c r="I83" s="69">
        <f>50.16*1215</f>
        <v>60944.399999999994</v>
      </c>
      <c r="J83" s="46" t="s">
        <v>34</v>
      </c>
      <c r="K83" s="70" t="s">
        <v>38</v>
      </c>
      <c r="L83" s="45" t="s">
        <v>36</v>
      </c>
    </row>
    <row r="84" spans="1:12" ht="20.149999999999999" customHeight="1">
      <c r="A84" s="44">
        <v>42736</v>
      </c>
      <c r="B84" s="50"/>
      <c r="C84" s="45" t="s">
        <v>33</v>
      </c>
      <c r="D84" s="74">
        <v>1.6586000000000001</v>
      </c>
      <c r="E84" s="72">
        <v>1677.0740000000001</v>
      </c>
      <c r="F84" s="66">
        <v>6.7950999999999997</v>
      </c>
      <c r="G84" s="67">
        <f>F84*E84</f>
        <v>11395.8855374</v>
      </c>
      <c r="H84" s="68">
        <v>1215</v>
      </c>
      <c r="I84" s="69">
        <f>11395.89*1215</f>
        <v>13846006.35</v>
      </c>
      <c r="J84" s="46" t="s">
        <v>34</v>
      </c>
      <c r="K84" s="71" t="s">
        <v>39</v>
      </c>
      <c r="L84" s="45" t="s">
        <v>36</v>
      </c>
    </row>
    <row r="85" spans="1:12" ht="20.149999999999999" customHeight="1">
      <c r="A85" s="44">
        <v>42736</v>
      </c>
      <c r="B85" s="50"/>
      <c r="C85" s="45" t="s">
        <v>33</v>
      </c>
      <c r="D85" s="74">
        <v>9.7514000000000003</v>
      </c>
      <c r="E85" s="72">
        <v>9860.0139999999992</v>
      </c>
      <c r="F85" s="66">
        <v>6.7950999999999997</v>
      </c>
      <c r="G85" s="67">
        <f t="shared" ref="G85" si="11">F85*E85</f>
        <v>66999.781131399985</v>
      </c>
      <c r="H85" s="68">
        <v>1215</v>
      </c>
      <c r="I85" s="69">
        <f>66999.78*1215</f>
        <v>81404732.700000003</v>
      </c>
      <c r="J85" s="46" t="s">
        <v>34</v>
      </c>
      <c r="K85" s="73" t="s">
        <v>47</v>
      </c>
      <c r="L85" s="45" t="s">
        <v>36</v>
      </c>
    </row>
    <row r="86" spans="1:12" ht="20.149999999999999" customHeight="1">
      <c r="A86" s="44">
        <v>42736</v>
      </c>
      <c r="B86" s="50"/>
      <c r="C86" s="45" t="s">
        <v>33</v>
      </c>
      <c r="D86" s="74">
        <v>1592.2045000000001</v>
      </c>
      <c r="E86" s="72">
        <v>1609938.9513999999</v>
      </c>
      <c r="F86" s="66">
        <v>7.2054</v>
      </c>
      <c r="G86" s="69">
        <f>F86*E86</f>
        <v>11600254.12041756</v>
      </c>
      <c r="H86" s="68">
        <v>1215</v>
      </c>
      <c r="I86" s="69">
        <f>11600254.12*1215</f>
        <v>14094308755.799999</v>
      </c>
      <c r="J86" s="46" t="s">
        <v>34</v>
      </c>
      <c r="K86" s="73" t="s">
        <v>43</v>
      </c>
      <c r="L86" s="45" t="s">
        <v>36</v>
      </c>
    </row>
    <row r="87" spans="1:12" ht="20.149999999999999" customHeight="1">
      <c r="A87" s="44">
        <v>42736</v>
      </c>
      <c r="B87" s="50"/>
      <c r="C87" s="45" t="s">
        <v>33</v>
      </c>
      <c r="D87" s="74">
        <v>0.72919999999999996</v>
      </c>
      <c r="E87" s="72">
        <v>737.322</v>
      </c>
      <c r="F87" s="66">
        <v>7.2054</v>
      </c>
      <c r="G87" s="69">
        <f>F87*E87</f>
        <v>5312.6999388000004</v>
      </c>
      <c r="H87" s="68">
        <v>1215</v>
      </c>
      <c r="I87" s="69">
        <f>5312.7*1215</f>
        <v>6454930.5</v>
      </c>
      <c r="J87" s="46" t="s">
        <v>34</v>
      </c>
      <c r="K87" s="73" t="s">
        <v>44</v>
      </c>
      <c r="L87" s="45" t="s">
        <v>36</v>
      </c>
    </row>
    <row r="88" spans="1:12" ht="20.149999999999999" customHeight="1">
      <c r="A88" s="44">
        <v>42736</v>
      </c>
      <c r="B88" s="50"/>
      <c r="C88" s="45" t="s">
        <v>33</v>
      </c>
      <c r="D88" s="74">
        <v>626.81320000000005</v>
      </c>
      <c r="E88" s="72">
        <v>633794.83349999995</v>
      </c>
      <c r="F88" s="66">
        <v>6.0606999999999998</v>
      </c>
      <c r="G88" s="69">
        <f>F88*E88</f>
        <v>3841240.3473934494</v>
      </c>
      <c r="H88" s="68">
        <v>1215</v>
      </c>
      <c r="I88" s="69">
        <f>3841240.35*1215</f>
        <v>4667107025.25</v>
      </c>
      <c r="J88" s="46" t="s">
        <v>34</v>
      </c>
      <c r="K88" s="70" t="s">
        <v>46</v>
      </c>
      <c r="L88" s="45" t="s">
        <v>36</v>
      </c>
    </row>
    <row r="89" spans="1:12" ht="20.149999999999999" customHeight="1">
      <c r="A89" s="44"/>
      <c r="B89" s="50"/>
      <c r="C89" s="45"/>
      <c r="D89" s="72"/>
      <c r="E89" s="72"/>
      <c r="F89" s="66"/>
      <c r="G89" s="69"/>
      <c r="H89" s="68"/>
      <c r="I89" s="69"/>
      <c r="J89" s="46"/>
      <c r="K89" s="70"/>
      <c r="L89" s="45"/>
    </row>
    <row r="90" spans="1:12" ht="20.149999999999999" customHeight="1">
      <c r="A90" s="44">
        <v>42767</v>
      </c>
      <c r="B90" s="50"/>
      <c r="C90" s="45" t="s">
        <v>33</v>
      </c>
      <c r="D90" s="65">
        <v>45.829700000000003</v>
      </c>
      <c r="E90" s="65">
        <v>46341.7232</v>
      </c>
      <c r="F90" s="66">
        <v>7.5128000000000004</v>
      </c>
      <c r="G90" s="69">
        <f>F90*E90</f>
        <v>348156.09805696004</v>
      </c>
      <c r="H90" s="68">
        <v>1215</v>
      </c>
      <c r="I90" s="69">
        <f>348156.1*1215</f>
        <v>423009661.5</v>
      </c>
      <c r="J90" s="46" t="s">
        <v>34</v>
      </c>
      <c r="K90" s="70" t="s">
        <v>35</v>
      </c>
      <c r="L90" s="45" t="s">
        <v>36</v>
      </c>
    </row>
    <row r="91" spans="1:12" ht="20.149999999999999" customHeight="1">
      <c r="A91" s="44">
        <v>42767</v>
      </c>
      <c r="B91" s="50"/>
      <c r="C91" s="45" t="s">
        <v>33</v>
      </c>
      <c r="D91" s="65">
        <v>694.88189999999997</v>
      </c>
      <c r="E91" s="65">
        <v>702645.32909999997</v>
      </c>
      <c r="F91" s="66">
        <v>7.5128000000000004</v>
      </c>
      <c r="G91" s="69">
        <f>F91*E91-0.01</f>
        <v>5278833.8184624799</v>
      </c>
      <c r="H91" s="68">
        <v>1215</v>
      </c>
      <c r="I91" s="69">
        <f>5278833.82*1215</f>
        <v>6413783091.3000002</v>
      </c>
      <c r="J91" s="46" t="s">
        <v>34</v>
      </c>
      <c r="K91" s="71" t="s">
        <v>37</v>
      </c>
      <c r="L91" s="45" t="s">
        <v>36</v>
      </c>
    </row>
    <row r="92" spans="1:12" ht="20.149999999999999" customHeight="1">
      <c r="A92" s="44">
        <v>42767</v>
      </c>
      <c r="B92" s="50"/>
      <c r="C92" s="45" t="s">
        <v>33</v>
      </c>
      <c r="D92" s="72">
        <v>7.1999999999999998E-3</v>
      </c>
      <c r="E92" s="72">
        <v>7.2804000000000002</v>
      </c>
      <c r="F92" s="66">
        <v>6.7950999999999997</v>
      </c>
      <c r="G92" s="69">
        <f t="shared" ref="G92:G96" si="12">F92*E92</f>
        <v>49.471046039999997</v>
      </c>
      <c r="H92" s="68">
        <v>1215</v>
      </c>
      <c r="I92" s="69">
        <f>49.47*1215</f>
        <v>60106.049999999996</v>
      </c>
      <c r="J92" s="46" t="s">
        <v>34</v>
      </c>
      <c r="K92" s="70" t="s">
        <v>38</v>
      </c>
      <c r="L92" s="45" t="s">
        <v>36</v>
      </c>
    </row>
    <row r="93" spans="1:12" ht="20.149999999999999" customHeight="1">
      <c r="A93" s="44">
        <v>42767</v>
      </c>
      <c r="B93" s="50"/>
      <c r="C93" s="45" t="s">
        <v>33</v>
      </c>
      <c r="D93" s="72">
        <v>1.5397000000000001</v>
      </c>
      <c r="E93" s="72">
        <v>1556.902</v>
      </c>
      <c r="F93" s="66">
        <v>6.7950999999999997</v>
      </c>
      <c r="G93" s="69">
        <f t="shared" si="12"/>
        <v>10579.3047802</v>
      </c>
      <c r="H93" s="68">
        <v>1215</v>
      </c>
      <c r="I93" s="69">
        <f>10579.3*1215</f>
        <v>12853849.5</v>
      </c>
      <c r="J93" s="46" t="s">
        <v>34</v>
      </c>
      <c r="K93" s="71" t="s">
        <v>39</v>
      </c>
      <c r="L93" s="45" t="s">
        <v>36</v>
      </c>
    </row>
    <row r="94" spans="1:12" ht="20.149999999999999" customHeight="1">
      <c r="A94" s="44">
        <v>42767</v>
      </c>
      <c r="B94" s="50"/>
      <c r="C94" s="45" t="s">
        <v>33</v>
      </c>
      <c r="D94" s="72">
        <v>20.336200000000002</v>
      </c>
      <c r="E94" s="72">
        <v>20563.402099999999</v>
      </c>
      <c r="F94" s="66">
        <v>6.7950999999999997</v>
      </c>
      <c r="G94" s="69">
        <f t="shared" si="12"/>
        <v>139730.37360970999</v>
      </c>
      <c r="H94" s="68">
        <v>1215</v>
      </c>
      <c r="I94" s="69">
        <f>139730.37*1215</f>
        <v>169772399.54999998</v>
      </c>
      <c r="J94" s="46" t="s">
        <v>34</v>
      </c>
      <c r="K94" s="73" t="s">
        <v>47</v>
      </c>
      <c r="L94" s="45" t="s">
        <v>36</v>
      </c>
    </row>
    <row r="95" spans="1:12" ht="20.149999999999999" customHeight="1">
      <c r="A95" s="44">
        <v>42767</v>
      </c>
      <c r="B95" s="50"/>
      <c r="C95" s="45" t="s">
        <v>33</v>
      </c>
      <c r="D95" s="72">
        <v>1463.0554999999999</v>
      </c>
      <c r="E95" s="72">
        <v>1479401.1950000001</v>
      </c>
      <c r="F95" s="66">
        <v>7.2054</v>
      </c>
      <c r="G95" s="69">
        <f t="shared" si="12"/>
        <v>10659677.370453</v>
      </c>
      <c r="H95" s="68">
        <v>1215</v>
      </c>
      <c r="I95" s="69">
        <f>10659677.37*1215</f>
        <v>12951508004.549999</v>
      </c>
      <c r="J95" s="46" t="s">
        <v>34</v>
      </c>
      <c r="K95" s="73" t="s">
        <v>43</v>
      </c>
      <c r="L95" s="45" t="s">
        <v>36</v>
      </c>
    </row>
    <row r="96" spans="1:12" ht="20.149999999999999" customHeight="1">
      <c r="A96" s="44">
        <v>42767</v>
      </c>
      <c r="B96" s="50"/>
      <c r="C96" s="45" t="s">
        <v>33</v>
      </c>
      <c r="D96" s="72">
        <v>569.19579999999996</v>
      </c>
      <c r="E96" s="72">
        <v>575555.02619999996</v>
      </c>
      <c r="F96" s="66">
        <v>6.0606999999999998</v>
      </c>
      <c r="G96" s="69">
        <f t="shared" si="12"/>
        <v>3488266.3472903394</v>
      </c>
      <c r="H96" s="68">
        <v>1215</v>
      </c>
      <c r="I96" s="69">
        <f>3488266.35*1215</f>
        <v>4238243615.25</v>
      </c>
      <c r="J96" s="46" t="s">
        <v>34</v>
      </c>
      <c r="K96" s="70" t="s">
        <v>46</v>
      </c>
      <c r="L96" s="45" t="s">
        <v>36</v>
      </c>
    </row>
    <row r="97" spans="1:12" ht="20.149999999999999" customHeight="1">
      <c r="A97" s="44"/>
      <c r="B97" s="50"/>
      <c r="C97" s="45"/>
      <c r="D97" s="72"/>
      <c r="E97" s="72"/>
      <c r="F97" s="66"/>
      <c r="G97" s="69"/>
      <c r="H97" s="68"/>
      <c r="I97" s="69"/>
      <c r="J97" s="46"/>
      <c r="K97" s="70"/>
      <c r="L97" s="45"/>
    </row>
    <row r="98" spans="1:12" ht="20.149999999999999" customHeight="1">
      <c r="A98" s="44">
        <v>42795</v>
      </c>
      <c r="B98" s="50"/>
      <c r="C98" s="45" t="s">
        <v>33</v>
      </c>
      <c r="D98" s="65">
        <v>46.731299999999997</v>
      </c>
      <c r="E98" s="65">
        <v>47254.307399999998</v>
      </c>
      <c r="F98" s="66">
        <v>7.5128000000000004</v>
      </c>
      <c r="G98" s="69">
        <f>F98*E98</f>
        <v>355012.16063472</v>
      </c>
      <c r="H98" s="68">
        <v>1215</v>
      </c>
      <c r="I98" s="69">
        <f>355012.16*1215</f>
        <v>431339774.39999998</v>
      </c>
      <c r="J98" s="46" t="s">
        <v>34</v>
      </c>
      <c r="K98" s="70" t="s">
        <v>35</v>
      </c>
      <c r="L98" s="45" t="s">
        <v>36</v>
      </c>
    </row>
    <row r="99" spans="1:12" ht="20.149999999999999" customHeight="1">
      <c r="A99" s="44">
        <v>42795</v>
      </c>
      <c r="B99" s="50"/>
      <c r="C99" s="45" t="s">
        <v>33</v>
      </c>
      <c r="D99" s="65">
        <v>771.74080000000004</v>
      </c>
      <c r="E99" s="65">
        <v>780377.96869999997</v>
      </c>
      <c r="F99" s="66">
        <v>7.5128000000000004</v>
      </c>
      <c r="G99" s="69">
        <f t="shared" ref="G99:G104" si="13">F99*E99</f>
        <v>5862823.6032493599</v>
      </c>
      <c r="H99" s="68">
        <v>1215</v>
      </c>
      <c r="I99" s="69">
        <f>5862823.6*1215</f>
        <v>7123330674</v>
      </c>
      <c r="J99" s="46" t="s">
        <v>34</v>
      </c>
      <c r="K99" s="71" t="s">
        <v>37</v>
      </c>
      <c r="L99" s="45" t="s">
        <v>36</v>
      </c>
    </row>
    <row r="100" spans="1:12" ht="20.149999999999999" customHeight="1">
      <c r="A100" s="44">
        <v>42795</v>
      </c>
      <c r="B100" s="50"/>
      <c r="C100" s="45" t="s">
        <v>33</v>
      </c>
      <c r="D100" s="72">
        <v>6.7999999999999996E-3</v>
      </c>
      <c r="E100" s="72">
        <v>6.8761000000000001</v>
      </c>
      <c r="F100" s="66">
        <v>6.7950999999999997</v>
      </c>
      <c r="G100" s="69">
        <f>F100*E100+0.01</f>
        <v>46.733787109999994</v>
      </c>
      <c r="H100" s="68">
        <v>1215</v>
      </c>
      <c r="I100" s="69">
        <f>46.73*1215</f>
        <v>56776.95</v>
      </c>
      <c r="J100" s="46" t="s">
        <v>34</v>
      </c>
      <c r="K100" s="70" t="s">
        <v>38</v>
      </c>
      <c r="L100" s="45" t="s">
        <v>36</v>
      </c>
    </row>
    <row r="101" spans="1:12" ht="20.149999999999999" customHeight="1">
      <c r="A101" s="44">
        <v>42795</v>
      </c>
      <c r="B101" s="50"/>
      <c r="C101" s="45" t="s">
        <v>33</v>
      </c>
      <c r="D101" s="72">
        <v>1.4693000000000001</v>
      </c>
      <c r="E101" s="72">
        <v>1485.7440999999999</v>
      </c>
      <c r="F101" s="66">
        <v>6.7950999999999997</v>
      </c>
      <c r="G101" s="69">
        <f>F101*E101-0.01</f>
        <v>10095.769733909998</v>
      </c>
      <c r="H101" s="68">
        <v>1215</v>
      </c>
      <c r="I101" s="69">
        <f>10095.77*1215</f>
        <v>12266360.550000001</v>
      </c>
      <c r="J101" s="46" t="s">
        <v>34</v>
      </c>
      <c r="K101" s="71" t="s">
        <v>39</v>
      </c>
      <c r="L101" s="45" t="s">
        <v>36</v>
      </c>
    </row>
    <row r="102" spans="1:12" ht="20.149999999999999" customHeight="1">
      <c r="A102" s="44">
        <v>42795</v>
      </c>
      <c r="B102" s="50"/>
      <c r="C102" s="45" t="s">
        <v>33</v>
      </c>
      <c r="D102" s="72">
        <v>8.3523999999999994</v>
      </c>
      <c r="E102" s="72">
        <v>8445.8783999999996</v>
      </c>
      <c r="F102" s="66">
        <v>6.7950999999999997</v>
      </c>
      <c r="G102" s="69">
        <f t="shared" si="13"/>
        <v>57390.588315839996</v>
      </c>
      <c r="H102" s="68">
        <v>1215</v>
      </c>
      <c r="I102" s="69">
        <f>57390.59*1215</f>
        <v>69729566.849999994</v>
      </c>
      <c r="J102" s="46" t="s">
        <v>34</v>
      </c>
      <c r="K102" s="73" t="s">
        <v>40</v>
      </c>
      <c r="L102" s="45" t="s">
        <v>36</v>
      </c>
    </row>
    <row r="103" spans="1:12" ht="20.149999999999999" customHeight="1">
      <c r="A103" s="44">
        <v>42795</v>
      </c>
      <c r="B103" s="50"/>
      <c r="C103" s="45" t="s">
        <v>33</v>
      </c>
      <c r="D103" s="72">
        <v>1650.7329</v>
      </c>
      <c r="E103" s="72">
        <v>1669207.5725</v>
      </c>
      <c r="F103" s="66">
        <v>7.2054</v>
      </c>
      <c r="G103" s="69">
        <f t="shared" si="13"/>
        <v>12027308.2428915</v>
      </c>
      <c r="H103" s="68">
        <v>1215</v>
      </c>
      <c r="I103" s="69">
        <f>12027308.24*1215</f>
        <v>14613179511.6</v>
      </c>
      <c r="J103" s="46" t="s">
        <v>34</v>
      </c>
      <c r="K103" s="73" t="s">
        <v>43</v>
      </c>
      <c r="L103" s="45" t="s">
        <v>36</v>
      </c>
    </row>
    <row r="104" spans="1:12" ht="20.149999999999999" customHeight="1">
      <c r="A104" s="44">
        <v>42795</v>
      </c>
      <c r="B104" s="50"/>
      <c r="C104" s="45" t="s">
        <v>33</v>
      </c>
      <c r="D104" s="72">
        <v>634.18899999999996</v>
      </c>
      <c r="E104" s="72">
        <v>641286.71649999998</v>
      </c>
      <c r="F104" s="66">
        <v>6.0606999999999998</v>
      </c>
      <c r="G104" s="69">
        <f t="shared" si="13"/>
        <v>3886646.4026915496</v>
      </c>
      <c r="H104" s="68">
        <v>1215</v>
      </c>
      <c r="I104" s="69">
        <f>3886646.4*1215</f>
        <v>4722275376</v>
      </c>
      <c r="J104" s="46" t="s">
        <v>34</v>
      </c>
      <c r="K104" s="70" t="s">
        <v>46</v>
      </c>
      <c r="L104" s="45" t="s">
        <v>36</v>
      </c>
    </row>
    <row r="105" spans="1:12" s="53" customFormat="1" ht="20.149999999999999" customHeight="1">
      <c r="A105" s="108" t="s">
        <v>50</v>
      </c>
      <c r="B105" s="108"/>
      <c r="C105" s="108"/>
      <c r="D105" s="108"/>
      <c r="E105" s="108"/>
      <c r="F105" s="108"/>
      <c r="G105" s="102"/>
      <c r="H105" s="106"/>
      <c r="I105" s="102">
        <f>SUM(I6:I104)</f>
        <v>253025155912.7999</v>
      </c>
      <c r="J105" s="104"/>
      <c r="K105" s="107"/>
      <c r="L105" s="100"/>
    </row>
    <row r="106" spans="1:12" ht="20.149999999999999" customHeight="1">
      <c r="A106" s="44">
        <v>42461</v>
      </c>
      <c r="B106" s="50"/>
      <c r="C106" s="52" t="s">
        <v>20</v>
      </c>
      <c r="D106" s="65">
        <v>293.35239999999999</v>
      </c>
      <c r="E106" s="65">
        <v>269154.34720000002</v>
      </c>
      <c r="F106" s="66">
        <v>7.5</v>
      </c>
      <c r="G106" s="67">
        <f>SUM(E106*F106)</f>
        <v>2018657.6040000001</v>
      </c>
      <c r="H106" s="68">
        <v>1200</v>
      </c>
      <c r="I106" s="67">
        <f>2018657.6*1200</f>
        <v>2422389120</v>
      </c>
      <c r="J106" s="51" t="s">
        <v>51</v>
      </c>
      <c r="K106" s="75" t="s">
        <v>52</v>
      </c>
      <c r="L106" s="45" t="s">
        <v>36</v>
      </c>
    </row>
    <row r="107" spans="1:12" ht="20.149999999999999" customHeight="1">
      <c r="A107" s="44">
        <v>42461</v>
      </c>
      <c r="B107" s="50"/>
      <c r="C107" s="52" t="s">
        <v>20</v>
      </c>
      <c r="D107" s="65">
        <v>64.791600000000003</v>
      </c>
      <c r="E107" s="65">
        <v>59447.070500000002</v>
      </c>
      <c r="F107" s="66">
        <v>7.5</v>
      </c>
      <c r="G107" s="67">
        <f t="shared" ref="G107:G110" si="14">SUM(E107*F107)</f>
        <v>445853.02875</v>
      </c>
      <c r="H107" s="68">
        <v>1200</v>
      </c>
      <c r="I107" s="67">
        <f>445853.03*1200</f>
        <v>535023636.00000006</v>
      </c>
      <c r="J107" s="51" t="s">
        <v>51</v>
      </c>
      <c r="K107" s="75" t="s">
        <v>53</v>
      </c>
      <c r="L107" s="45" t="s">
        <v>36</v>
      </c>
    </row>
    <row r="108" spans="1:12" ht="20.149999999999999" customHeight="1">
      <c r="A108" s="44">
        <v>42461</v>
      </c>
      <c r="B108" s="50"/>
      <c r="C108" s="52" t="s">
        <v>20</v>
      </c>
      <c r="D108" s="65">
        <v>2.448</v>
      </c>
      <c r="E108" s="65">
        <v>2246.0693999999999</v>
      </c>
      <c r="F108" s="66">
        <v>7.5</v>
      </c>
      <c r="G108" s="67">
        <f t="shared" si="14"/>
        <v>16845.520499999999</v>
      </c>
      <c r="H108" s="68">
        <v>1200</v>
      </c>
      <c r="I108" s="67">
        <f>16845.52*1200</f>
        <v>20214624</v>
      </c>
      <c r="J108" s="51" t="s">
        <v>51</v>
      </c>
      <c r="K108" s="75" t="s">
        <v>54</v>
      </c>
      <c r="L108" s="45" t="s">
        <v>36</v>
      </c>
    </row>
    <row r="109" spans="1:12" ht="20.149999999999999" customHeight="1">
      <c r="A109" s="44">
        <v>42461</v>
      </c>
      <c r="B109" s="50"/>
      <c r="C109" s="52" t="s">
        <v>20</v>
      </c>
      <c r="D109" s="65">
        <v>0.315</v>
      </c>
      <c r="E109" s="65">
        <v>289.0163</v>
      </c>
      <c r="F109" s="66">
        <v>7.5</v>
      </c>
      <c r="G109" s="67">
        <f t="shared" si="14"/>
        <v>2167.6222499999999</v>
      </c>
      <c r="H109" s="68">
        <v>1200</v>
      </c>
      <c r="I109" s="67">
        <f>2167.62*1200</f>
        <v>2601144</v>
      </c>
      <c r="J109" s="51" t="s">
        <v>51</v>
      </c>
      <c r="K109" s="75" t="s">
        <v>55</v>
      </c>
      <c r="L109" s="45" t="s">
        <v>36</v>
      </c>
    </row>
    <row r="110" spans="1:12" ht="20.149999999999999" customHeight="1">
      <c r="A110" s="44">
        <v>42461</v>
      </c>
      <c r="B110" s="50"/>
      <c r="C110" s="52" t="s">
        <v>20</v>
      </c>
      <c r="D110" s="65">
        <v>0.86780000000000002</v>
      </c>
      <c r="E110" s="65">
        <v>796.21690000000001</v>
      </c>
      <c r="F110" s="66">
        <v>7.5</v>
      </c>
      <c r="G110" s="67">
        <f t="shared" si="14"/>
        <v>5971.6267500000004</v>
      </c>
      <c r="H110" s="68">
        <v>1200</v>
      </c>
      <c r="I110" s="67">
        <f>5971.63*1200</f>
        <v>7165956</v>
      </c>
      <c r="J110" s="51" t="s">
        <v>51</v>
      </c>
      <c r="K110" s="75" t="s">
        <v>56</v>
      </c>
      <c r="L110" s="45" t="s">
        <v>36</v>
      </c>
    </row>
    <row r="111" spans="1:12" ht="20.149999999999999" customHeight="1">
      <c r="A111" s="44">
        <v>42461</v>
      </c>
      <c r="B111" s="50"/>
      <c r="C111" s="52" t="s">
        <v>20</v>
      </c>
      <c r="D111" s="65">
        <v>184.154</v>
      </c>
      <c r="E111" s="65">
        <v>168963.5048</v>
      </c>
      <c r="F111" s="66">
        <v>7.5</v>
      </c>
      <c r="G111" s="67">
        <f>SUM(E111*F111)</f>
        <v>1267226.2859999998</v>
      </c>
      <c r="H111" s="68">
        <v>1200</v>
      </c>
      <c r="I111" s="67">
        <f>1267226.29*1200</f>
        <v>1520671548</v>
      </c>
      <c r="J111" s="51" t="s">
        <v>51</v>
      </c>
      <c r="K111" s="76" t="s">
        <v>57</v>
      </c>
      <c r="L111" s="45" t="s">
        <v>36</v>
      </c>
    </row>
    <row r="112" spans="1:12" ht="20.149999999999999" customHeight="1">
      <c r="A112" s="44">
        <v>42461</v>
      </c>
      <c r="B112" s="50"/>
      <c r="C112" s="52" t="s">
        <v>20</v>
      </c>
      <c r="D112" s="65">
        <v>199.41810000000001</v>
      </c>
      <c r="E112" s="65">
        <v>182968.49979999999</v>
      </c>
      <c r="F112" s="66">
        <v>7.5</v>
      </c>
      <c r="G112" s="67">
        <f t="shared" ref="G112:G116" si="15">SUM(E112*F112)</f>
        <v>1372263.7485</v>
      </c>
      <c r="H112" s="68">
        <v>1200</v>
      </c>
      <c r="I112" s="67">
        <f>1372263.75*1200</f>
        <v>1646716500</v>
      </c>
      <c r="J112" s="51" t="s">
        <v>51</v>
      </c>
      <c r="K112" s="76" t="s">
        <v>58</v>
      </c>
      <c r="L112" s="45" t="s">
        <v>36</v>
      </c>
    </row>
    <row r="113" spans="1:12" ht="20.149999999999999" customHeight="1">
      <c r="A113" s="44">
        <v>42461</v>
      </c>
      <c r="B113" s="50"/>
      <c r="C113" s="52" t="s">
        <v>20</v>
      </c>
      <c r="D113" s="65">
        <v>1026.8739</v>
      </c>
      <c r="E113" s="65">
        <v>942169.12569999998</v>
      </c>
      <c r="F113" s="66">
        <v>7.5</v>
      </c>
      <c r="G113" s="67">
        <f t="shared" si="15"/>
        <v>7066268.4427499995</v>
      </c>
      <c r="H113" s="68">
        <v>1200</v>
      </c>
      <c r="I113" s="67">
        <f>7066268.44*1200</f>
        <v>8479522128.000001</v>
      </c>
      <c r="J113" s="51" t="s">
        <v>51</v>
      </c>
      <c r="K113" s="76" t="s">
        <v>59</v>
      </c>
      <c r="L113" s="45" t="s">
        <v>36</v>
      </c>
    </row>
    <row r="114" spans="1:12" ht="20.149999999999999" customHeight="1">
      <c r="A114" s="44">
        <v>42461</v>
      </c>
      <c r="B114" s="50"/>
      <c r="C114" s="52" t="s">
        <v>20</v>
      </c>
      <c r="D114" s="65">
        <v>642.44399999999996</v>
      </c>
      <c r="E114" s="65">
        <v>589450.07929999998</v>
      </c>
      <c r="F114" s="66">
        <v>7.5</v>
      </c>
      <c r="G114" s="67">
        <f t="shared" si="15"/>
        <v>4420875.5947500002</v>
      </c>
      <c r="H114" s="68">
        <v>1200</v>
      </c>
      <c r="I114" s="67">
        <f>4420875.59*1200</f>
        <v>5305050708</v>
      </c>
      <c r="J114" s="51" t="s">
        <v>51</v>
      </c>
      <c r="K114" s="76" t="s">
        <v>60</v>
      </c>
      <c r="L114" s="45" t="s">
        <v>36</v>
      </c>
    </row>
    <row r="115" spans="1:12" ht="20.149999999999999" customHeight="1">
      <c r="A115" s="44">
        <v>42461</v>
      </c>
      <c r="B115" s="50"/>
      <c r="C115" s="52" t="s">
        <v>20</v>
      </c>
      <c r="D115" s="65">
        <v>29.206299999999999</v>
      </c>
      <c r="E115" s="65">
        <v>26797.130700000002</v>
      </c>
      <c r="F115" s="66">
        <v>7.5</v>
      </c>
      <c r="G115" s="67">
        <f t="shared" si="15"/>
        <v>200978.48025000002</v>
      </c>
      <c r="H115" s="68">
        <v>1200</v>
      </c>
      <c r="I115" s="67">
        <f>200978.48*1200</f>
        <v>241174176</v>
      </c>
      <c r="J115" s="51" t="s">
        <v>51</v>
      </c>
      <c r="K115" s="76" t="s">
        <v>61</v>
      </c>
      <c r="L115" s="45" t="s">
        <v>36</v>
      </c>
    </row>
    <row r="116" spans="1:12" ht="20.149999999999999" customHeight="1">
      <c r="A116" s="44">
        <v>42461</v>
      </c>
      <c r="B116" s="50"/>
      <c r="C116" s="52" t="s">
        <v>20</v>
      </c>
      <c r="D116" s="65">
        <v>29.087</v>
      </c>
      <c r="E116" s="65">
        <v>26687.6715</v>
      </c>
      <c r="F116" s="66">
        <v>7.5</v>
      </c>
      <c r="G116" s="67">
        <f t="shared" si="15"/>
        <v>200157.53625</v>
      </c>
      <c r="H116" s="68">
        <v>1200</v>
      </c>
      <c r="I116" s="67">
        <f>200157.54*1200</f>
        <v>240189048</v>
      </c>
      <c r="J116" s="51" t="s">
        <v>51</v>
      </c>
      <c r="K116" s="76" t="s">
        <v>62</v>
      </c>
      <c r="L116" s="45" t="s">
        <v>36</v>
      </c>
    </row>
    <row r="117" spans="1:12" ht="20.149999999999999" customHeight="1">
      <c r="A117" s="44">
        <v>42461</v>
      </c>
      <c r="B117" s="50"/>
      <c r="C117" s="52" t="s">
        <v>20</v>
      </c>
      <c r="D117" s="65">
        <v>0.121</v>
      </c>
      <c r="E117" s="65">
        <v>111.01900000000001</v>
      </c>
      <c r="F117" s="77">
        <v>5.2129000000000003</v>
      </c>
      <c r="G117" s="78">
        <f>SUM(D117*F117*1000)</f>
        <v>630.76090000000011</v>
      </c>
      <c r="H117" s="78">
        <v>1200</v>
      </c>
      <c r="I117" s="67">
        <f>630.76*1200</f>
        <v>756912</v>
      </c>
      <c r="J117" s="51" t="s">
        <v>51</v>
      </c>
      <c r="K117" s="79" t="s">
        <v>63</v>
      </c>
      <c r="L117" s="45" t="s">
        <v>36</v>
      </c>
    </row>
    <row r="118" spans="1:12" ht="20.149999999999999" customHeight="1">
      <c r="A118" s="44">
        <v>42461</v>
      </c>
      <c r="B118" s="50"/>
      <c r="C118" s="52" t="s">
        <v>20</v>
      </c>
      <c r="D118" s="65">
        <v>2.202</v>
      </c>
      <c r="E118" s="65">
        <v>2020.3614</v>
      </c>
      <c r="F118" s="80">
        <v>4.8814000000000002</v>
      </c>
      <c r="G118" s="78">
        <f>SUM(D118*F118*1000)</f>
        <v>10748.8428</v>
      </c>
      <c r="H118" s="67">
        <v>1200</v>
      </c>
      <c r="I118" s="67">
        <f>10748.84*1200</f>
        <v>12898608</v>
      </c>
      <c r="J118" s="51" t="s">
        <v>51</v>
      </c>
      <c r="K118" s="76" t="s">
        <v>64</v>
      </c>
      <c r="L118" s="45" t="s">
        <v>36</v>
      </c>
    </row>
    <row r="119" spans="1:12" ht="20.149999999999999" customHeight="1">
      <c r="A119" s="44">
        <v>42461</v>
      </c>
      <c r="B119" s="50"/>
      <c r="C119" s="52" t="s">
        <v>20</v>
      </c>
      <c r="D119" s="65">
        <v>1.1176999999999999</v>
      </c>
      <c r="E119" s="65">
        <v>1025.5032000000001</v>
      </c>
      <c r="F119" s="80">
        <v>4.8814000000000002</v>
      </c>
      <c r="G119" s="78">
        <f>SUM(D119*F119*1000)</f>
        <v>5455.9407799999999</v>
      </c>
      <c r="H119" s="67">
        <v>1200</v>
      </c>
      <c r="I119" s="67">
        <f>5455.94*1200</f>
        <v>6547127.9999999991</v>
      </c>
      <c r="J119" s="51" t="s">
        <v>51</v>
      </c>
      <c r="K119" s="76" t="s">
        <v>65</v>
      </c>
      <c r="L119" s="45" t="s">
        <v>36</v>
      </c>
    </row>
    <row r="120" spans="1:12" ht="20.149999999999999" customHeight="1">
      <c r="A120" s="44">
        <v>42461</v>
      </c>
      <c r="B120" s="50"/>
      <c r="C120" s="52" t="s">
        <v>20</v>
      </c>
      <c r="D120" s="65">
        <v>1.081</v>
      </c>
      <c r="E120" s="65">
        <v>991.83050000000003</v>
      </c>
      <c r="F120" s="80">
        <v>4.8814000000000002</v>
      </c>
      <c r="G120" s="78">
        <f t="shared" ref="G120:G121" si="16">SUM(D120*F120*1000)</f>
        <v>5276.7933999999996</v>
      </c>
      <c r="H120" s="67">
        <v>1200</v>
      </c>
      <c r="I120" s="67">
        <f>5276.79*1200</f>
        <v>6332148</v>
      </c>
      <c r="J120" s="51" t="s">
        <v>51</v>
      </c>
      <c r="K120" s="76" t="s">
        <v>66</v>
      </c>
      <c r="L120" s="45" t="s">
        <v>36</v>
      </c>
    </row>
    <row r="121" spans="1:12" ht="20.149999999999999" customHeight="1">
      <c r="A121" s="44">
        <v>42461</v>
      </c>
      <c r="B121" s="50"/>
      <c r="C121" s="52" t="s">
        <v>20</v>
      </c>
      <c r="D121" s="65">
        <v>0.251</v>
      </c>
      <c r="E121" s="65">
        <v>230.2955</v>
      </c>
      <c r="F121" s="80">
        <v>4.8814000000000002</v>
      </c>
      <c r="G121" s="78">
        <f t="shared" si="16"/>
        <v>1225.2313999999999</v>
      </c>
      <c r="H121" s="67">
        <v>1200</v>
      </c>
      <c r="I121" s="67">
        <f>1225.23*1200</f>
        <v>1470276</v>
      </c>
      <c r="J121" s="51" t="s">
        <v>51</v>
      </c>
      <c r="K121" s="76" t="s">
        <v>67</v>
      </c>
      <c r="L121" s="45" t="s">
        <v>36</v>
      </c>
    </row>
    <row r="122" spans="1:12" ht="20.149999999999999" customHeight="1">
      <c r="A122" s="44"/>
      <c r="B122" s="50"/>
      <c r="C122" s="52"/>
      <c r="D122" s="72"/>
      <c r="E122" s="72"/>
      <c r="F122" s="66"/>
      <c r="G122" s="69"/>
      <c r="H122" s="68"/>
      <c r="I122" s="69"/>
      <c r="J122" s="51"/>
      <c r="K122" s="70"/>
      <c r="L122" s="45"/>
    </row>
    <row r="123" spans="1:12" ht="20.149999999999999" customHeight="1">
      <c r="A123" s="44">
        <v>42491</v>
      </c>
      <c r="B123" s="50"/>
      <c r="C123" s="52" t="s">
        <v>20</v>
      </c>
      <c r="D123" s="65">
        <v>213.9967</v>
      </c>
      <c r="E123" s="65">
        <v>196944.37299999999</v>
      </c>
      <c r="F123" s="66">
        <v>7.5</v>
      </c>
      <c r="G123" s="67">
        <f>SUM(E123*F123)</f>
        <v>1477082.7974999999</v>
      </c>
      <c r="H123" s="68">
        <v>1200</v>
      </c>
      <c r="I123" s="67">
        <f>1477082.8*1200</f>
        <v>1772499360</v>
      </c>
      <c r="J123" s="51" t="s">
        <v>51</v>
      </c>
      <c r="K123" s="75" t="s">
        <v>52</v>
      </c>
      <c r="L123" s="45" t="s">
        <v>36</v>
      </c>
    </row>
    <row r="124" spans="1:12" ht="20.149999999999999" customHeight="1">
      <c r="A124" s="44">
        <v>42491</v>
      </c>
      <c r="B124" s="50"/>
      <c r="C124" s="52" t="s">
        <v>20</v>
      </c>
      <c r="D124" s="65">
        <v>44.961399999999998</v>
      </c>
      <c r="E124" s="65">
        <v>41378.650800000003</v>
      </c>
      <c r="F124" s="66">
        <v>7.5</v>
      </c>
      <c r="G124" s="67">
        <f t="shared" ref="G124:G126" si="17">SUM(E124*F124)</f>
        <v>310339.88100000005</v>
      </c>
      <c r="H124" s="68">
        <v>1200</v>
      </c>
      <c r="I124" s="67">
        <f>310339.88*1200</f>
        <v>372407856</v>
      </c>
      <c r="J124" s="51" t="s">
        <v>51</v>
      </c>
      <c r="K124" s="75" t="s">
        <v>53</v>
      </c>
      <c r="L124" s="45" t="s">
        <v>36</v>
      </c>
    </row>
    <row r="125" spans="1:12" ht="20.149999999999999" customHeight="1">
      <c r="A125" s="44">
        <v>42491</v>
      </c>
      <c r="B125" s="50"/>
      <c r="C125" s="52" t="s">
        <v>20</v>
      </c>
      <c r="D125" s="65">
        <v>0.63600000000000001</v>
      </c>
      <c r="E125" s="65">
        <v>585.32029999999997</v>
      </c>
      <c r="F125" s="66">
        <v>7.5</v>
      </c>
      <c r="G125" s="67">
        <f t="shared" si="17"/>
        <v>4389.9022500000001</v>
      </c>
      <c r="H125" s="68">
        <v>1200</v>
      </c>
      <c r="I125" s="67">
        <f>4389.9*1200</f>
        <v>5267880</v>
      </c>
      <c r="J125" s="51" t="s">
        <v>51</v>
      </c>
      <c r="K125" s="75" t="s">
        <v>54</v>
      </c>
      <c r="L125" s="45" t="s">
        <v>36</v>
      </c>
    </row>
    <row r="126" spans="1:12" ht="20.149999999999999" customHeight="1">
      <c r="A126" s="44">
        <v>42491</v>
      </c>
      <c r="B126" s="50"/>
      <c r="C126" s="52" t="s">
        <v>20</v>
      </c>
      <c r="D126" s="65">
        <v>1.8196000000000001</v>
      </c>
      <c r="E126" s="65">
        <v>1674.6052</v>
      </c>
      <c r="F126" s="66">
        <v>7.5</v>
      </c>
      <c r="G126" s="67">
        <f t="shared" si="17"/>
        <v>12559.539000000001</v>
      </c>
      <c r="H126" s="68">
        <v>1200</v>
      </c>
      <c r="I126" s="67">
        <f>12559.54*1200</f>
        <v>15071448.000000002</v>
      </c>
      <c r="J126" s="51" t="s">
        <v>51</v>
      </c>
      <c r="K126" s="75" t="s">
        <v>55</v>
      </c>
      <c r="L126" s="45" t="s">
        <v>36</v>
      </c>
    </row>
    <row r="127" spans="1:12" ht="20.149999999999999" customHeight="1">
      <c r="A127" s="44">
        <v>42491</v>
      </c>
      <c r="B127" s="50"/>
      <c r="C127" s="52" t="s">
        <v>20</v>
      </c>
      <c r="D127" s="65">
        <v>179.01050000000001</v>
      </c>
      <c r="E127" s="65">
        <v>164746.04829999999</v>
      </c>
      <c r="F127" s="66">
        <v>7.5</v>
      </c>
      <c r="G127" s="67">
        <f>SUM(E127*F127)</f>
        <v>1235595.36225</v>
      </c>
      <c r="H127" s="68">
        <v>1200</v>
      </c>
      <c r="I127" s="67">
        <f>1235595.36*1200</f>
        <v>1482714432.0000002</v>
      </c>
      <c r="J127" s="51" t="s">
        <v>51</v>
      </c>
      <c r="K127" s="75" t="s">
        <v>56</v>
      </c>
      <c r="L127" s="45" t="s">
        <v>36</v>
      </c>
    </row>
    <row r="128" spans="1:12" ht="20.149999999999999" customHeight="1">
      <c r="A128" s="44">
        <v>42491</v>
      </c>
      <c r="B128" s="50"/>
      <c r="C128" s="52" t="s">
        <v>20</v>
      </c>
      <c r="D128" s="65">
        <v>189.11920000000001</v>
      </c>
      <c r="E128" s="65">
        <v>174049.2365</v>
      </c>
      <c r="F128" s="66">
        <v>7.5</v>
      </c>
      <c r="G128" s="67">
        <f t="shared" ref="G128:G133" si="18">SUM(E128*F128)</f>
        <v>1305369.2737499999</v>
      </c>
      <c r="H128" s="68">
        <v>1200</v>
      </c>
      <c r="I128" s="67">
        <f>1305369.27*1200</f>
        <v>1566443124</v>
      </c>
      <c r="J128" s="51" t="s">
        <v>51</v>
      </c>
      <c r="K128" s="76" t="s">
        <v>57</v>
      </c>
      <c r="L128" s="45" t="s">
        <v>36</v>
      </c>
    </row>
    <row r="129" spans="1:12" ht="20.149999999999999" customHeight="1">
      <c r="A129" s="44">
        <v>42491</v>
      </c>
      <c r="B129" s="50"/>
      <c r="C129" s="52" t="s">
        <v>20</v>
      </c>
      <c r="D129" s="65">
        <v>1003.083</v>
      </c>
      <c r="E129" s="65">
        <v>923152.33109999995</v>
      </c>
      <c r="F129" s="66">
        <v>7.5</v>
      </c>
      <c r="G129" s="67">
        <f t="shared" si="18"/>
        <v>6923642.4832499996</v>
      </c>
      <c r="H129" s="68">
        <v>1200</v>
      </c>
      <c r="I129" s="67">
        <f>6923642.48*1200</f>
        <v>8308370976.000001</v>
      </c>
      <c r="J129" s="51" t="s">
        <v>51</v>
      </c>
      <c r="K129" s="76" t="s">
        <v>58</v>
      </c>
      <c r="L129" s="45" t="s">
        <v>36</v>
      </c>
    </row>
    <row r="130" spans="1:12" ht="20.149999999999999" customHeight="1">
      <c r="A130" s="44">
        <v>42491</v>
      </c>
      <c r="B130" s="50"/>
      <c r="C130" s="52" t="s">
        <v>20</v>
      </c>
      <c r="D130" s="65">
        <v>642.80600000000004</v>
      </c>
      <c r="E130" s="65">
        <v>591584.00390000001</v>
      </c>
      <c r="F130" s="66">
        <v>7.5</v>
      </c>
      <c r="G130" s="67">
        <f t="shared" si="18"/>
        <v>4436880.0292499997</v>
      </c>
      <c r="H130" s="68">
        <v>1200</v>
      </c>
      <c r="I130" s="67">
        <f>4436880.03*1200</f>
        <v>5324256036</v>
      </c>
      <c r="J130" s="51" t="s">
        <v>51</v>
      </c>
      <c r="K130" s="76" t="s">
        <v>59</v>
      </c>
      <c r="L130" s="45" t="s">
        <v>36</v>
      </c>
    </row>
    <row r="131" spans="1:12" ht="20.149999999999999" customHeight="1">
      <c r="A131" s="44">
        <v>42491</v>
      </c>
      <c r="B131" s="50"/>
      <c r="C131" s="52" t="s">
        <v>20</v>
      </c>
      <c r="D131" s="65">
        <v>30.196300000000001</v>
      </c>
      <c r="E131" s="65">
        <v>27790.107800000002</v>
      </c>
      <c r="F131" s="66">
        <v>7.5</v>
      </c>
      <c r="G131" s="67">
        <f t="shared" si="18"/>
        <v>208425.80850000001</v>
      </c>
      <c r="H131" s="68">
        <v>1200</v>
      </c>
      <c r="I131" s="67">
        <f>208425.81*1200</f>
        <v>250110972</v>
      </c>
      <c r="J131" s="51" t="s">
        <v>51</v>
      </c>
      <c r="K131" s="76" t="s">
        <v>60</v>
      </c>
      <c r="L131" s="45" t="s">
        <v>36</v>
      </c>
    </row>
    <row r="132" spans="1:12" ht="20.149999999999999" customHeight="1">
      <c r="A132" s="44">
        <v>42491</v>
      </c>
      <c r="B132" s="50"/>
      <c r="C132" s="52" t="s">
        <v>20</v>
      </c>
      <c r="D132" s="65">
        <v>51.707999999999998</v>
      </c>
      <c r="E132" s="65">
        <v>47587.648000000001</v>
      </c>
      <c r="F132" s="66">
        <v>7.5</v>
      </c>
      <c r="G132" s="67">
        <f t="shared" si="18"/>
        <v>356907.36</v>
      </c>
      <c r="H132" s="68">
        <v>1200</v>
      </c>
      <c r="I132" s="67">
        <f>356907.36*1200</f>
        <v>428288832</v>
      </c>
      <c r="J132" s="51" t="s">
        <v>51</v>
      </c>
      <c r="K132" s="76" t="s">
        <v>61</v>
      </c>
      <c r="L132" s="45" t="s">
        <v>36</v>
      </c>
    </row>
    <row r="133" spans="1:12" ht="20.149999999999999" customHeight="1">
      <c r="A133" s="44">
        <v>42491</v>
      </c>
      <c r="B133" s="50"/>
      <c r="C133" s="52" t="s">
        <v>20</v>
      </c>
      <c r="D133" s="65">
        <v>34.500999999999998</v>
      </c>
      <c r="E133" s="65">
        <v>31751.787799999998</v>
      </c>
      <c r="F133" s="66">
        <v>7.5</v>
      </c>
      <c r="G133" s="67">
        <f t="shared" si="18"/>
        <v>238138.40849999999</v>
      </c>
      <c r="H133" s="68">
        <v>1200</v>
      </c>
      <c r="I133" s="67">
        <f>238138.41*1200</f>
        <v>285766092</v>
      </c>
      <c r="J133" s="51" t="s">
        <v>51</v>
      </c>
      <c r="K133" s="76" t="s">
        <v>62</v>
      </c>
      <c r="L133" s="45" t="s">
        <v>36</v>
      </c>
    </row>
    <row r="134" spans="1:12" ht="20.149999999999999" customHeight="1">
      <c r="A134" s="44">
        <v>42491</v>
      </c>
      <c r="B134" s="50"/>
      <c r="C134" s="52" t="s">
        <v>20</v>
      </c>
      <c r="D134" s="65">
        <v>0.26200000000000001</v>
      </c>
      <c r="E134" s="65">
        <v>241.1225</v>
      </c>
      <c r="F134" s="77">
        <v>5.2289000000000003</v>
      </c>
      <c r="G134" s="78">
        <f>SUM(D134*F134*1000)</f>
        <v>1369.9718</v>
      </c>
      <c r="H134" s="78">
        <v>1200</v>
      </c>
      <c r="I134" s="67">
        <f>1369.97*1200</f>
        <v>1643964</v>
      </c>
      <c r="J134" s="51" t="s">
        <v>51</v>
      </c>
      <c r="K134" s="79" t="s">
        <v>63</v>
      </c>
      <c r="L134" s="45" t="s">
        <v>36</v>
      </c>
    </row>
    <row r="135" spans="1:12" ht="20.149999999999999" customHeight="1">
      <c r="A135" s="44">
        <v>42491</v>
      </c>
      <c r="B135" s="50"/>
      <c r="C135" s="52" t="s">
        <v>20</v>
      </c>
      <c r="D135" s="65">
        <v>3.0369999999999999</v>
      </c>
      <c r="E135" s="65">
        <v>2794.9967000000001</v>
      </c>
      <c r="F135" s="80">
        <v>4.8845000000000001</v>
      </c>
      <c r="G135" s="78">
        <f>SUM(D135*F135*1000)</f>
        <v>14834.226500000001</v>
      </c>
      <c r="H135" s="67">
        <v>1200</v>
      </c>
      <c r="I135" s="67">
        <f>14834.23*1200</f>
        <v>17801076</v>
      </c>
      <c r="J135" s="51" t="s">
        <v>51</v>
      </c>
      <c r="K135" s="76" t="s">
        <v>64</v>
      </c>
      <c r="L135" s="45" t="s">
        <v>36</v>
      </c>
    </row>
    <row r="136" spans="1:12" ht="20.149999999999999" customHeight="1">
      <c r="A136" s="44">
        <v>42491</v>
      </c>
      <c r="B136" s="50"/>
      <c r="C136" s="52" t="s">
        <v>20</v>
      </c>
      <c r="D136" s="65">
        <v>0.47</v>
      </c>
      <c r="E136" s="65">
        <v>432.54809999999998</v>
      </c>
      <c r="F136" s="80">
        <v>4.8845000000000001</v>
      </c>
      <c r="G136" s="78">
        <f>SUM(D136*F136*1000)</f>
        <v>2295.7150000000001</v>
      </c>
      <c r="H136" s="67">
        <v>1200</v>
      </c>
      <c r="I136" s="67">
        <f>2295.72*1200</f>
        <v>2754863.9999999995</v>
      </c>
      <c r="J136" s="51" t="s">
        <v>51</v>
      </c>
      <c r="K136" s="76" t="s">
        <v>68</v>
      </c>
      <c r="L136" s="45" t="s">
        <v>36</v>
      </c>
    </row>
    <row r="137" spans="1:12" ht="20.149999999999999" customHeight="1">
      <c r="A137" s="44">
        <v>42491</v>
      </c>
      <c r="B137" s="50"/>
      <c r="C137" s="52" t="s">
        <v>20</v>
      </c>
      <c r="D137" s="65">
        <v>1.0641</v>
      </c>
      <c r="E137" s="65">
        <v>979.30719999999997</v>
      </c>
      <c r="F137" s="80">
        <v>4.8845000000000001</v>
      </c>
      <c r="G137" s="78">
        <f t="shared" ref="G137:G139" si="19">SUM(D137*F137*1000)</f>
        <v>5197.5964500000009</v>
      </c>
      <c r="H137" s="67">
        <v>1200</v>
      </c>
      <c r="I137" s="67">
        <f>5197.6*1200</f>
        <v>6237120</v>
      </c>
      <c r="J137" s="51" t="s">
        <v>51</v>
      </c>
      <c r="K137" s="76" t="s">
        <v>65</v>
      </c>
      <c r="L137" s="45" t="s">
        <v>36</v>
      </c>
    </row>
    <row r="138" spans="1:12" ht="20.149999999999999" customHeight="1">
      <c r="A138" s="44">
        <v>42491</v>
      </c>
      <c r="B138" s="50"/>
      <c r="C138" s="52" t="s">
        <v>20</v>
      </c>
      <c r="D138" s="65">
        <v>1.976</v>
      </c>
      <c r="E138" s="65">
        <v>1818.5424</v>
      </c>
      <c r="F138" s="80">
        <v>4.8845000000000001</v>
      </c>
      <c r="G138" s="78">
        <f t="shared" si="19"/>
        <v>9651.771999999999</v>
      </c>
      <c r="H138" s="67">
        <v>1200</v>
      </c>
      <c r="I138" s="67">
        <f>9651.77*1200</f>
        <v>11582124</v>
      </c>
      <c r="J138" s="51" t="s">
        <v>51</v>
      </c>
      <c r="K138" s="76" t="s">
        <v>66</v>
      </c>
      <c r="L138" s="45" t="s">
        <v>36</v>
      </c>
    </row>
    <row r="139" spans="1:12" ht="20.149999999999999" customHeight="1">
      <c r="A139" s="44">
        <v>42491</v>
      </c>
      <c r="B139" s="50"/>
      <c r="C139" s="52" t="s">
        <v>20</v>
      </c>
      <c r="D139" s="65">
        <v>0.44900000000000001</v>
      </c>
      <c r="E139" s="65">
        <v>413.22140000000002</v>
      </c>
      <c r="F139" s="80">
        <v>4.8845000000000001</v>
      </c>
      <c r="G139" s="78">
        <f t="shared" si="19"/>
        <v>2193.1405</v>
      </c>
      <c r="H139" s="67">
        <v>1200</v>
      </c>
      <c r="I139" s="67">
        <f>2193.14*1200</f>
        <v>2631768</v>
      </c>
      <c r="J139" s="51" t="s">
        <v>51</v>
      </c>
      <c r="K139" s="76" t="s">
        <v>67</v>
      </c>
      <c r="L139" s="45" t="s">
        <v>36</v>
      </c>
    </row>
    <row r="140" spans="1:12" ht="20.149999999999999" customHeight="1">
      <c r="A140" s="44"/>
      <c r="B140" s="50"/>
      <c r="C140" s="52"/>
      <c r="D140" s="72"/>
      <c r="E140" s="72"/>
      <c r="F140" s="66"/>
      <c r="G140" s="69"/>
      <c r="H140" s="68"/>
      <c r="I140" s="69"/>
      <c r="J140" s="51"/>
      <c r="K140" s="70"/>
      <c r="L140" s="45"/>
    </row>
    <row r="141" spans="1:12" ht="20.149999999999999" customHeight="1">
      <c r="A141" s="44">
        <v>42522</v>
      </c>
      <c r="B141" s="50"/>
      <c r="C141" s="52" t="s">
        <v>20</v>
      </c>
      <c r="D141" s="65">
        <v>198.87190000000001</v>
      </c>
      <c r="E141" s="65">
        <v>183792.63709999999</v>
      </c>
      <c r="F141" s="66">
        <v>7.5</v>
      </c>
      <c r="G141" s="67">
        <f>SUM(E141*F141)</f>
        <v>1378444.77825</v>
      </c>
      <c r="H141" s="68">
        <v>1200</v>
      </c>
      <c r="I141" s="67">
        <f>1378444.78*1200</f>
        <v>1654133736</v>
      </c>
      <c r="J141" s="51" t="s">
        <v>51</v>
      </c>
      <c r="K141" s="75" t="s">
        <v>52</v>
      </c>
      <c r="L141" s="45" t="s">
        <v>36</v>
      </c>
    </row>
    <row r="142" spans="1:12" ht="20.149999999999999" customHeight="1">
      <c r="A142" s="44">
        <v>42522</v>
      </c>
      <c r="B142" s="50"/>
      <c r="C142" s="52" t="s">
        <v>20</v>
      </c>
      <c r="D142" s="65">
        <v>50.154699999999998</v>
      </c>
      <c r="E142" s="65">
        <v>46351.77</v>
      </c>
      <c r="F142" s="66">
        <v>7.5</v>
      </c>
      <c r="G142" s="67">
        <f t="shared" ref="G142:G144" si="20">SUM(E142*F142)</f>
        <v>347638.27499999997</v>
      </c>
      <c r="H142" s="68">
        <v>1200</v>
      </c>
      <c r="I142" s="67">
        <f>347638.28*1200</f>
        <v>417165936.00000006</v>
      </c>
      <c r="J142" s="51" t="s">
        <v>51</v>
      </c>
      <c r="K142" s="75" t="s">
        <v>53</v>
      </c>
      <c r="L142" s="45" t="s">
        <v>36</v>
      </c>
    </row>
    <row r="143" spans="1:12" ht="20.149999999999999" customHeight="1">
      <c r="A143" s="44">
        <v>42522</v>
      </c>
      <c r="B143" s="50"/>
      <c r="C143" s="52" t="s">
        <v>20</v>
      </c>
      <c r="D143" s="65">
        <v>0.59499999999999997</v>
      </c>
      <c r="E143" s="65">
        <v>549.88469999999995</v>
      </c>
      <c r="F143" s="66">
        <v>7.5</v>
      </c>
      <c r="G143" s="67">
        <f t="shared" si="20"/>
        <v>4124.1352499999994</v>
      </c>
      <c r="H143" s="68">
        <v>1200</v>
      </c>
      <c r="I143" s="67">
        <f>4124.14*1200</f>
        <v>4948968</v>
      </c>
      <c r="J143" s="51" t="s">
        <v>51</v>
      </c>
      <c r="K143" s="75" t="s">
        <v>55</v>
      </c>
      <c r="L143" s="45" t="s">
        <v>36</v>
      </c>
    </row>
    <row r="144" spans="1:12" ht="20.149999999999999" customHeight="1">
      <c r="A144" s="44">
        <v>42522</v>
      </c>
      <c r="B144" s="50"/>
      <c r="C144" s="52" t="s">
        <v>20</v>
      </c>
      <c r="D144" s="65">
        <v>2.0032999999999999</v>
      </c>
      <c r="E144" s="65">
        <v>1851.4018000000001</v>
      </c>
      <c r="F144" s="66">
        <v>7.5</v>
      </c>
      <c r="G144" s="67">
        <f t="shared" si="20"/>
        <v>13885.513500000001</v>
      </c>
      <c r="H144" s="68">
        <v>1200</v>
      </c>
      <c r="I144" s="67">
        <f>13885.51*1200</f>
        <v>16662612</v>
      </c>
      <c r="J144" s="51" t="s">
        <v>51</v>
      </c>
      <c r="K144" s="76" t="s">
        <v>56</v>
      </c>
      <c r="L144" s="45" t="s">
        <v>36</v>
      </c>
    </row>
    <row r="145" spans="1:12" ht="20.149999999999999" customHeight="1">
      <c r="A145" s="44">
        <v>42522</v>
      </c>
      <c r="B145" s="50"/>
      <c r="C145" s="52" t="s">
        <v>20</v>
      </c>
      <c r="D145" s="65">
        <v>160.36510000000001</v>
      </c>
      <c r="E145" s="65">
        <v>148205.57670000001</v>
      </c>
      <c r="F145" s="66">
        <v>7.5</v>
      </c>
      <c r="G145" s="67">
        <f>SUM(E145*F145)</f>
        <v>1111541.82525</v>
      </c>
      <c r="H145" s="68">
        <v>1200</v>
      </c>
      <c r="I145" s="67">
        <f>1111541.83*1200</f>
        <v>1333850196</v>
      </c>
      <c r="J145" s="51" t="s">
        <v>51</v>
      </c>
      <c r="K145" s="76" t="s">
        <v>69</v>
      </c>
      <c r="L145" s="45" t="s">
        <v>36</v>
      </c>
    </row>
    <row r="146" spans="1:12" ht="20.149999999999999" customHeight="1">
      <c r="A146" s="44">
        <v>42522</v>
      </c>
      <c r="B146" s="50"/>
      <c r="C146" s="52" t="s">
        <v>20</v>
      </c>
      <c r="D146" s="65">
        <v>174.32820000000001</v>
      </c>
      <c r="E146" s="65">
        <v>161109.93859999999</v>
      </c>
      <c r="F146" s="66">
        <v>7.5</v>
      </c>
      <c r="G146" s="67">
        <f t="shared" ref="G146:G152" si="21">SUM(E146*F146)</f>
        <v>1208324.5395</v>
      </c>
      <c r="H146" s="68">
        <v>1200</v>
      </c>
      <c r="I146" s="67">
        <f>1208324.54*1200</f>
        <v>1449989448</v>
      </c>
      <c r="J146" s="51" t="s">
        <v>51</v>
      </c>
      <c r="K146" s="76" t="s">
        <v>70</v>
      </c>
      <c r="L146" s="45" t="s">
        <v>36</v>
      </c>
    </row>
    <row r="147" spans="1:12" ht="20.149999999999999" customHeight="1">
      <c r="A147" s="44">
        <v>42522</v>
      </c>
      <c r="B147" s="50"/>
      <c r="C147" s="52" t="s">
        <v>20</v>
      </c>
      <c r="D147" s="65">
        <v>996.11350000000004</v>
      </c>
      <c r="E147" s="65">
        <v>920584.19</v>
      </c>
      <c r="F147" s="66">
        <v>7.5</v>
      </c>
      <c r="G147" s="67">
        <f t="shared" si="21"/>
        <v>6904381.4249999998</v>
      </c>
      <c r="H147" s="68">
        <v>1200</v>
      </c>
      <c r="I147" s="67">
        <f>6904381.43*1200</f>
        <v>8285257716</v>
      </c>
      <c r="J147" s="51" t="s">
        <v>51</v>
      </c>
      <c r="K147" s="76" t="s">
        <v>71</v>
      </c>
      <c r="L147" s="45" t="s">
        <v>36</v>
      </c>
    </row>
    <row r="148" spans="1:12" ht="20.149999999999999" customHeight="1">
      <c r="A148" s="44">
        <v>42522</v>
      </c>
      <c r="B148" s="50"/>
      <c r="C148" s="52" t="s">
        <v>20</v>
      </c>
      <c r="D148" s="65">
        <v>555.12400000000002</v>
      </c>
      <c r="E148" s="65">
        <v>513032.27779999998</v>
      </c>
      <c r="F148" s="66">
        <v>7.5</v>
      </c>
      <c r="G148" s="67">
        <f t="shared" si="21"/>
        <v>3847742.0834999997</v>
      </c>
      <c r="H148" s="68">
        <v>1200</v>
      </c>
      <c r="I148" s="67">
        <f>3847742.08*1200</f>
        <v>4617290496</v>
      </c>
      <c r="J148" s="51" t="s">
        <v>51</v>
      </c>
      <c r="K148" s="76" t="s">
        <v>72</v>
      </c>
      <c r="L148" s="45" t="s">
        <v>36</v>
      </c>
    </row>
    <row r="149" spans="1:12" ht="20.149999999999999" customHeight="1">
      <c r="A149" s="44">
        <v>42522</v>
      </c>
      <c r="B149" s="50"/>
      <c r="C149" s="52" t="s">
        <v>20</v>
      </c>
      <c r="D149" s="65">
        <v>29.885999999999999</v>
      </c>
      <c r="E149" s="65">
        <v>27619.923900000002</v>
      </c>
      <c r="F149" s="66">
        <v>7.5</v>
      </c>
      <c r="G149" s="67">
        <f t="shared" si="21"/>
        <v>207149.42925000002</v>
      </c>
      <c r="H149" s="68">
        <v>1200</v>
      </c>
      <c r="I149" s="67">
        <f>207149.43*1200</f>
        <v>248579316</v>
      </c>
      <c r="J149" s="51" t="s">
        <v>51</v>
      </c>
      <c r="K149" s="76" t="s">
        <v>73</v>
      </c>
      <c r="L149" s="45" t="s">
        <v>36</v>
      </c>
    </row>
    <row r="150" spans="1:12" ht="20.149999999999999" customHeight="1">
      <c r="A150" s="44">
        <v>42522</v>
      </c>
      <c r="B150" s="50"/>
      <c r="C150" s="52" t="s">
        <v>20</v>
      </c>
      <c r="D150" s="65">
        <v>0.129</v>
      </c>
      <c r="E150" s="65">
        <v>119.2187</v>
      </c>
      <c r="F150" s="66">
        <v>7.5</v>
      </c>
      <c r="G150" s="67">
        <f t="shared" si="21"/>
        <v>894.14025000000004</v>
      </c>
      <c r="H150" s="68">
        <v>1200</v>
      </c>
      <c r="I150" s="67">
        <f>894.14*1200</f>
        <v>1072968</v>
      </c>
      <c r="J150" s="51" t="s">
        <v>51</v>
      </c>
      <c r="K150" s="76" t="s">
        <v>62</v>
      </c>
      <c r="L150" s="45" t="s">
        <v>36</v>
      </c>
    </row>
    <row r="151" spans="1:12" ht="20.149999999999999" customHeight="1">
      <c r="A151" s="44">
        <v>42522</v>
      </c>
      <c r="B151" s="50"/>
      <c r="C151" s="52" t="s">
        <v>20</v>
      </c>
      <c r="D151" s="65">
        <v>32.622</v>
      </c>
      <c r="E151" s="65">
        <v>30148.469499999999</v>
      </c>
      <c r="F151" s="66">
        <v>7.5</v>
      </c>
      <c r="G151" s="67">
        <f t="shared" si="21"/>
        <v>226113.52124999999</v>
      </c>
      <c r="H151" s="68">
        <v>1200</v>
      </c>
      <c r="I151" s="67">
        <f>226113.52*1200</f>
        <v>271336224</v>
      </c>
      <c r="J151" s="51" t="s">
        <v>51</v>
      </c>
      <c r="K151" s="76" t="s">
        <v>74</v>
      </c>
      <c r="L151" s="45" t="s">
        <v>36</v>
      </c>
    </row>
    <row r="152" spans="1:12" ht="20.149999999999999" customHeight="1">
      <c r="A152" s="44">
        <v>42522</v>
      </c>
      <c r="B152" s="50"/>
      <c r="C152" s="52" t="s">
        <v>20</v>
      </c>
      <c r="D152" s="65">
        <v>159.684</v>
      </c>
      <c r="E152" s="65">
        <v>147576.12040000001</v>
      </c>
      <c r="F152" s="66">
        <v>7.5</v>
      </c>
      <c r="G152" s="67">
        <f t="shared" si="21"/>
        <v>1106820.9030000002</v>
      </c>
      <c r="H152" s="68">
        <v>1200</v>
      </c>
      <c r="I152" s="67">
        <f>1106820.9*1200</f>
        <v>1328185080</v>
      </c>
      <c r="J152" s="51" t="s">
        <v>51</v>
      </c>
      <c r="K152" s="76" t="s">
        <v>75</v>
      </c>
      <c r="L152" s="45" t="s">
        <v>36</v>
      </c>
    </row>
    <row r="153" spans="1:12" ht="20.149999999999999" customHeight="1">
      <c r="A153" s="44">
        <v>42522</v>
      </c>
      <c r="B153" s="50"/>
      <c r="C153" s="52" t="s">
        <v>20</v>
      </c>
      <c r="D153" s="65">
        <v>0.26100000000000001</v>
      </c>
      <c r="E153" s="65">
        <v>241.2099</v>
      </c>
      <c r="F153" s="77">
        <v>5.2507999999999999</v>
      </c>
      <c r="G153" s="78">
        <f>SUM(D153*F153*1000)</f>
        <v>1370.4587999999999</v>
      </c>
      <c r="H153" s="78">
        <v>1200</v>
      </c>
      <c r="I153" s="67">
        <f>1370.46*1200</f>
        <v>1644552</v>
      </c>
      <c r="J153" s="51" t="s">
        <v>51</v>
      </c>
      <c r="K153" s="79" t="s">
        <v>63</v>
      </c>
      <c r="L153" s="45" t="s">
        <v>36</v>
      </c>
    </row>
    <row r="154" spans="1:12" ht="20.149999999999999" customHeight="1">
      <c r="A154" s="44">
        <v>42522</v>
      </c>
      <c r="B154" s="50"/>
      <c r="C154" s="52" t="s">
        <v>20</v>
      </c>
      <c r="D154" s="65">
        <v>0.60499999999999998</v>
      </c>
      <c r="E154" s="65">
        <v>559.12649999999996</v>
      </c>
      <c r="F154" s="80">
        <v>4.9029999999999996</v>
      </c>
      <c r="G154" s="78">
        <f>SUM(D154*F154*1000)</f>
        <v>2966.3149999999996</v>
      </c>
      <c r="H154" s="67">
        <v>1200</v>
      </c>
      <c r="I154" s="67">
        <f>2966.32*1200</f>
        <v>3559584</v>
      </c>
      <c r="J154" s="51" t="s">
        <v>51</v>
      </c>
      <c r="K154" s="76" t="s">
        <v>64</v>
      </c>
      <c r="L154" s="45" t="s">
        <v>36</v>
      </c>
    </row>
    <row r="155" spans="1:12" ht="20.149999999999999" customHeight="1">
      <c r="A155" s="44">
        <v>42522</v>
      </c>
      <c r="B155" s="50"/>
      <c r="C155" s="52" t="s">
        <v>20</v>
      </c>
      <c r="D155" s="65">
        <v>1.141</v>
      </c>
      <c r="E155" s="65">
        <v>1054.4848</v>
      </c>
      <c r="F155" s="80">
        <v>4.9029999999999996</v>
      </c>
      <c r="G155" s="78">
        <f>SUM(D155*F155*1000)</f>
        <v>5594.3229999999994</v>
      </c>
      <c r="H155" s="67">
        <v>1200</v>
      </c>
      <c r="I155" s="67">
        <f>5594.32*1200</f>
        <v>6713184</v>
      </c>
      <c r="J155" s="51" t="s">
        <v>51</v>
      </c>
      <c r="K155" s="76" t="s">
        <v>68</v>
      </c>
      <c r="L155" s="45" t="s">
        <v>36</v>
      </c>
    </row>
    <row r="156" spans="1:12" ht="20.149999999999999" customHeight="1">
      <c r="A156" s="44">
        <v>42522</v>
      </c>
      <c r="B156" s="50"/>
      <c r="C156" s="52" t="s">
        <v>20</v>
      </c>
      <c r="D156" s="65">
        <v>1.7396</v>
      </c>
      <c r="E156" s="65">
        <v>1607.6966</v>
      </c>
      <c r="F156" s="80">
        <v>4.9029999999999996</v>
      </c>
      <c r="G156" s="78">
        <f t="shared" ref="G156:G158" si="22">SUM(D156*F156*1000)</f>
        <v>8529.2587999999996</v>
      </c>
      <c r="H156" s="67">
        <v>1200</v>
      </c>
      <c r="I156" s="67">
        <f>8529.26*1200</f>
        <v>10235112</v>
      </c>
      <c r="J156" s="51" t="s">
        <v>51</v>
      </c>
      <c r="K156" s="76" t="s">
        <v>65</v>
      </c>
      <c r="L156" s="45" t="s">
        <v>36</v>
      </c>
    </row>
    <row r="157" spans="1:12" ht="20.149999999999999" customHeight="1">
      <c r="A157" s="44">
        <v>42522</v>
      </c>
      <c r="B157" s="50"/>
      <c r="C157" s="52" t="s">
        <v>20</v>
      </c>
      <c r="D157" s="65">
        <v>1.919</v>
      </c>
      <c r="E157" s="65">
        <v>1773.4937</v>
      </c>
      <c r="F157" s="80">
        <v>4.9029999999999996</v>
      </c>
      <c r="G157" s="78">
        <f t="shared" si="22"/>
        <v>9408.857</v>
      </c>
      <c r="H157" s="67">
        <v>1200</v>
      </c>
      <c r="I157" s="67">
        <f>9408.86*1200</f>
        <v>11290632</v>
      </c>
      <c r="J157" s="51" t="s">
        <v>51</v>
      </c>
      <c r="K157" s="76" t="s">
        <v>66</v>
      </c>
      <c r="L157" s="45" t="s">
        <v>36</v>
      </c>
    </row>
    <row r="158" spans="1:12" ht="20.149999999999999" customHeight="1">
      <c r="A158" s="44">
        <v>42522</v>
      </c>
      <c r="B158" s="50"/>
      <c r="C158" s="52" t="s">
        <v>20</v>
      </c>
      <c r="D158" s="65">
        <v>0.47099999999999997</v>
      </c>
      <c r="E158" s="65">
        <v>435.2869</v>
      </c>
      <c r="F158" s="80">
        <v>4.9029999999999996</v>
      </c>
      <c r="G158" s="78">
        <f t="shared" si="22"/>
        <v>2309.3129999999996</v>
      </c>
      <c r="H158" s="67">
        <v>1200</v>
      </c>
      <c r="I158" s="67">
        <f>2309.31*1200</f>
        <v>2771172</v>
      </c>
      <c r="J158" s="51" t="s">
        <v>51</v>
      </c>
      <c r="K158" s="76" t="s">
        <v>67</v>
      </c>
      <c r="L158" s="45" t="s">
        <v>36</v>
      </c>
    </row>
    <row r="159" spans="1:12" ht="20.149999999999999" customHeight="1">
      <c r="A159" s="44"/>
      <c r="B159" s="50"/>
      <c r="C159" s="52"/>
      <c r="D159" s="72"/>
      <c r="E159" s="72"/>
      <c r="F159" s="66"/>
      <c r="G159" s="69"/>
      <c r="H159" s="68"/>
      <c r="I159" s="69"/>
      <c r="J159" s="51"/>
      <c r="K159" s="70"/>
      <c r="L159" s="45"/>
    </row>
    <row r="160" spans="1:12" ht="20.149999999999999" customHeight="1">
      <c r="A160" s="44">
        <v>42552</v>
      </c>
      <c r="B160" s="50"/>
      <c r="C160" s="52" t="s">
        <v>20</v>
      </c>
      <c r="D160" s="65">
        <v>21.2088</v>
      </c>
      <c r="E160" s="65">
        <v>19604.354299999999</v>
      </c>
      <c r="F160" s="66">
        <v>7.5</v>
      </c>
      <c r="G160" s="67">
        <f>SUM(E160*F160)</f>
        <v>147032.65724999999</v>
      </c>
      <c r="H160" s="68">
        <v>1200</v>
      </c>
      <c r="I160" s="67">
        <f>147032.66*1200</f>
        <v>176439192</v>
      </c>
      <c r="J160" s="51" t="s">
        <v>51</v>
      </c>
      <c r="K160" s="75" t="s">
        <v>52</v>
      </c>
      <c r="L160" s="45" t="s">
        <v>36</v>
      </c>
    </row>
    <row r="161" spans="1:12" ht="20.149999999999999" customHeight="1">
      <c r="A161" s="44">
        <v>42552</v>
      </c>
      <c r="B161" s="50"/>
      <c r="C161" s="52" t="s">
        <v>20</v>
      </c>
      <c r="D161" s="65">
        <v>20.0776</v>
      </c>
      <c r="E161" s="65">
        <v>18558.729599999999</v>
      </c>
      <c r="F161" s="66">
        <v>7.5</v>
      </c>
      <c r="G161" s="67">
        <f t="shared" ref="G161:G163" si="23">SUM(E161*F161)</f>
        <v>139190.47199999998</v>
      </c>
      <c r="H161" s="68">
        <v>1200</v>
      </c>
      <c r="I161" s="67">
        <f>139190.47*1200</f>
        <v>167028564</v>
      </c>
      <c r="J161" s="51" t="s">
        <v>51</v>
      </c>
      <c r="K161" s="75" t="s">
        <v>53</v>
      </c>
      <c r="L161" s="45" t="s">
        <v>36</v>
      </c>
    </row>
    <row r="162" spans="1:12" ht="20.149999999999999" customHeight="1">
      <c r="A162" s="44">
        <v>42552</v>
      </c>
      <c r="B162" s="50"/>
      <c r="C162" s="52" t="s">
        <v>20</v>
      </c>
      <c r="D162" s="65">
        <v>0.41399999999999998</v>
      </c>
      <c r="E162" s="65">
        <v>382.68090000000001</v>
      </c>
      <c r="F162" s="66">
        <v>7.5</v>
      </c>
      <c r="G162" s="67">
        <f t="shared" si="23"/>
        <v>2870.1067499999999</v>
      </c>
      <c r="H162" s="68">
        <v>1200</v>
      </c>
      <c r="I162" s="67">
        <f>2870.11*1200</f>
        <v>3444132</v>
      </c>
      <c r="J162" s="51" t="s">
        <v>51</v>
      </c>
      <c r="K162" s="75" t="s">
        <v>55</v>
      </c>
      <c r="L162" s="45" t="s">
        <v>36</v>
      </c>
    </row>
    <row r="163" spans="1:12" ht="20.149999999999999" customHeight="1">
      <c r="A163" s="44">
        <v>42552</v>
      </c>
      <c r="B163" s="50"/>
      <c r="C163" s="52" t="s">
        <v>20</v>
      </c>
      <c r="D163" s="65">
        <v>1.1277999999999999</v>
      </c>
      <c r="E163" s="65">
        <v>1042.4819</v>
      </c>
      <c r="F163" s="66">
        <v>7.5</v>
      </c>
      <c r="G163" s="67">
        <f t="shared" si="23"/>
        <v>7818.6142499999996</v>
      </c>
      <c r="H163" s="68">
        <v>1200</v>
      </c>
      <c r="I163" s="67">
        <f>7818.61*1200</f>
        <v>9382332</v>
      </c>
      <c r="J163" s="51" t="s">
        <v>51</v>
      </c>
      <c r="K163" s="76" t="s">
        <v>56</v>
      </c>
      <c r="L163" s="45" t="s">
        <v>36</v>
      </c>
    </row>
    <row r="164" spans="1:12" ht="20.149999999999999" customHeight="1">
      <c r="A164" s="44">
        <v>42552</v>
      </c>
      <c r="B164" s="50"/>
      <c r="C164" s="52" t="s">
        <v>20</v>
      </c>
      <c r="D164" s="65">
        <v>134.28899999999999</v>
      </c>
      <c r="E164" s="65">
        <v>124130.03720000001</v>
      </c>
      <c r="F164" s="66">
        <v>7.5</v>
      </c>
      <c r="G164" s="67">
        <f>SUM(E164*F164)</f>
        <v>930975.2790000001</v>
      </c>
      <c r="H164" s="68">
        <v>1200</v>
      </c>
      <c r="I164" s="67">
        <f>930975.28*1200</f>
        <v>1117170336</v>
      </c>
      <c r="J164" s="51" t="s">
        <v>51</v>
      </c>
      <c r="K164" s="76" t="s">
        <v>76</v>
      </c>
      <c r="L164" s="45" t="s">
        <v>36</v>
      </c>
    </row>
    <row r="165" spans="1:12" ht="20.149999999999999" customHeight="1">
      <c r="A165" s="44">
        <v>42552</v>
      </c>
      <c r="B165" s="50"/>
      <c r="C165" s="52" t="s">
        <v>20</v>
      </c>
      <c r="D165" s="65">
        <v>139.2139</v>
      </c>
      <c r="E165" s="65">
        <v>128682.3685</v>
      </c>
      <c r="F165" s="66">
        <v>7.5</v>
      </c>
      <c r="G165" s="67">
        <f t="shared" ref="G165:G170" si="24">SUM(E165*F165)</f>
        <v>965117.76374999993</v>
      </c>
      <c r="H165" s="68">
        <v>1200</v>
      </c>
      <c r="I165" s="67">
        <f>965117.76*1200</f>
        <v>1158141312</v>
      </c>
      <c r="J165" s="51" t="s">
        <v>51</v>
      </c>
      <c r="K165" s="76" t="s">
        <v>69</v>
      </c>
      <c r="L165" s="45" t="s">
        <v>36</v>
      </c>
    </row>
    <row r="166" spans="1:12" ht="20.149999999999999" customHeight="1">
      <c r="A166" s="44">
        <v>42552</v>
      </c>
      <c r="B166" s="50"/>
      <c r="C166" s="52" t="s">
        <v>20</v>
      </c>
      <c r="D166" s="65">
        <v>671.89009999999996</v>
      </c>
      <c r="E166" s="65">
        <v>621061.6139</v>
      </c>
      <c r="F166" s="66">
        <v>7.5</v>
      </c>
      <c r="G166" s="67">
        <f t="shared" si="24"/>
        <v>4657962.1042499999</v>
      </c>
      <c r="H166" s="68">
        <v>1200</v>
      </c>
      <c r="I166" s="67">
        <f>4657962.1*1200</f>
        <v>5589554520</v>
      </c>
      <c r="J166" s="51" t="s">
        <v>51</v>
      </c>
      <c r="K166" s="76" t="s">
        <v>70</v>
      </c>
      <c r="L166" s="45" t="s">
        <v>36</v>
      </c>
    </row>
    <row r="167" spans="1:12" ht="20.149999999999999" customHeight="1">
      <c r="A167" s="44">
        <v>42552</v>
      </c>
      <c r="B167" s="50"/>
      <c r="C167" s="52" t="s">
        <v>20</v>
      </c>
      <c r="D167" s="65">
        <v>354.49900000000002</v>
      </c>
      <c r="E167" s="65">
        <v>327681.1507</v>
      </c>
      <c r="F167" s="66">
        <v>7.5</v>
      </c>
      <c r="G167" s="67">
        <f t="shared" si="24"/>
        <v>2457608.6302499999</v>
      </c>
      <c r="H167" s="68">
        <v>1200</v>
      </c>
      <c r="I167" s="67">
        <f>2457608.63*1200</f>
        <v>2949130356</v>
      </c>
      <c r="J167" s="51" t="s">
        <v>51</v>
      </c>
      <c r="K167" s="76" t="s">
        <v>71</v>
      </c>
      <c r="L167" s="45" t="s">
        <v>36</v>
      </c>
    </row>
    <row r="168" spans="1:12" ht="20.149999999999999" customHeight="1">
      <c r="A168" s="44">
        <v>42552</v>
      </c>
      <c r="B168" s="50"/>
      <c r="C168" s="52" t="s">
        <v>20</v>
      </c>
      <c r="D168" s="65">
        <v>22.807400000000001</v>
      </c>
      <c r="E168" s="65">
        <v>21082.020199999999</v>
      </c>
      <c r="F168" s="66">
        <v>7.5</v>
      </c>
      <c r="G168" s="67">
        <f t="shared" si="24"/>
        <v>158115.15149999998</v>
      </c>
      <c r="H168" s="68">
        <v>1200</v>
      </c>
      <c r="I168" s="67">
        <f>158115.15*1200</f>
        <v>189738180</v>
      </c>
      <c r="J168" s="51" t="s">
        <v>51</v>
      </c>
      <c r="K168" s="76" t="s">
        <v>73</v>
      </c>
      <c r="L168" s="45" t="s">
        <v>36</v>
      </c>
    </row>
    <row r="169" spans="1:12" ht="20.149999999999999" customHeight="1">
      <c r="A169" s="44">
        <v>42552</v>
      </c>
      <c r="B169" s="50"/>
      <c r="C169" s="52" t="s">
        <v>20</v>
      </c>
      <c r="D169" s="65">
        <v>0.81100000000000005</v>
      </c>
      <c r="E169" s="65">
        <v>749.64790000000005</v>
      </c>
      <c r="F169" s="66">
        <v>7.5</v>
      </c>
      <c r="G169" s="67">
        <f t="shared" si="24"/>
        <v>5622.3592500000004</v>
      </c>
      <c r="H169" s="68">
        <v>1200</v>
      </c>
      <c r="I169" s="67">
        <f>5622.36*1200</f>
        <v>6746832</v>
      </c>
      <c r="J169" s="51" t="s">
        <v>51</v>
      </c>
      <c r="K169" s="76" t="s">
        <v>62</v>
      </c>
      <c r="L169" s="45" t="s">
        <v>36</v>
      </c>
    </row>
    <row r="170" spans="1:12" ht="20.149999999999999" customHeight="1">
      <c r="A170" s="44">
        <v>42552</v>
      </c>
      <c r="B170" s="50"/>
      <c r="C170" s="52" t="s">
        <v>20</v>
      </c>
      <c r="D170" s="65">
        <v>99.543000000000006</v>
      </c>
      <c r="E170" s="65">
        <v>92012.572100000005</v>
      </c>
      <c r="F170" s="66">
        <v>7.5</v>
      </c>
      <c r="G170" s="67">
        <f t="shared" si="24"/>
        <v>690094.29075000004</v>
      </c>
      <c r="H170" s="68">
        <v>1200</v>
      </c>
      <c r="I170" s="67">
        <f>690094.29*1200</f>
        <v>828113148</v>
      </c>
      <c r="J170" s="51" t="s">
        <v>51</v>
      </c>
      <c r="K170" s="76" t="s">
        <v>75</v>
      </c>
      <c r="L170" s="45" t="s">
        <v>36</v>
      </c>
    </row>
    <row r="171" spans="1:12" ht="20.149999999999999" customHeight="1">
      <c r="A171" s="44">
        <v>42552</v>
      </c>
      <c r="B171" s="50"/>
      <c r="C171" s="52" t="s">
        <v>20</v>
      </c>
      <c r="D171" s="65">
        <v>0.153</v>
      </c>
      <c r="E171" s="65">
        <v>141.4256</v>
      </c>
      <c r="F171" s="77">
        <v>4.76</v>
      </c>
      <c r="G171" s="78">
        <v>728.28</v>
      </c>
      <c r="H171" s="78">
        <v>1200</v>
      </c>
      <c r="I171" s="67">
        <v>873936</v>
      </c>
      <c r="J171" s="51" t="s">
        <v>51</v>
      </c>
      <c r="K171" s="79" t="s">
        <v>63</v>
      </c>
      <c r="L171" s="45" t="s">
        <v>36</v>
      </c>
    </row>
    <row r="172" spans="1:12" ht="20.149999999999999" customHeight="1">
      <c r="A172" s="44">
        <v>42552</v>
      </c>
      <c r="B172" s="50"/>
      <c r="C172" s="52" t="s">
        <v>20</v>
      </c>
      <c r="D172" s="65">
        <v>1.002</v>
      </c>
      <c r="E172" s="65">
        <v>926.19870000000003</v>
      </c>
      <c r="F172" s="80">
        <v>4.2450000000000001</v>
      </c>
      <c r="G172" s="78">
        <v>4253.49</v>
      </c>
      <c r="H172" s="67">
        <v>1200</v>
      </c>
      <c r="I172" s="67">
        <v>5104188</v>
      </c>
      <c r="J172" s="51" t="s">
        <v>51</v>
      </c>
      <c r="K172" s="76" t="s">
        <v>64</v>
      </c>
      <c r="L172" s="45" t="s">
        <v>36</v>
      </c>
    </row>
    <row r="173" spans="1:12" ht="20.149999999999999" customHeight="1">
      <c r="A173" s="44">
        <v>42552</v>
      </c>
      <c r="B173" s="50"/>
      <c r="C173" s="52" t="s">
        <v>20</v>
      </c>
      <c r="D173" s="65">
        <v>1.2585999999999999</v>
      </c>
      <c r="E173" s="65">
        <v>1163.3869</v>
      </c>
      <c r="F173" s="80">
        <v>4.2450000000000001</v>
      </c>
      <c r="G173" s="78">
        <v>5342.7569999999996</v>
      </c>
      <c r="H173" s="67">
        <v>1200</v>
      </c>
      <c r="I173" s="67">
        <v>6411312</v>
      </c>
      <c r="J173" s="51" t="s">
        <v>51</v>
      </c>
      <c r="K173" s="76" t="s">
        <v>65</v>
      </c>
      <c r="L173" s="45" t="s">
        <v>36</v>
      </c>
    </row>
    <row r="174" spans="1:12" ht="20.149999999999999" customHeight="1">
      <c r="A174" s="44">
        <v>42552</v>
      </c>
      <c r="B174" s="50"/>
      <c r="C174" s="52" t="s">
        <v>20</v>
      </c>
      <c r="D174" s="65">
        <v>1.212</v>
      </c>
      <c r="E174" s="65">
        <v>1120.3122000000001</v>
      </c>
      <c r="F174" s="80">
        <v>4.2450000000000001</v>
      </c>
      <c r="G174" s="78">
        <v>5144.9400000000005</v>
      </c>
      <c r="H174" s="67">
        <v>1200</v>
      </c>
      <c r="I174" s="67">
        <v>6173927.9999999991</v>
      </c>
      <c r="J174" s="51" t="s">
        <v>51</v>
      </c>
      <c r="K174" s="76" t="s">
        <v>66</v>
      </c>
      <c r="L174" s="45" t="s">
        <v>36</v>
      </c>
    </row>
    <row r="175" spans="1:12" ht="20.149999999999999" customHeight="1">
      <c r="A175" s="44">
        <v>42552</v>
      </c>
      <c r="B175" s="50"/>
      <c r="C175" s="52" t="s">
        <v>20</v>
      </c>
      <c r="D175" s="65">
        <v>0.40799999999999997</v>
      </c>
      <c r="E175" s="65">
        <v>377.13479999999998</v>
      </c>
      <c r="F175" s="80">
        <v>4.2450000000000001</v>
      </c>
      <c r="G175" s="78">
        <v>1731.96</v>
      </c>
      <c r="H175" s="67">
        <v>1200</v>
      </c>
      <c r="I175" s="67">
        <v>2078352</v>
      </c>
      <c r="J175" s="51" t="s">
        <v>51</v>
      </c>
      <c r="K175" s="76" t="s">
        <v>67</v>
      </c>
      <c r="L175" s="45" t="s">
        <v>36</v>
      </c>
    </row>
    <row r="176" spans="1:12" ht="20.149999999999999" customHeight="1">
      <c r="A176" s="44"/>
      <c r="B176" s="50"/>
      <c r="C176" s="52"/>
      <c r="D176" s="72"/>
      <c r="E176" s="72"/>
      <c r="F176" s="66"/>
      <c r="G176" s="69"/>
      <c r="H176" s="68"/>
      <c r="I176" s="69"/>
      <c r="J176" s="51"/>
      <c r="K176" s="70"/>
      <c r="L176" s="45"/>
    </row>
    <row r="177" spans="1:12" ht="20.149999999999999" customHeight="1">
      <c r="A177" s="44">
        <v>42583</v>
      </c>
      <c r="B177" s="50"/>
      <c r="C177" s="52" t="s">
        <v>20</v>
      </c>
      <c r="D177" s="65">
        <v>136.04249999999999</v>
      </c>
      <c r="E177" s="65">
        <v>126079.97169999999</v>
      </c>
      <c r="F177" s="66">
        <v>7.5</v>
      </c>
      <c r="G177" s="67">
        <v>945599.7877499999</v>
      </c>
      <c r="H177" s="68">
        <v>1200</v>
      </c>
      <c r="I177" s="67">
        <v>1134719748</v>
      </c>
      <c r="J177" s="51" t="s">
        <v>51</v>
      </c>
      <c r="K177" s="75" t="s">
        <v>52</v>
      </c>
      <c r="L177" s="45" t="s">
        <v>36</v>
      </c>
    </row>
    <row r="178" spans="1:12" ht="20.149999999999999" customHeight="1">
      <c r="A178" s="44">
        <v>42583</v>
      </c>
      <c r="B178" s="50"/>
      <c r="C178" s="52" t="s">
        <v>20</v>
      </c>
      <c r="D178" s="65">
        <v>61.216200000000001</v>
      </c>
      <c r="E178" s="65">
        <v>56733.2765</v>
      </c>
      <c r="F178" s="66">
        <v>7.5</v>
      </c>
      <c r="G178" s="67">
        <v>425499.57374999998</v>
      </c>
      <c r="H178" s="68">
        <v>1200</v>
      </c>
      <c r="I178" s="67">
        <v>510599484</v>
      </c>
      <c r="J178" s="51" t="s">
        <v>51</v>
      </c>
      <c r="K178" s="75" t="s">
        <v>53</v>
      </c>
      <c r="L178" s="45" t="s">
        <v>36</v>
      </c>
    </row>
    <row r="179" spans="1:12" ht="20.149999999999999" customHeight="1">
      <c r="A179" s="44">
        <v>42583</v>
      </c>
      <c r="B179" s="50"/>
      <c r="C179" s="52" t="s">
        <v>20</v>
      </c>
      <c r="D179" s="65">
        <v>0.63100000000000001</v>
      </c>
      <c r="E179" s="65">
        <v>584.7912</v>
      </c>
      <c r="F179" s="66">
        <v>7.5</v>
      </c>
      <c r="G179" s="67">
        <v>4385.9340000000002</v>
      </c>
      <c r="H179" s="68">
        <v>1200</v>
      </c>
      <c r="I179" s="67">
        <v>5263116</v>
      </c>
      <c r="J179" s="51" t="s">
        <v>51</v>
      </c>
      <c r="K179" s="75" t="s">
        <v>55</v>
      </c>
      <c r="L179" s="45" t="s">
        <v>36</v>
      </c>
    </row>
    <row r="180" spans="1:12" ht="20.149999999999999" customHeight="1">
      <c r="A180" s="44">
        <v>42583</v>
      </c>
      <c r="B180" s="50"/>
      <c r="C180" s="52" t="s">
        <v>20</v>
      </c>
      <c r="D180" s="65">
        <v>2.3458999999999999</v>
      </c>
      <c r="E180" s="65">
        <v>2174.1073999999999</v>
      </c>
      <c r="F180" s="66">
        <v>7.5</v>
      </c>
      <c r="G180" s="67">
        <v>16305.805499999999</v>
      </c>
      <c r="H180" s="68">
        <v>1200</v>
      </c>
      <c r="I180" s="67">
        <v>19566972</v>
      </c>
      <c r="J180" s="51" t="s">
        <v>51</v>
      </c>
      <c r="K180" s="76" t="s">
        <v>56</v>
      </c>
      <c r="L180" s="45" t="s">
        <v>36</v>
      </c>
    </row>
    <row r="181" spans="1:12" ht="20.149999999999999" customHeight="1">
      <c r="A181" s="44">
        <v>42583</v>
      </c>
      <c r="B181" s="50"/>
      <c r="C181" s="52" t="s">
        <v>20</v>
      </c>
      <c r="D181" s="65">
        <v>126.7474</v>
      </c>
      <c r="E181" s="65">
        <v>117465.5612</v>
      </c>
      <c r="F181" s="66">
        <v>7.5</v>
      </c>
      <c r="G181" s="67">
        <v>880991.70900000003</v>
      </c>
      <c r="H181" s="68">
        <v>1200</v>
      </c>
      <c r="I181" s="67">
        <v>1057190052</v>
      </c>
      <c r="J181" s="51" t="s">
        <v>51</v>
      </c>
      <c r="K181" s="76" t="s">
        <v>76</v>
      </c>
      <c r="L181" s="45" t="s">
        <v>36</v>
      </c>
    </row>
    <row r="182" spans="1:12" ht="20.149999999999999" customHeight="1">
      <c r="A182" s="44">
        <v>42583</v>
      </c>
      <c r="B182" s="50"/>
      <c r="C182" s="52" t="s">
        <v>20</v>
      </c>
      <c r="D182" s="65">
        <v>173.35820000000001</v>
      </c>
      <c r="E182" s="65">
        <v>160663.00570000001</v>
      </c>
      <c r="F182" s="66">
        <v>7.5</v>
      </c>
      <c r="G182" s="67">
        <v>1204972.54275</v>
      </c>
      <c r="H182" s="68">
        <v>1200</v>
      </c>
      <c r="I182" s="67">
        <v>1445967048</v>
      </c>
      <c r="J182" s="51" t="s">
        <v>51</v>
      </c>
      <c r="K182" s="76" t="s">
        <v>69</v>
      </c>
      <c r="L182" s="45" t="s">
        <v>36</v>
      </c>
    </row>
    <row r="183" spans="1:12" ht="20.149999999999999" customHeight="1">
      <c r="A183" s="44">
        <v>42583</v>
      </c>
      <c r="B183" s="50"/>
      <c r="C183" s="52" t="s">
        <v>20</v>
      </c>
      <c r="D183" s="65">
        <v>902.43939999999998</v>
      </c>
      <c r="E183" s="65">
        <v>836352.86029999994</v>
      </c>
      <c r="F183" s="66">
        <v>7.5</v>
      </c>
      <c r="G183" s="67">
        <v>6272646.4522499992</v>
      </c>
      <c r="H183" s="68">
        <v>1200</v>
      </c>
      <c r="I183" s="67">
        <v>7527175740</v>
      </c>
      <c r="J183" s="51" t="s">
        <v>51</v>
      </c>
      <c r="K183" s="76" t="s">
        <v>70</v>
      </c>
      <c r="L183" s="45" t="s">
        <v>36</v>
      </c>
    </row>
    <row r="184" spans="1:12" ht="20.149999999999999" customHeight="1">
      <c r="A184" s="44">
        <v>42583</v>
      </c>
      <c r="B184" s="50"/>
      <c r="C184" s="52" t="s">
        <v>20</v>
      </c>
      <c r="D184" s="65">
        <v>515.23699999999997</v>
      </c>
      <c r="E184" s="65">
        <v>477505.67930000002</v>
      </c>
      <c r="F184" s="66">
        <v>7.5</v>
      </c>
      <c r="G184" s="67">
        <v>3581292.5947500002</v>
      </c>
      <c r="H184" s="68">
        <v>1200</v>
      </c>
      <c r="I184" s="67">
        <v>4297551108</v>
      </c>
      <c r="J184" s="51" t="s">
        <v>51</v>
      </c>
      <c r="K184" s="76" t="s">
        <v>71</v>
      </c>
      <c r="L184" s="45" t="s">
        <v>36</v>
      </c>
    </row>
    <row r="185" spans="1:12" ht="20.149999999999999" customHeight="1">
      <c r="A185" s="44">
        <v>42583</v>
      </c>
      <c r="B185" s="50"/>
      <c r="C185" s="52" t="s">
        <v>20</v>
      </c>
      <c r="D185" s="65">
        <v>33.174399999999999</v>
      </c>
      <c r="E185" s="65">
        <v>30745.005499999999</v>
      </c>
      <c r="F185" s="66">
        <v>7.5</v>
      </c>
      <c r="G185" s="67">
        <v>230587.54125000001</v>
      </c>
      <c r="H185" s="68">
        <v>1200</v>
      </c>
      <c r="I185" s="67">
        <v>276705048</v>
      </c>
      <c r="J185" s="51" t="s">
        <v>51</v>
      </c>
      <c r="K185" s="76" t="s">
        <v>73</v>
      </c>
      <c r="L185" s="45" t="s">
        <v>36</v>
      </c>
    </row>
    <row r="186" spans="1:12" ht="20.149999999999999" customHeight="1">
      <c r="A186" s="44">
        <v>42583</v>
      </c>
      <c r="B186" s="50"/>
      <c r="C186" s="52" t="s">
        <v>20</v>
      </c>
      <c r="D186" s="65">
        <v>1.046</v>
      </c>
      <c r="E186" s="65">
        <v>969.40039999999999</v>
      </c>
      <c r="F186" s="66">
        <v>7.5</v>
      </c>
      <c r="G186" s="67">
        <v>7270.5029999999997</v>
      </c>
      <c r="H186" s="68">
        <v>1200</v>
      </c>
      <c r="I186" s="67">
        <v>8724600</v>
      </c>
      <c r="J186" s="51" t="s">
        <v>51</v>
      </c>
      <c r="K186" s="76" t="s">
        <v>62</v>
      </c>
      <c r="L186" s="45" t="s">
        <v>36</v>
      </c>
    </row>
    <row r="187" spans="1:12" ht="20.149999999999999" customHeight="1">
      <c r="A187" s="44">
        <v>42583</v>
      </c>
      <c r="B187" s="50"/>
      <c r="C187" s="52" t="s">
        <v>20</v>
      </c>
      <c r="D187" s="65">
        <v>150.90799999999999</v>
      </c>
      <c r="E187" s="65">
        <v>139856.85630000001</v>
      </c>
      <c r="F187" s="66">
        <v>7.5</v>
      </c>
      <c r="G187" s="67">
        <v>1048926.4222500001</v>
      </c>
      <c r="H187" s="68">
        <v>1200</v>
      </c>
      <c r="I187" s="67">
        <v>1258711704</v>
      </c>
      <c r="J187" s="51" t="s">
        <v>51</v>
      </c>
      <c r="K187" s="76" t="s">
        <v>75</v>
      </c>
      <c r="L187" s="45" t="s">
        <v>36</v>
      </c>
    </row>
    <row r="188" spans="1:12" ht="20.149999999999999" customHeight="1">
      <c r="A188" s="44">
        <v>42583</v>
      </c>
      <c r="B188" s="50"/>
      <c r="C188" s="52" t="s">
        <v>20</v>
      </c>
      <c r="D188" s="65">
        <v>0.22900000000000001</v>
      </c>
      <c r="E188" s="65">
        <v>212.23009999999999</v>
      </c>
      <c r="F188" s="77">
        <v>4.7725</v>
      </c>
      <c r="G188" s="78">
        <v>1092.9025000000001</v>
      </c>
      <c r="H188" s="78">
        <v>1200</v>
      </c>
      <c r="I188" s="67">
        <v>1311480</v>
      </c>
      <c r="J188" s="51" t="s">
        <v>51</v>
      </c>
      <c r="K188" s="79" t="s">
        <v>63</v>
      </c>
      <c r="L188" s="45" t="s">
        <v>36</v>
      </c>
    </row>
    <row r="189" spans="1:12" ht="20.149999999999999" customHeight="1">
      <c r="A189" s="44">
        <v>42583</v>
      </c>
      <c r="B189" s="50"/>
      <c r="C189" s="52" t="s">
        <v>20</v>
      </c>
      <c r="D189" s="65">
        <v>1.841</v>
      </c>
      <c r="E189" s="65">
        <v>1706.1817000000001</v>
      </c>
      <c r="F189" s="80">
        <v>4.4142000000000001</v>
      </c>
      <c r="G189" s="78">
        <v>8126.542199999999</v>
      </c>
      <c r="H189" s="67">
        <v>1200</v>
      </c>
      <c r="I189" s="67">
        <v>9751848</v>
      </c>
      <c r="J189" s="51" t="s">
        <v>51</v>
      </c>
      <c r="K189" s="76" t="s">
        <v>64</v>
      </c>
      <c r="L189" s="45" t="s">
        <v>36</v>
      </c>
    </row>
    <row r="190" spans="1:12" ht="20.149999999999999" customHeight="1">
      <c r="A190" s="44">
        <v>42583</v>
      </c>
      <c r="B190" s="50"/>
      <c r="C190" s="52" t="s">
        <v>20</v>
      </c>
      <c r="D190" s="65">
        <v>2.0792999999999999</v>
      </c>
      <c r="E190" s="65">
        <v>1927.0308</v>
      </c>
      <c r="F190" s="80">
        <v>4.4142000000000001</v>
      </c>
      <c r="G190" s="78">
        <v>9178.4460600000002</v>
      </c>
      <c r="H190" s="67">
        <v>1200</v>
      </c>
      <c r="I190" s="67">
        <v>11014140</v>
      </c>
      <c r="J190" s="51" t="s">
        <v>51</v>
      </c>
      <c r="K190" s="76" t="s">
        <v>65</v>
      </c>
      <c r="L190" s="45" t="s">
        <v>36</v>
      </c>
    </row>
    <row r="191" spans="1:12" ht="20.149999999999999" customHeight="1">
      <c r="A191" s="44">
        <v>42583</v>
      </c>
      <c r="B191" s="50"/>
      <c r="C191" s="52" t="s">
        <v>20</v>
      </c>
      <c r="D191" s="65">
        <v>1.919</v>
      </c>
      <c r="E191" s="65">
        <v>1778.4697000000001</v>
      </c>
      <c r="F191" s="80">
        <v>4.4142000000000001</v>
      </c>
      <c r="G191" s="78">
        <v>8470.8498</v>
      </c>
      <c r="H191" s="67">
        <v>1200</v>
      </c>
      <c r="I191" s="67">
        <v>10165020</v>
      </c>
      <c r="J191" s="51" t="s">
        <v>51</v>
      </c>
      <c r="K191" s="76" t="s">
        <v>66</v>
      </c>
      <c r="L191" s="45" t="s">
        <v>36</v>
      </c>
    </row>
    <row r="192" spans="1:12" ht="20.149999999999999" customHeight="1">
      <c r="A192" s="44">
        <v>42583</v>
      </c>
      <c r="B192" s="50"/>
      <c r="C192" s="52" t="s">
        <v>20</v>
      </c>
      <c r="D192" s="65">
        <v>0.56999999999999995</v>
      </c>
      <c r="E192" s="65">
        <v>528.25829999999996</v>
      </c>
      <c r="F192" s="80">
        <v>4.4142000000000001</v>
      </c>
      <c r="G192" s="78">
        <v>2516.0940000000001</v>
      </c>
      <c r="H192" s="67">
        <v>1200</v>
      </c>
      <c r="I192" s="67">
        <v>3019308</v>
      </c>
      <c r="J192" s="51" t="s">
        <v>51</v>
      </c>
      <c r="K192" s="76" t="s">
        <v>67</v>
      </c>
      <c r="L192" s="45" t="s">
        <v>36</v>
      </c>
    </row>
    <row r="193" spans="1:12" ht="20.149999999999999" customHeight="1">
      <c r="A193" s="44"/>
      <c r="B193" s="50"/>
      <c r="C193" s="52"/>
      <c r="D193" s="72"/>
      <c r="E193" s="72"/>
      <c r="F193" s="66"/>
      <c r="G193" s="69"/>
      <c r="H193" s="68"/>
      <c r="I193" s="69"/>
      <c r="J193" s="51"/>
      <c r="K193" s="70"/>
      <c r="L193" s="45"/>
    </row>
    <row r="194" spans="1:12" ht="20.149999999999999" customHeight="1">
      <c r="A194" s="44">
        <v>42614</v>
      </c>
      <c r="B194" s="50"/>
      <c r="C194" s="52" t="s">
        <v>20</v>
      </c>
      <c r="D194" s="65">
        <v>72.523499999999999</v>
      </c>
      <c r="E194" s="65">
        <v>67439.167499999996</v>
      </c>
      <c r="F194" s="66">
        <v>7.5</v>
      </c>
      <c r="G194" s="67">
        <v>505793.75624999998</v>
      </c>
      <c r="H194" s="68">
        <v>1200</v>
      </c>
      <c r="I194" s="67">
        <v>606952512</v>
      </c>
      <c r="J194" s="51" t="s">
        <v>51</v>
      </c>
      <c r="K194" s="75" t="s">
        <v>52</v>
      </c>
      <c r="L194" s="45" t="s">
        <v>36</v>
      </c>
    </row>
    <row r="195" spans="1:12" ht="20.149999999999999" customHeight="1">
      <c r="A195" s="44">
        <v>42614</v>
      </c>
      <c r="B195" s="50"/>
      <c r="C195" s="52" t="s">
        <v>20</v>
      </c>
      <c r="D195" s="65">
        <v>26.790900000000001</v>
      </c>
      <c r="E195" s="65">
        <v>24912.697199999999</v>
      </c>
      <c r="F195" s="66">
        <v>7.5</v>
      </c>
      <c r="G195" s="67">
        <v>186845.22899999999</v>
      </c>
      <c r="H195" s="68">
        <v>1200</v>
      </c>
      <c r="I195" s="67">
        <v>224214276</v>
      </c>
      <c r="J195" s="51" t="s">
        <v>51</v>
      </c>
      <c r="K195" s="75" t="s">
        <v>53</v>
      </c>
      <c r="L195" s="45" t="s">
        <v>36</v>
      </c>
    </row>
    <row r="196" spans="1:12" ht="20.149999999999999" customHeight="1">
      <c r="A196" s="44">
        <v>42614</v>
      </c>
      <c r="B196" s="50"/>
      <c r="C196" s="52" t="s">
        <v>20</v>
      </c>
      <c r="D196" s="65">
        <v>0.497</v>
      </c>
      <c r="E196" s="65">
        <v>462.15730000000002</v>
      </c>
      <c r="F196" s="66">
        <v>7.5</v>
      </c>
      <c r="G196" s="67">
        <v>3466.1797500000002</v>
      </c>
      <c r="H196" s="68">
        <v>1200</v>
      </c>
      <c r="I196" s="67">
        <v>4159416</v>
      </c>
      <c r="J196" s="51" t="s">
        <v>51</v>
      </c>
      <c r="K196" s="75" t="s">
        <v>55</v>
      </c>
      <c r="L196" s="45" t="s">
        <v>36</v>
      </c>
    </row>
    <row r="197" spans="1:12" ht="20.149999999999999" customHeight="1">
      <c r="A197" s="44">
        <v>42614</v>
      </c>
      <c r="B197" s="50"/>
      <c r="C197" s="52" t="s">
        <v>20</v>
      </c>
      <c r="D197" s="65">
        <v>1.2849999999999999</v>
      </c>
      <c r="E197" s="65">
        <v>1194.9138</v>
      </c>
      <c r="F197" s="66">
        <v>7.5</v>
      </c>
      <c r="G197" s="67">
        <v>8961.8535000000011</v>
      </c>
      <c r="H197" s="68">
        <v>1200</v>
      </c>
      <c r="I197" s="67">
        <v>10754220</v>
      </c>
      <c r="J197" s="51" t="s">
        <v>51</v>
      </c>
      <c r="K197" s="76" t="s">
        <v>56</v>
      </c>
      <c r="L197" s="45" t="s">
        <v>36</v>
      </c>
    </row>
    <row r="198" spans="1:12" ht="20.149999999999999" customHeight="1">
      <c r="A198" s="44">
        <v>42614</v>
      </c>
      <c r="B198" s="50"/>
      <c r="C198" s="52" t="s">
        <v>20</v>
      </c>
      <c r="D198" s="65">
        <v>19.3813</v>
      </c>
      <c r="E198" s="65">
        <v>18022.554599999999</v>
      </c>
      <c r="F198" s="66">
        <v>7.5</v>
      </c>
      <c r="G198" s="67">
        <v>135169.15950000001</v>
      </c>
      <c r="H198" s="68">
        <v>1200</v>
      </c>
      <c r="I198" s="67">
        <v>162202992</v>
      </c>
      <c r="J198" s="51" t="s">
        <v>51</v>
      </c>
      <c r="K198" s="76" t="s">
        <v>76</v>
      </c>
      <c r="L198" s="45" t="s">
        <v>36</v>
      </c>
    </row>
    <row r="199" spans="1:12" ht="20.149999999999999" customHeight="1">
      <c r="A199" s="44">
        <v>42614</v>
      </c>
      <c r="B199" s="50"/>
      <c r="C199" s="52" t="s">
        <v>20</v>
      </c>
      <c r="D199" s="65">
        <v>171.54400000000001</v>
      </c>
      <c r="E199" s="65">
        <v>159517.73629999999</v>
      </c>
      <c r="F199" s="66">
        <v>7.5</v>
      </c>
      <c r="G199" s="67">
        <v>1196383.0222499999</v>
      </c>
      <c r="H199" s="68">
        <v>1200</v>
      </c>
      <c r="I199" s="67">
        <v>1435659624</v>
      </c>
      <c r="J199" s="51" t="s">
        <v>51</v>
      </c>
      <c r="K199" s="76" t="s">
        <v>69</v>
      </c>
      <c r="L199" s="45" t="s">
        <v>36</v>
      </c>
    </row>
    <row r="200" spans="1:12" ht="20.149999999999999" customHeight="1">
      <c r="A200" s="44">
        <v>42614</v>
      </c>
      <c r="B200" s="50"/>
      <c r="C200" s="52" t="s">
        <v>20</v>
      </c>
      <c r="D200" s="65">
        <v>621.24990000000003</v>
      </c>
      <c r="E200" s="65">
        <v>577696.55449999997</v>
      </c>
      <c r="F200" s="66">
        <v>7.5</v>
      </c>
      <c r="G200" s="67">
        <v>4332724.1587499995</v>
      </c>
      <c r="H200" s="68">
        <v>1200</v>
      </c>
      <c r="I200" s="67">
        <v>5199268992</v>
      </c>
      <c r="J200" s="51" t="s">
        <v>51</v>
      </c>
      <c r="K200" s="76" t="s">
        <v>70</v>
      </c>
      <c r="L200" s="45" t="s">
        <v>36</v>
      </c>
    </row>
    <row r="201" spans="1:12" ht="20.149999999999999" customHeight="1">
      <c r="A201" s="44">
        <v>42614</v>
      </c>
      <c r="B201" s="50"/>
      <c r="C201" s="52" t="s">
        <v>20</v>
      </c>
      <c r="D201" s="65">
        <v>473.89299999999997</v>
      </c>
      <c r="E201" s="65">
        <v>440670.2573</v>
      </c>
      <c r="F201" s="66">
        <v>7.5</v>
      </c>
      <c r="G201" s="67">
        <v>3305026.9297500001</v>
      </c>
      <c r="H201" s="68">
        <v>1200</v>
      </c>
      <c r="I201" s="67">
        <v>3966032316</v>
      </c>
      <c r="J201" s="51" t="s">
        <v>51</v>
      </c>
      <c r="K201" s="76" t="s">
        <v>71</v>
      </c>
      <c r="L201" s="45" t="s">
        <v>36</v>
      </c>
    </row>
    <row r="202" spans="1:12" ht="20.149999999999999" customHeight="1">
      <c r="A202" s="44">
        <v>42614</v>
      </c>
      <c r="B202" s="50"/>
      <c r="C202" s="52" t="s">
        <v>20</v>
      </c>
      <c r="D202" s="65">
        <v>31.314800000000002</v>
      </c>
      <c r="E202" s="65">
        <v>29119.444599999999</v>
      </c>
      <c r="F202" s="66">
        <v>7.5</v>
      </c>
      <c r="G202" s="67">
        <v>218395.8345</v>
      </c>
      <c r="H202" s="68">
        <v>1200</v>
      </c>
      <c r="I202" s="67">
        <v>262074995.99999997</v>
      </c>
      <c r="J202" s="51" t="s">
        <v>51</v>
      </c>
      <c r="K202" s="76" t="s">
        <v>73</v>
      </c>
      <c r="L202" s="45" t="s">
        <v>36</v>
      </c>
    </row>
    <row r="203" spans="1:12" ht="20.149999999999999" customHeight="1">
      <c r="A203" s="44">
        <v>42614</v>
      </c>
      <c r="B203" s="50"/>
      <c r="C203" s="52" t="s">
        <v>20</v>
      </c>
      <c r="D203" s="65">
        <v>0.84099999999999997</v>
      </c>
      <c r="E203" s="65">
        <v>782.04089999999997</v>
      </c>
      <c r="F203" s="66">
        <v>7.5</v>
      </c>
      <c r="G203" s="67">
        <v>5865.3067499999997</v>
      </c>
      <c r="H203" s="68">
        <v>1200</v>
      </c>
      <c r="I203" s="67">
        <v>7038372.0000000009</v>
      </c>
      <c r="J203" s="51" t="s">
        <v>51</v>
      </c>
      <c r="K203" s="76" t="s">
        <v>62</v>
      </c>
      <c r="L203" s="45" t="s">
        <v>36</v>
      </c>
    </row>
    <row r="204" spans="1:12" ht="20.149999999999999" customHeight="1">
      <c r="A204" s="44">
        <v>42614</v>
      </c>
      <c r="B204" s="50"/>
      <c r="C204" s="52" t="s">
        <v>20</v>
      </c>
      <c r="D204" s="65">
        <v>34.366999999999997</v>
      </c>
      <c r="E204" s="65">
        <v>31957.667099999999</v>
      </c>
      <c r="F204" s="66">
        <v>7.5</v>
      </c>
      <c r="G204" s="67">
        <v>239682.50324999998</v>
      </c>
      <c r="H204" s="68">
        <v>1200</v>
      </c>
      <c r="I204" s="67">
        <v>287619000</v>
      </c>
      <c r="J204" s="51" t="s">
        <v>51</v>
      </c>
      <c r="K204" s="76" t="s">
        <v>77</v>
      </c>
      <c r="L204" s="45" t="s">
        <v>36</v>
      </c>
    </row>
    <row r="205" spans="1:12" ht="20.149999999999999" customHeight="1">
      <c r="A205" s="44">
        <v>42614</v>
      </c>
      <c r="B205" s="50"/>
      <c r="C205" s="52" t="s">
        <v>20</v>
      </c>
      <c r="D205" s="65">
        <v>163.36099999999999</v>
      </c>
      <c r="E205" s="65">
        <v>151908.4137</v>
      </c>
      <c r="F205" s="66">
        <v>7.5</v>
      </c>
      <c r="G205" s="67">
        <v>1139313.1027500001</v>
      </c>
      <c r="H205" s="68">
        <v>1200</v>
      </c>
      <c r="I205" s="67">
        <v>1367175720</v>
      </c>
      <c r="J205" s="51" t="s">
        <v>51</v>
      </c>
      <c r="K205" s="76" t="s">
        <v>75</v>
      </c>
      <c r="L205" s="45" t="s">
        <v>36</v>
      </c>
    </row>
    <row r="206" spans="1:12" ht="20.149999999999999" customHeight="1">
      <c r="A206" s="44">
        <v>42614</v>
      </c>
      <c r="B206" s="50"/>
      <c r="C206" s="52" t="s">
        <v>20</v>
      </c>
      <c r="D206" s="65">
        <v>9.4E-2</v>
      </c>
      <c r="E206" s="65">
        <v>87.41</v>
      </c>
      <c r="F206" s="77">
        <v>4.7885999999999997</v>
      </c>
      <c r="G206" s="78">
        <v>450.1284</v>
      </c>
      <c r="H206" s="78">
        <v>1200</v>
      </c>
      <c r="I206" s="67">
        <v>540156</v>
      </c>
      <c r="J206" s="51" t="s">
        <v>51</v>
      </c>
      <c r="K206" s="79" t="s">
        <v>63</v>
      </c>
      <c r="L206" s="45" t="s">
        <v>36</v>
      </c>
    </row>
    <row r="207" spans="1:12" ht="20.149999999999999" customHeight="1">
      <c r="A207" s="44">
        <v>42614</v>
      </c>
      <c r="B207" s="50"/>
      <c r="C207" s="52" t="s">
        <v>20</v>
      </c>
      <c r="D207" s="65">
        <v>1.792</v>
      </c>
      <c r="E207" s="65">
        <v>1666.37</v>
      </c>
      <c r="F207" s="80">
        <v>4.3399000000000001</v>
      </c>
      <c r="G207" s="78">
        <v>7777.1008000000002</v>
      </c>
      <c r="H207" s="67">
        <v>1200</v>
      </c>
      <c r="I207" s="67">
        <v>9332520</v>
      </c>
      <c r="J207" s="51" t="s">
        <v>51</v>
      </c>
      <c r="K207" s="76" t="s">
        <v>64</v>
      </c>
      <c r="L207" s="45" t="s">
        <v>36</v>
      </c>
    </row>
    <row r="208" spans="1:12" ht="20.149999999999999" customHeight="1">
      <c r="A208" s="44">
        <v>42614</v>
      </c>
      <c r="B208" s="50"/>
      <c r="C208" s="52" t="s">
        <v>20</v>
      </c>
      <c r="D208" s="65">
        <v>1.4430000000000001</v>
      </c>
      <c r="E208" s="65">
        <v>1341.837</v>
      </c>
      <c r="F208" s="80">
        <v>4.3399000000000001</v>
      </c>
      <c r="G208" s="78">
        <v>6262.4757000000009</v>
      </c>
      <c r="H208" s="67">
        <v>1200</v>
      </c>
      <c r="I208" s="67">
        <v>7514975.9999999991</v>
      </c>
      <c r="J208" s="51" t="s">
        <v>51</v>
      </c>
      <c r="K208" s="76" t="s">
        <v>78</v>
      </c>
      <c r="L208" s="45" t="s">
        <v>36</v>
      </c>
    </row>
    <row r="209" spans="1:12" ht="20.149999999999999" customHeight="1">
      <c r="A209" s="44">
        <v>42614</v>
      </c>
      <c r="B209" s="50"/>
      <c r="C209" s="52" t="s">
        <v>20</v>
      </c>
      <c r="D209" s="65">
        <v>2.1839</v>
      </c>
      <c r="E209" s="65">
        <v>2030.7954999999999</v>
      </c>
      <c r="F209" s="80">
        <v>4.3399000000000001</v>
      </c>
      <c r="G209" s="78">
        <v>9477.9076100000002</v>
      </c>
      <c r="H209" s="67">
        <v>1200</v>
      </c>
      <c r="I209" s="67">
        <v>11373492</v>
      </c>
      <c r="J209" s="51" t="s">
        <v>51</v>
      </c>
      <c r="K209" s="76" t="s">
        <v>65</v>
      </c>
      <c r="L209" s="45" t="s">
        <v>36</v>
      </c>
    </row>
    <row r="210" spans="1:12" ht="20.149999999999999" customHeight="1">
      <c r="A210" s="44">
        <v>42614</v>
      </c>
      <c r="B210" s="50"/>
      <c r="C210" s="52" t="s">
        <v>20</v>
      </c>
      <c r="D210" s="65">
        <v>1.657</v>
      </c>
      <c r="E210" s="65">
        <v>1540.8344</v>
      </c>
      <c r="F210" s="80">
        <v>4.3399000000000001</v>
      </c>
      <c r="G210" s="78">
        <v>7191.2143000000005</v>
      </c>
      <c r="H210" s="67">
        <v>1200</v>
      </c>
      <c r="I210" s="67">
        <v>8629452</v>
      </c>
      <c r="J210" s="51" t="s">
        <v>51</v>
      </c>
      <c r="K210" s="76" t="s">
        <v>66</v>
      </c>
      <c r="L210" s="45" t="s">
        <v>36</v>
      </c>
    </row>
    <row r="211" spans="1:12" ht="20.149999999999999" customHeight="1">
      <c r="A211" s="44">
        <v>42614</v>
      </c>
      <c r="B211" s="50"/>
      <c r="C211" s="52" t="s">
        <v>20</v>
      </c>
      <c r="D211" s="65">
        <v>0.57599999999999996</v>
      </c>
      <c r="E211" s="65">
        <v>535.61890000000005</v>
      </c>
      <c r="F211" s="80">
        <v>4.3399000000000001</v>
      </c>
      <c r="G211" s="78">
        <v>2499.7824000000001</v>
      </c>
      <c r="H211" s="67">
        <v>1200</v>
      </c>
      <c r="I211" s="67">
        <v>2999736.0000000005</v>
      </c>
      <c r="J211" s="51" t="s">
        <v>51</v>
      </c>
      <c r="K211" s="76" t="s">
        <v>67</v>
      </c>
      <c r="L211" s="45" t="s">
        <v>36</v>
      </c>
    </row>
    <row r="212" spans="1:12" ht="20.149999999999999" customHeight="1">
      <c r="A212" s="44"/>
      <c r="B212" s="50"/>
      <c r="C212" s="52" t="s">
        <v>20</v>
      </c>
      <c r="D212" s="72"/>
      <c r="E212" s="72"/>
      <c r="F212" s="66"/>
      <c r="G212" s="69"/>
      <c r="H212" s="68"/>
      <c r="I212" s="69"/>
      <c r="J212" s="51" t="s">
        <v>51</v>
      </c>
      <c r="K212" s="70"/>
      <c r="L212" s="45" t="s">
        <v>36</v>
      </c>
    </row>
    <row r="213" spans="1:12" ht="20.149999999999999" customHeight="1">
      <c r="A213" s="44">
        <v>42644</v>
      </c>
      <c r="B213" s="50"/>
      <c r="C213" s="52" t="s">
        <v>20</v>
      </c>
      <c r="D213" s="72">
        <v>29.491800000000001</v>
      </c>
      <c r="E213" s="72">
        <v>27603.439999999999</v>
      </c>
      <c r="F213" s="81">
        <v>7.5</v>
      </c>
      <c r="G213" s="69">
        <v>207025.8</v>
      </c>
      <c r="H213" s="69">
        <v>1215</v>
      </c>
      <c r="I213" s="69">
        <v>251536347</v>
      </c>
      <c r="J213" s="51" t="s">
        <v>51</v>
      </c>
      <c r="K213" s="79" t="s">
        <v>79</v>
      </c>
      <c r="L213" s="45" t="s">
        <v>36</v>
      </c>
    </row>
    <row r="214" spans="1:12" ht="20.149999999999999" customHeight="1">
      <c r="A214" s="44">
        <v>42644</v>
      </c>
      <c r="B214" s="50"/>
      <c r="C214" s="52" t="s">
        <v>20</v>
      </c>
      <c r="D214" s="72">
        <v>171.2465</v>
      </c>
      <c r="E214" s="72">
        <v>160281.58660000001</v>
      </c>
      <c r="F214" s="81">
        <v>7.5</v>
      </c>
      <c r="G214" s="69">
        <v>1202111.8995000001</v>
      </c>
      <c r="H214" s="69">
        <v>1215</v>
      </c>
      <c r="I214" s="69">
        <v>1460565958.5</v>
      </c>
      <c r="J214" s="51" t="s">
        <v>51</v>
      </c>
      <c r="K214" s="79" t="s">
        <v>80</v>
      </c>
      <c r="L214" s="45" t="s">
        <v>36</v>
      </c>
    </row>
    <row r="215" spans="1:12" ht="20.149999999999999" customHeight="1">
      <c r="A215" s="44">
        <v>42644</v>
      </c>
      <c r="B215" s="50"/>
      <c r="C215" s="52" t="s">
        <v>20</v>
      </c>
      <c r="D215" s="72">
        <v>681.73810000000003</v>
      </c>
      <c r="E215" s="72">
        <v>638086.40949999995</v>
      </c>
      <c r="F215" s="81">
        <v>7.5</v>
      </c>
      <c r="G215" s="69">
        <v>4785648.07125</v>
      </c>
      <c r="H215" s="69">
        <v>1215</v>
      </c>
      <c r="I215" s="69">
        <v>5814562405.0500002</v>
      </c>
      <c r="J215" s="51" t="s">
        <v>51</v>
      </c>
      <c r="K215" s="79" t="s">
        <v>70</v>
      </c>
      <c r="L215" s="45" t="s">
        <v>36</v>
      </c>
    </row>
    <row r="216" spans="1:12" ht="20.149999999999999" customHeight="1">
      <c r="A216" s="44">
        <v>42644</v>
      </c>
      <c r="B216" s="50"/>
      <c r="C216" s="52" t="s">
        <v>20</v>
      </c>
      <c r="D216" s="72">
        <v>529.47799999999995</v>
      </c>
      <c r="E216" s="72">
        <v>495575.52370000002</v>
      </c>
      <c r="F216" s="81">
        <v>7.5</v>
      </c>
      <c r="G216" s="69">
        <v>3716816.4277500003</v>
      </c>
      <c r="H216" s="69">
        <v>1215</v>
      </c>
      <c r="I216" s="69">
        <v>4515931962.4499998</v>
      </c>
      <c r="J216" s="51" t="s">
        <v>51</v>
      </c>
      <c r="K216" s="79" t="s">
        <v>71</v>
      </c>
      <c r="L216" s="45" t="s">
        <v>36</v>
      </c>
    </row>
    <row r="217" spans="1:12" ht="20.149999999999999" customHeight="1">
      <c r="A217" s="44">
        <v>42644</v>
      </c>
      <c r="B217" s="50"/>
      <c r="C217" s="52" t="s">
        <v>20</v>
      </c>
      <c r="D217" s="72">
        <v>33.496099999999998</v>
      </c>
      <c r="E217" s="72">
        <v>31351.344700000001</v>
      </c>
      <c r="F217" s="81">
        <v>7.5</v>
      </c>
      <c r="G217" s="69">
        <v>235135.08525</v>
      </c>
      <c r="H217" s="69">
        <v>1215</v>
      </c>
      <c r="I217" s="69">
        <v>285689134.35000002</v>
      </c>
      <c r="J217" s="51" t="s">
        <v>51</v>
      </c>
      <c r="K217" s="79" t="s">
        <v>81</v>
      </c>
      <c r="L217" s="45" t="s">
        <v>36</v>
      </c>
    </row>
    <row r="218" spans="1:12" ht="20.149999999999999" customHeight="1">
      <c r="A218" s="44">
        <v>42644</v>
      </c>
      <c r="B218" s="50"/>
      <c r="C218" s="52" t="s">
        <v>20</v>
      </c>
      <c r="D218" s="72">
        <v>167.74199999999999</v>
      </c>
      <c r="E218" s="72">
        <v>157001.4797</v>
      </c>
      <c r="F218" s="81">
        <v>7.5</v>
      </c>
      <c r="G218" s="69">
        <v>1177511.09775</v>
      </c>
      <c r="H218" s="69">
        <v>1215</v>
      </c>
      <c r="I218" s="69">
        <v>1430675986.5</v>
      </c>
      <c r="J218" s="51" t="s">
        <v>51</v>
      </c>
      <c r="K218" s="79" t="s">
        <v>82</v>
      </c>
      <c r="L218" s="45" t="s">
        <v>36</v>
      </c>
    </row>
    <row r="219" spans="1:12" ht="20.149999999999999" customHeight="1">
      <c r="A219" s="44">
        <v>42644</v>
      </c>
      <c r="B219" s="50"/>
      <c r="C219" s="52" t="s">
        <v>20</v>
      </c>
      <c r="D219" s="72">
        <v>0.69299999999999995</v>
      </c>
      <c r="E219" s="72">
        <v>648.62720000000002</v>
      </c>
      <c r="F219" s="81">
        <v>7.5</v>
      </c>
      <c r="G219" s="69">
        <v>4864.7039999999997</v>
      </c>
      <c r="H219" s="69">
        <v>1215</v>
      </c>
      <c r="I219" s="69">
        <v>5910610.5</v>
      </c>
      <c r="J219" s="51" t="s">
        <v>51</v>
      </c>
      <c r="K219" s="79" t="s">
        <v>62</v>
      </c>
      <c r="L219" s="45" t="s">
        <v>36</v>
      </c>
    </row>
    <row r="220" spans="1:12" ht="20.149999999999999" customHeight="1">
      <c r="A220" s="44">
        <v>42644</v>
      </c>
      <c r="B220" s="50"/>
      <c r="C220" s="52" t="s">
        <v>20</v>
      </c>
      <c r="D220" s="72">
        <v>35.786999999999999</v>
      </c>
      <c r="E220" s="72">
        <v>33495.558400000002</v>
      </c>
      <c r="F220" s="81">
        <v>7.5</v>
      </c>
      <c r="G220" s="69">
        <v>251216.68800000002</v>
      </c>
      <c r="H220" s="69">
        <v>1215</v>
      </c>
      <c r="I220" s="69">
        <v>305228278.35000002</v>
      </c>
      <c r="J220" s="51" t="s">
        <v>51</v>
      </c>
      <c r="K220" s="79" t="s">
        <v>77</v>
      </c>
      <c r="L220" s="45" t="s">
        <v>36</v>
      </c>
    </row>
    <row r="221" spans="1:12" ht="20.149999999999999" customHeight="1">
      <c r="A221" s="44">
        <v>42644</v>
      </c>
      <c r="B221" s="50"/>
      <c r="C221" s="52" t="s">
        <v>20</v>
      </c>
      <c r="D221" s="74">
        <v>80.451700000000002</v>
      </c>
      <c r="E221" s="72">
        <v>75300.377600000007</v>
      </c>
      <c r="F221" s="81">
        <v>7.5</v>
      </c>
      <c r="G221" s="69">
        <v>564752.83200000005</v>
      </c>
      <c r="H221" s="69">
        <v>1215</v>
      </c>
      <c r="I221" s="69">
        <v>686174688.44999993</v>
      </c>
      <c r="J221" s="51" t="s">
        <v>51</v>
      </c>
      <c r="K221" s="79" t="s">
        <v>83</v>
      </c>
      <c r="L221" s="45" t="s">
        <v>36</v>
      </c>
    </row>
    <row r="222" spans="1:12" ht="20.149999999999999" customHeight="1">
      <c r="A222" s="44">
        <v>42644</v>
      </c>
      <c r="B222" s="50"/>
      <c r="C222" s="52" t="s">
        <v>20</v>
      </c>
      <c r="D222" s="74">
        <v>1.5122</v>
      </c>
      <c r="E222" s="72">
        <v>1415.3738000000001</v>
      </c>
      <c r="F222" s="81">
        <v>7.5</v>
      </c>
      <c r="G222" s="69">
        <v>10615.3035</v>
      </c>
      <c r="H222" s="69">
        <v>1215</v>
      </c>
      <c r="I222" s="69">
        <v>12897589.5</v>
      </c>
      <c r="J222" s="51" t="s">
        <v>51</v>
      </c>
      <c r="K222" s="79" t="s">
        <v>84</v>
      </c>
      <c r="L222" s="45" t="s">
        <v>36</v>
      </c>
    </row>
    <row r="223" spans="1:12" ht="20.149999999999999" customHeight="1">
      <c r="A223" s="44">
        <v>42644</v>
      </c>
      <c r="B223" s="50"/>
      <c r="C223" s="52" t="s">
        <v>20</v>
      </c>
      <c r="D223" s="74">
        <v>0.501</v>
      </c>
      <c r="E223" s="72">
        <v>468.92099999999999</v>
      </c>
      <c r="F223" s="81">
        <v>7.5</v>
      </c>
      <c r="G223" s="69">
        <v>3516.9074999999998</v>
      </c>
      <c r="H223" s="69">
        <v>1215</v>
      </c>
      <c r="I223" s="69">
        <v>4273045.6499999994</v>
      </c>
      <c r="J223" s="51" t="s">
        <v>51</v>
      </c>
      <c r="K223" s="79" t="s">
        <v>85</v>
      </c>
      <c r="L223" s="45" t="s">
        <v>36</v>
      </c>
    </row>
    <row r="224" spans="1:12" ht="20.149999999999999" customHeight="1">
      <c r="A224" s="44">
        <v>42644</v>
      </c>
      <c r="B224" s="50"/>
      <c r="C224" s="52" t="s">
        <v>20</v>
      </c>
      <c r="D224" s="74">
        <v>9.6000000000000002E-2</v>
      </c>
      <c r="E224" s="72">
        <v>89.853099999999998</v>
      </c>
      <c r="F224" s="81">
        <v>4.7618999999999998</v>
      </c>
      <c r="G224" s="69">
        <v>457.14240000000001</v>
      </c>
      <c r="H224" s="69">
        <v>1215</v>
      </c>
      <c r="I224" s="82">
        <v>555425.1</v>
      </c>
      <c r="J224" s="51" t="s">
        <v>51</v>
      </c>
      <c r="K224" s="79" t="s">
        <v>86</v>
      </c>
      <c r="L224" s="45" t="s">
        <v>36</v>
      </c>
    </row>
    <row r="225" spans="1:12" ht="20.149999999999999" customHeight="1">
      <c r="A225" s="44">
        <v>42644</v>
      </c>
      <c r="B225" s="50"/>
      <c r="C225" s="52" t="s">
        <v>20</v>
      </c>
      <c r="D225" s="74">
        <v>1.946</v>
      </c>
      <c r="E225" s="72">
        <v>1821.3976</v>
      </c>
      <c r="F225" s="81">
        <v>4.3086000000000002</v>
      </c>
      <c r="G225" s="69">
        <v>8384.5355999999992</v>
      </c>
      <c r="H225" s="69">
        <v>1215</v>
      </c>
      <c r="I225" s="82">
        <v>10187216.100000001</v>
      </c>
      <c r="J225" s="51" t="s">
        <v>51</v>
      </c>
      <c r="K225" s="79" t="s">
        <v>87</v>
      </c>
      <c r="L225" s="45" t="s">
        <v>36</v>
      </c>
    </row>
    <row r="226" spans="1:12" ht="20.149999999999999" customHeight="1">
      <c r="A226" s="44">
        <v>42644</v>
      </c>
      <c r="B226" s="50"/>
      <c r="C226" s="52" t="s">
        <v>20</v>
      </c>
      <c r="D226" s="74">
        <v>0.77</v>
      </c>
      <c r="E226" s="72">
        <v>720.69690000000003</v>
      </c>
      <c r="F226" s="81">
        <v>4.3086000000000002</v>
      </c>
      <c r="G226" s="69">
        <v>3317.6220000000003</v>
      </c>
      <c r="H226" s="69">
        <v>1215</v>
      </c>
      <c r="I226" s="82">
        <v>4030908.3</v>
      </c>
      <c r="J226" s="51" t="s">
        <v>51</v>
      </c>
      <c r="K226" s="79" t="s">
        <v>88</v>
      </c>
      <c r="L226" s="45" t="s">
        <v>36</v>
      </c>
    </row>
    <row r="227" spans="1:12" ht="20.149999999999999" customHeight="1">
      <c r="A227" s="44">
        <v>42644</v>
      </c>
      <c r="B227" s="50"/>
      <c r="C227" s="52" t="s">
        <v>20</v>
      </c>
      <c r="D227" s="74">
        <v>2.2364999999999999</v>
      </c>
      <c r="E227" s="72">
        <v>2093.2968999999998</v>
      </c>
      <c r="F227" s="81">
        <v>4.3086000000000002</v>
      </c>
      <c r="G227" s="69">
        <v>9636.1839</v>
      </c>
      <c r="H227" s="69">
        <v>1215</v>
      </c>
      <c r="I227" s="69">
        <v>11707958.700000001</v>
      </c>
      <c r="J227" s="51" t="s">
        <v>51</v>
      </c>
      <c r="K227" s="79" t="s">
        <v>89</v>
      </c>
      <c r="L227" s="45" t="s">
        <v>36</v>
      </c>
    </row>
    <row r="228" spans="1:12" ht="20.149999999999999" customHeight="1">
      <c r="A228" s="44">
        <v>42644</v>
      </c>
      <c r="B228" s="50"/>
      <c r="C228" s="52" t="s">
        <v>20</v>
      </c>
      <c r="D228" s="74">
        <v>1.714</v>
      </c>
      <c r="E228" s="72">
        <v>1604.2526</v>
      </c>
      <c r="F228" s="81">
        <v>4.3086000000000002</v>
      </c>
      <c r="G228" s="69">
        <v>7384.9404000000004</v>
      </c>
      <c r="H228" s="69">
        <v>1215</v>
      </c>
      <c r="I228" s="69">
        <v>8972702.0999999996</v>
      </c>
      <c r="J228" s="51" t="s">
        <v>51</v>
      </c>
      <c r="K228" s="79" t="s">
        <v>90</v>
      </c>
      <c r="L228" s="45" t="s">
        <v>36</v>
      </c>
    </row>
    <row r="229" spans="1:12" ht="20.149999999999999" customHeight="1">
      <c r="A229" s="44">
        <v>42644</v>
      </c>
      <c r="B229" s="50"/>
      <c r="C229" s="52" t="s">
        <v>20</v>
      </c>
      <c r="D229" s="74">
        <v>0.47699999999999998</v>
      </c>
      <c r="E229" s="72">
        <v>446.45769999999999</v>
      </c>
      <c r="F229" s="81">
        <v>4.3086000000000002</v>
      </c>
      <c r="G229" s="69">
        <v>2055.2022000000002</v>
      </c>
      <c r="H229" s="69">
        <v>1215</v>
      </c>
      <c r="I229" s="69">
        <v>2497068</v>
      </c>
      <c r="J229" s="51" t="s">
        <v>51</v>
      </c>
      <c r="K229" s="79" t="s">
        <v>91</v>
      </c>
      <c r="L229" s="45" t="s">
        <v>36</v>
      </c>
    </row>
    <row r="230" spans="1:12" ht="20.149999999999999" customHeight="1">
      <c r="A230" s="44">
        <v>42644</v>
      </c>
      <c r="B230" s="50"/>
      <c r="C230" s="52" t="s">
        <v>20</v>
      </c>
      <c r="D230" s="74">
        <v>0.107</v>
      </c>
      <c r="E230" s="72">
        <v>100.14879999999999</v>
      </c>
      <c r="F230" s="81">
        <v>4.3086000000000002</v>
      </c>
      <c r="G230" s="69">
        <v>461.02019999999999</v>
      </c>
      <c r="H230" s="69">
        <v>1215</v>
      </c>
      <c r="I230" s="69">
        <v>560139.29999999993</v>
      </c>
      <c r="J230" s="51" t="s">
        <v>51</v>
      </c>
      <c r="K230" s="79" t="s">
        <v>92</v>
      </c>
      <c r="L230" s="45" t="s">
        <v>36</v>
      </c>
    </row>
    <row r="231" spans="1:12" ht="20.149999999999999" customHeight="1">
      <c r="A231" s="44"/>
      <c r="B231" s="50"/>
      <c r="C231" s="52"/>
      <c r="D231" s="72"/>
      <c r="E231" s="72"/>
      <c r="F231" s="66"/>
      <c r="G231" s="69"/>
      <c r="H231" s="68"/>
      <c r="I231" s="69"/>
      <c r="J231" s="51"/>
      <c r="K231" s="70"/>
      <c r="L231" s="45"/>
    </row>
    <row r="232" spans="1:12" ht="20.149999999999999" customHeight="1">
      <c r="A232" s="44">
        <v>42675</v>
      </c>
      <c r="B232" s="50"/>
      <c r="C232" s="52" t="s">
        <v>20</v>
      </c>
      <c r="D232" s="72">
        <v>19.127500000000001</v>
      </c>
      <c r="E232" s="72">
        <v>17957.795999999998</v>
      </c>
      <c r="F232" s="81">
        <v>7.5</v>
      </c>
      <c r="G232" s="69">
        <v>134683.47</v>
      </c>
      <c r="H232" s="69">
        <v>1215</v>
      </c>
      <c r="I232" s="69">
        <v>163640416.05000001</v>
      </c>
      <c r="J232" s="51" t="s">
        <v>51</v>
      </c>
      <c r="K232" s="79" t="s">
        <v>79</v>
      </c>
      <c r="L232" s="45" t="s">
        <v>36</v>
      </c>
    </row>
    <row r="233" spans="1:12" ht="20.149999999999999" customHeight="1">
      <c r="A233" s="44">
        <v>42675</v>
      </c>
      <c r="B233" s="50"/>
      <c r="C233" s="52" t="s">
        <v>20</v>
      </c>
      <c r="D233" s="72">
        <v>174.8843</v>
      </c>
      <c r="E233" s="72">
        <v>164189.6004</v>
      </c>
      <c r="F233" s="81">
        <v>7.5</v>
      </c>
      <c r="G233" s="69">
        <v>1231422.003</v>
      </c>
      <c r="H233" s="69">
        <v>1215</v>
      </c>
      <c r="I233" s="69">
        <v>1496177730</v>
      </c>
      <c r="J233" s="51" t="s">
        <v>51</v>
      </c>
      <c r="K233" s="79" t="s">
        <v>80</v>
      </c>
      <c r="L233" s="45" t="s">
        <v>36</v>
      </c>
    </row>
    <row r="234" spans="1:12" ht="20.149999999999999" customHeight="1">
      <c r="A234" s="44">
        <v>42675</v>
      </c>
      <c r="B234" s="50"/>
      <c r="C234" s="52" t="s">
        <v>20</v>
      </c>
      <c r="D234" s="72">
        <v>982.70299999999997</v>
      </c>
      <c r="E234" s="72">
        <v>922607.76340000005</v>
      </c>
      <c r="F234" s="81">
        <v>7.5</v>
      </c>
      <c r="G234" s="69">
        <v>6919558.2255000006</v>
      </c>
      <c r="H234" s="69">
        <v>1215</v>
      </c>
      <c r="I234" s="69">
        <v>8407263249.4500008</v>
      </c>
      <c r="J234" s="51" t="s">
        <v>51</v>
      </c>
      <c r="K234" s="79" t="s">
        <v>70</v>
      </c>
      <c r="L234" s="45" t="s">
        <v>36</v>
      </c>
    </row>
    <row r="235" spans="1:12" ht="20.149999999999999" customHeight="1">
      <c r="A235" s="44">
        <v>42675</v>
      </c>
      <c r="B235" s="50"/>
      <c r="C235" s="52" t="s">
        <v>20</v>
      </c>
      <c r="D235" s="72">
        <v>518.18600000000004</v>
      </c>
      <c r="E235" s="72">
        <v>486497.37150000001</v>
      </c>
      <c r="F235" s="81">
        <v>7.5</v>
      </c>
      <c r="G235" s="69">
        <v>3648730.2862499999</v>
      </c>
      <c r="H235" s="69">
        <v>1215</v>
      </c>
      <c r="I235" s="69">
        <v>4433207302.3500004</v>
      </c>
      <c r="J235" s="51" t="s">
        <v>51</v>
      </c>
      <c r="K235" s="79" t="s">
        <v>71</v>
      </c>
      <c r="L235" s="45" t="s">
        <v>36</v>
      </c>
    </row>
    <row r="236" spans="1:12" ht="20.149999999999999" customHeight="1">
      <c r="A236" s="44">
        <v>42675</v>
      </c>
      <c r="B236" s="50"/>
      <c r="C236" s="52" t="s">
        <v>20</v>
      </c>
      <c r="D236" s="72">
        <v>116.72799999999999</v>
      </c>
      <c r="E236" s="72">
        <v>109589.7326</v>
      </c>
      <c r="F236" s="81">
        <v>7.5</v>
      </c>
      <c r="G236" s="69">
        <v>821922.99450000003</v>
      </c>
      <c r="H236" s="69">
        <v>1215</v>
      </c>
      <c r="I236" s="69">
        <v>998636432.85000002</v>
      </c>
      <c r="J236" s="51" t="s">
        <v>51</v>
      </c>
      <c r="K236" s="79" t="s">
        <v>72</v>
      </c>
      <c r="L236" s="45" t="s">
        <v>36</v>
      </c>
    </row>
    <row r="237" spans="1:12" ht="20.149999999999999" customHeight="1">
      <c r="A237" s="44">
        <v>42675</v>
      </c>
      <c r="B237" s="50"/>
      <c r="C237" s="52" t="s">
        <v>20</v>
      </c>
      <c r="D237" s="72">
        <v>33.597999999999999</v>
      </c>
      <c r="E237" s="72">
        <v>31543.3815</v>
      </c>
      <c r="F237" s="81">
        <v>7.5</v>
      </c>
      <c r="G237" s="69">
        <v>236575.36124999999</v>
      </c>
      <c r="H237" s="69">
        <v>1215</v>
      </c>
      <c r="I237" s="69">
        <v>287439062.39999998</v>
      </c>
      <c r="J237" s="51" t="s">
        <v>51</v>
      </c>
      <c r="K237" s="79" t="s">
        <v>93</v>
      </c>
      <c r="L237" s="45" t="s">
        <v>36</v>
      </c>
    </row>
    <row r="238" spans="1:12" ht="20.149999999999999" customHeight="1">
      <c r="A238" s="44">
        <v>42675</v>
      </c>
      <c r="B238" s="50"/>
      <c r="C238" s="52" t="s">
        <v>20</v>
      </c>
      <c r="D238" s="72">
        <v>163.34800000000001</v>
      </c>
      <c r="E238" s="72">
        <v>153358.77979999999</v>
      </c>
      <c r="F238" s="81">
        <v>7.5</v>
      </c>
      <c r="G238" s="69">
        <v>1150190.8484999998</v>
      </c>
      <c r="H238" s="69">
        <v>1215</v>
      </c>
      <c r="I238" s="69">
        <v>1397481882.75</v>
      </c>
      <c r="J238" s="51" t="s">
        <v>51</v>
      </c>
      <c r="K238" s="79" t="s">
        <v>82</v>
      </c>
      <c r="L238" s="45" t="s">
        <v>36</v>
      </c>
    </row>
    <row r="239" spans="1:12" ht="20.149999999999999" customHeight="1">
      <c r="A239" s="44">
        <v>42675</v>
      </c>
      <c r="B239" s="50"/>
      <c r="C239" s="52" t="s">
        <v>20</v>
      </c>
      <c r="D239" s="72">
        <v>0.68899999999999995</v>
      </c>
      <c r="E239" s="72">
        <v>646.86559999999997</v>
      </c>
      <c r="F239" s="81">
        <v>7.5</v>
      </c>
      <c r="G239" s="69">
        <v>4851.4920000000002</v>
      </c>
      <c r="H239" s="69">
        <v>1215</v>
      </c>
      <c r="I239" s="69">
        <v>5894560.3499999996</v>
      </c>
      <c r="J239" s="51" t="s">
        <v>51</v>
      </c>
      <c r="K239" s="79" t="s">
        <v>62</v>
      </c>
      <c r="L239" s="45" t="s">
        <v>36</v>
      </c>
    </row>
    <row r="240" spans="1:12" ht="20.149999999999999" customHeight="1">
      <c r="A240" s="44">
        <v>42675</v>
      </c>
      <c r="B240" s="50"/>
      <c r="C240" s="52" t="s">
        <v>20</v>
      </c>
      <c r="D240" s="72">
        <v>0.80100000000000005</v>
      </c>
      <c r="E240" s="72">
        <v>752.01639999999998</v>
      </c>
      <c r="F240" s="81">
        <v>7.5</v>
      </c>
      <c r="G240" s="69">
        <v>5640.1229999999996</v>
      </c>
      <c r="H240" s="69">
        <v>1215</v>
      </c>
      <c r="I240" s="69">
        <v>6852745.7999999998</v>
      </c>
      <c r="J240" s="51" t="s">
        <v>51</v>
      </c>
      <c r="K240" s="79" t="s">
        <v>77</v>
      </c>
      <c r="L240" s="45" t="s">
        <v>36</v>
      </c>
    </row>
    <row r="241" spans="1:12" ht="20.149999999999999" customHeight="1">
      <c r="A241" s="44">
        <v>42675</v>
      </c>
      <c r="B241" s="50"/>
      <c r="C241" s="52" t="s">
        <v>20</v>
      </c>
      <c r="D241" s="74">
        <v>115.4328</v>
      </c>
      <c r="E241" s="72">
        <v>108373.738</v>
      </c>
      <c r="F241" s="81">
        <v>7.5</v>
      </c>
      <c r="G241" s="69">
        <v>812803.03500000003</v>
      </c>
      <c r="H241" s="69">
        <v>1215</v>
      </c>
      <c r="I241" s="69">
        <v>987555693.60000002</v>
      </c>
      <c r="J241" s="51" t="s">
        <v>51</v>
      </c>
      <c r="K241" s="79" t="s">
        <v>94</v>
      </c>
      <c r="L241" s="45" t="s">
        <v>36</v>
      </c>
    </row>
    <row r="242" spans="1:12" ht="20.149999999999999" customHeight="1">
      <c r="A242" s="44">
        <v>42675</v>
      </c>
      <c r="B242" s="50"/>
      <c r="C242" s="52" t="s">
        <v>20</v>
      </c>
      <c r="D242" s="74">
        <v>66.850899999999996</v>
      </c>
      <c r="E242" s="72">
        <v>62762.766900000002</v>
      </c>
      <c r="F242" s="81">
        <v>7.5</v>
      </c>
      <c r="G242" s="69">
        <v>470720.75175</v>
      </c>
      <c r="H242" s="69">
        <v>1215</v>
      </c>
      <c r="I242" s="69">
        <v>571925711.25</v>
      </c>
      <c r="J242" s="51" t="s">
        <v>51</v>
      </c>
      <c r="K242" s="79" t="s">
        <v>83</v>
      </c>
      <c r="L242" s="45" t="s">
        <v>36</v>
      </c>
    </row>
    <row r="243" spans="1:12" ht="20.149999999999999" customHeight="1">
      <c r="A243" s="44">
        <v>42675</v>
      </c>
      <c r="B243" s="50"/>
      <c r="C243" s="52" t="s">
        <v>20</v>
      </c>
      <c r="D243" s="74">
        <v>0.49</v>
      </c>
      <c r="E243" s="72">
        <v>460.03500000000003</v>
      </c>
      <c r="F243" s="81">
        <v>7.5</v>
      </c>
      <c r="G243" s="69">
        <v>3450.2625000000003</v>
      </c>
      <c r="H243" s="69">
        <v>1215</v>
      </c>
      <c r="I243" s="69">
        <v>4192065.9000000004</v>
      </c>
      <c r="J243" s="51" t="s">
        <v>51</v>
      </c>
      <c r="K243" s="79" t="s">
        <v>85</v>
      </c>
      <c r="L243" s="45" t="s">
        <v>36</v>
      </c>
    </row>
    <row r="244" spans="1:12" ht="20.149999999999999" customHeight="1">
      <c r="A244" s="44">
        <v>42675</v>
      </c>
      <c r="B244" s="50"/>
      <c r="C244" s="52" t="s">
        <v>20</v>
      </c>
      <c r="D244" s="74">
        <v>0.80559999999999998</v>
      </c>
      <c r="E244" s="72">
        <v>756.33510000000001</v>
      </c>
      <c r="F244" s="81">
        <v>7.5</v>
      </c>
      <c r="G244" s="69">
        <v>5672.51325</v>
      </c>
      <c r="H244" s="69">
        <v>1215</v>
      </c>
      <c r="I244" s="69">
        <v>6892099.6500000004</v>
      </c>
      <c r="J244" s="51" t="s">
        <v>51</v>
      </c>
      <c r="K244" s="79" t="s">
        <v>95</v>
      </c>
      <c r="L244" s="45" t="s">
        <v>36</v>
      </c>
    </row>
    <row r="245" spans="1:12" ht="20.149999999999999" customHeight="1">
      <c r="A245" s="44">
        <v>42675</v>
      </c>
      <c r="B245" s="50"/>
      <c r="C245" s="52" t="s">
        <v>20</v>
      </c>
      <c r="D245" s="74">
        <v>0.188</v>
      </c>
      <c r="E245" s="72">
        <v>176.50319999999999</v>
      </c>
      <c r="F245" s="81">
        <v>4.7766000000000002</v>
      </c>
      <c r="G245" s="69">
        <v>898.00080000000003</v>
      </c>
      <c r="H245" s="69">
        <v>1215</v>
      </c>
      <c r="I245" s="82">
        <v>1091070</v>
      </c>
      <c r="J245" s="51" t="s">
        <v>51</v>
      </c>
      <c r="K245" s="79" t="s">
        <v>86</v>
      </c>
      <c r="L245" s="45" t="s">
        <v>36</v>
      </c>
    </row>
    <row r="246" spans="1:12" ht="20.149999999999999" customHeight="1">
      <c r="A246" s="44">
        <v>42675</v>
      </c>
      <c r="B246" s="50"/>
      <c r="C246" s="52" t="s">
        <v>20</v>
      </c>
      <c r="D246" s="74">
        <v>1.53</v>
      </c>
      <c r="E246" s="72">
        <v>1436.4358999999999</v>
      </c>
      <c r="F246" s="81">
        <v>4.4306999999999999</v>
      </c>
      <c r="G246" s="69">
        <v>6778.9710000000005</v>
      </c>
      <c r="H246" s="69">
        <v>1215</v>
      </c>
      <c r="I246" s="82">
        <v>8236448.5500000007</v>
      </c>
      <c r="J246" s="51" t="s">
        <v>51</v>
      </c>
      <c r="K246" s="79" t="s">
        <v>87</v>
      </c>
      <c r="L246" s="45" t="s">
        <v>36</v>
      </c>
    </row>
    <row r="247" spans="1:12" ht="20.149999999999999" customHeight="1">
      <c r="A247" s="44">
        <v>42675</v>
      </c>
      <c r="B247" s="50"/>
      <c r="C247" s="52" t="s">
        <v>20</v>
      </c>
      <c r="D247" s="74">
        <v>0.61899999999999999</v>
      </c>
      <c r="E247" s="72">
        <v>581.1463</v>
      </c>
      <c r="F247" s="81">
        <v>4.4306999999999999</v>
      </c>
      <c r="G247" s="69">
        <v>2742.6032999999998</v>
      </c>
      <c r="H247" s="69">
        <v>1215</v>
      </c>
      <c r="I247" s="82">
        <v>3332259</v>
      </c>
      <c r="J247" s="51" t="s">
        <v>51</v>
      </c>
      <c r="K247" s="79" t="s">
        <v>88</v>
      </c>
      <c r="L247" s="45" t="s">
        <v>36</v>
      </c>
    </row>
    <row r="248" spans="1:12" ht="20.149999999999999" customHeight="1">
      <c r="A248" s="44">
        <v>42675</v>
      </c>
      <c r="B248" s="50"/>
      <c r="C248" s="52" t="s">
        <v>20</v>
      </c>
      <c r="D248" s="74">
        <v>1.6189</v>
      </c>
      <c r="E248" s="72">
        <v>1519.8994</v>
      </c>
      <c r="F248" s="81">
        <v>4.4306999999999999</v>
      </c>
      <c r="G248" s="69">
        <v>7172.8602299999993</v>
      </c>
      <c r="H248" s="69">
        <v>1215</v>
      </c>
      <c r="I248" s="69">
        <v>8715024.9000000004</v>
      </c>
      <c r="J248" s="51" t="s">
        <v>51</v>
      </c>
      <c r="K248" s="79" t="s">
        <v>89</v>
      </c>
      <c r="L248" s="45" t="s">
        <v>36</v>
      </c>
    </row>
    <row r="249" spans="1:12" ht="20.149999999999999" customHeight="1">
      <c r="A249" s="44">
        <v>42675</v>
      </c>
      <c r="B249" s="50"/>
      <c r="C249" s="52" t="s">
        <v>20</v>
      </c>
      <c r="D249" s="74">
        <v>1.6419999999999999</v>
      </c>
      <c r="E249" s="72">
        <v>1541.5868</v>
      </c>
      <c r="F249" s="81">
        <v>4.4306999999999999</v>
      </c>
      <c r="G249" s="69">
        <v>7275.2093999999997</v>
      </c>
      <c r="H249" s="69">
        <v>1215</v>
      </c>
      <c r="I249" s="69">
        <v>8839380.1500000004</v>
      </c>
      <c r="J249" s="51" t="s">
        <v>51</v>
      </c>
      <c r="K249" s="79" t="s">
        <v>90</v>
      </c>
      <c r="L249" s="45" t="s">
        <v>36</v>
      </c>
    </row>
    <row r="250" spans="1:12" ht="20.149999999999999" customHeight="1">
      <c r="A250" s="44">
        <v>42675</v>
      </c>
      <c r="B250" s="50"/>
      <c r="C250" s="52" t="s">
        <v>20</v>
      </c>
      <c r="D250" s="74">
        <v>0.42899999999999999</v>
      </c>
      <c r="E250" s="72">
        <v>402.7654</v>
      </c>
      <c r="F250" s="81">
        <v>4.4306999999999999</v>
      </c>
      <c r="G250" s="69">
        <v>1900.7702999999999</v>
      </c>
      <c r="H250" s="69">
        <v>1215</v>
      </c>
      <c r="I250" s="69">
        <v>2309435.5499999998</v>
      </c>
      <c r="J250" s="51" t="s">
        <v>51</v>
      </c>
      <c r="K250" s="79" t="s">
        <v>91</v>
      </c>
      <c r="L250" s="45" t="s">
        <v>36</v>
      </c>
    </row>
    <row r="251" spans="1:12" ht="20.149999999999999" customHeight="1">
      <c r="A251" s="44">
        <v>42675</v>
      </c>
      <c r="B251" s="50"/>
      <c r="C251" s="52" t="s">
        <v>20</v>
      </c>
      <c r="D251" s="74">
        <v>6.8000000000000005E-2</v>
      </c>
      <c r="E251" s="72">
        <v>63.8416</v>
      </c>
      <c r="F251" s="81">
        <v>4.4306999999999999</v>
      </c>
      <c r="G251" s="69">
        <v>301.2876</v>
      </c>
      <c r="H251" s="69">
        <v>1215</v>
      </c>
      <c r="I251" s="69">
        <v>366067.35000000003</v>
      </c>
      <c r="J251" s="51" t="s">
        <v>51</v>
      </c>
      <c r="K251" s="79" t="s">
        <v>92</v>
      </c>
      <c r="L251" s="45" t="s">
        <v>36</v>
      </c>
    </row>
    <row r="252" spans="1:12" ht="20.149999999999999" customHeight="1">
      <c r="A252" s="44"/>
      <c r="B252" s="50"/>
      <c r="C252" s="52"/>
      <c r="D252" s="72"/>
      <c r="E252" s="72"/>
      <c r="F252" s="66"/>
      <c r="G252" s="69"/>
      <c r="H252" s="68"/>
      <c r="I252" s="69"/>
      <c r="J252" s="51"/>
      <c r="K252" s="70"/>
      <c r="L252" s="45"/>
    </row>
    <row r="253" spans="1:12" ht="20.149999999999999" customHeight="1">
      <c r="A253" s="44">
        <v>42705</v>
      </c>
      <c r="B253" s="50"/>
      <c r="C253" s="52" t="s">
        <v>20</v>
      </c>
      <c r="D253" s="74">
        <v>195.6028</v>
      </c>
      <c r="E253" s="72">
        <v>183365.10639999999</v>
      </c>
      <c r="F253" s="81">
        <v>7.5</v>
      </c>
      <c r="G253" s="69">
        <v>1375238.298</v>
      </c>
      <c r="H253" s="69">
        <v>1215</v>
      </c>
      <c r="I253" s="69">
        <v>1670914534.5</v>
      </c>
      <c r="J253" s="51" t="s">
        <v>51</v>
      </c>
      <c r="K253" s="79" t="s">
        <v>80</v>
      </c>
      <c r="L253" s="45" t="s">
        <v>36</v>
      </c>
    </row>
    <row r="254" spans="1:12" ht="20.149999999999999" customHeight="1">
      <c r="A254" s="44">
        <v>42705</v>
      </c>
      <c r="B254" s="50"/>
      <c r="C254" s="52" t="s">
        <v>20</v>
      </c>
      <c r="D254" s="74">
        <v>1136.3823</v>
      </c>
      <c r="E254" s="72">
        <v>1065285.6777999999</v>
      </c>
      <c r="F254" s="81">
        <v>7.5</v>
      </c>
      <c r="G254" s="69">
        <v>7989642.5834999997</v>
      </c>
      <c r="H254" s="69">
        <v>1215</v>
      </c>
      <c r="I254" s="69">
        <v>9707415734.7000008</v>
      </c>
      <c r="J254" s="51" t="s">
        <v>51</v>
      </c>
      <c r="K254" s="79" t="s">
        <v>96</v>
      </c>
      <c r="L254" s="45" t="s">
        <v>36</v>
      </c>
    </row>
    <row r="255" spans="1:12" ht="20.149999999999999" customHeight="1">
      <c r="A255" s="44">
        <v>42705</v>
      </c>
      <c r="B255" s="50"/>
      <c r="C255" s="52" t="s">
        <v>20</v>
      </c>
      <c r="D255" s="74">
        <v>525.26499999999999</v>
      </c>
      <c r="E255" s="72">
        <v>492402.32049999997</v>
      </c>
      <c r="F255" s="81">
        <v>7.5</v>
      </c>
      <c r="G255" s="69">
        <v>3693017.4037499996</v>
      </c>
      <c r="H255" s="69">
        <v>1215</v>
      </c>
      <c r="I255" s="69">
        <v>4487016141</v>
      </c>
      <c r="J255" s="51" t="s">
        <v>51</v>
      </c>
      <c r="K255" s="79" t="s">
        <v>71</v>
      </c>
      <c r="L255" s="45" t="s">
        <v>36</v>
      </c>
    </row>
    <row r="256" spans="1:12" ht="20.149999999999999" customHeight="1">
      <c r="A256" s="44">
        <v>42705</v>
      </c>
      <c r="B256" s="50"/>
      <c r="C256" s="52" t="s">
        <v>20</v>
      </c>
      <c r="D256" s="74">
        <v>91.662000000000006</v>
      </c>
      <c r="E256" s="72">
        <v>85927.258600000001</v>
      </c>
      <c r="F256" s="81">
        <v>7.5</v>
      </c>
      <c r="G256" s="69">
        <v>644454.43949999998</v>
      </c>
      <c r="H256" s="69">
        <v>1215</v>
      </c>
      <c r="I256" s="69">
        <v>783012144.5999999</v>
      </c>
      <c r="J256" s="51" t="s">
        <v>51</v>
      </c>
      <c r="K256" s="79" t="s">
        <v>72</v>
      </c>
      <c r="L256" s="45" t="s">
        <v>36</v>
      </c>
    </row>
    <row r="257" spans="1:12" ht="20.149999999999999" customHeight="1">
      <c r="A257" s="44">
        <v>42705</v>
      </c>
      <c r="B257" s="50"/>
      <c r="C257" s="52" t="s">
        <v>20</v>
      </c>
      <c r="D257" s="74">
        <v>35.537599999999998</v>
      </c>
      <c r="E257" s="72">
        <v>33314.225599999998</v>
      </c>
      <c r="F257" s="81">
        <v>7.5</v>
      </c>
      <c r="G257" s="69">
        <v>249856.69199999998</v>
      </c>
      <c r="H257" s="69">
        <v>1215</v>
      </c>
      <c r="I257" s="69">
        <v>303575878.35000002</v>
      </c>
      <c r="J257" s="51" t="s">
        <v>51</v>
      </c>
      <c r="K257" s="79" t="s">
        <v>81</v>
      </c>
      <c r="L257" s="45" t="s">
        <v>36</v>
      </c>
    </row>
    <row r="258" spans="1:12" ht="20.149999999999999" customHeight="1">
      <c r="A258" s="44">
        <v>42705</v>
      </c>
      <c r="B258" s="50"/>
      <c r="C258" s="52" t="s">
        <v>20</v>
      </c>
      <c r="D258" s="74">
        <v>170.77799999999999</v>
      </c>
      <c r="E258" s="72">
        <v>160093.44519999999</v>
      </c>
      <c r="F258" s="81">
        <v>7.5</v>
      </c>
      <c r="G258" s="69">
        <v>1200700.8389999999</v>
      </c>
      <c r="H258" s="69">
        <v>1215</v>
      </c>
      <c r="I258" s="69">
        <v>1458851520.6000001</v>
      </c>
      <c r="J258" s="51" t="s">
        <v>51</v>
      </c>
      <c r="K258" s="79" t="s">
        <v>82</v>
      </c>
      <c r="L258" s="45" t="s">
        <v>36</v>
      </c>
    </row>
    <row r="259" spans="1:12" ht="20.149999999999999" customHeight="1">
      <c r="A259" s="44">
        <v>42705</v>
      </c>
      <c r="B259" s="50"/>
      <c r="C259" s="52" t="s">
        <v>20</v>
      </c>
      <c r="D259" s="74">
        <v>0.94199999999999995</v>
      </c>
      <c r="E259" s="72">
        <v>883.06470000000002</v>
      </c>
      <c r="F259" s="81">
        <v>7.5</v>
      </c>
      <c r="G259" s="69">
        <v>6622.9852499999997</v>
      </c>
      <c r="H259" s="69">
        <v>1215</v>
      </c>
      <c r="I259" s="69">
        <v>8046932.8499999996</v>
      </c>
      <c r="J259" s="51" t="s">
        <v>51</v>
      </c>
      <c r="K259" s="79" t="s">
        <v>62</v>
      </c>
      <c r="L259" s="45" t="s">
        <v>36</v>
      </c>
    </row>
    <row r="260" spans="1:12" ht="20.149999999999999" customHeight="1">
      <c r="A260" s="44">
        <v>42705</v>
      </c>
      <c r="B260" s="50"/>
      <c r="C260" s="52" t="s">
        <v>20</v>
      </c>
      <c r="D260" s="74">
        <v>32.732999999999997</v>
      </c>
      <c r="E260" s="72">
        <v>30685.0926</v>
      </c>
      <c r="F260" s="81">
        <v>7.5</v>
      </c>
      <c r="G260" s="69">
        <v>230138.19450000001</v>
      </c>
      <c r="H260" s="69">
        <v>1215</v>
      </c>
      <c r="I260" s="69">
        <v>279617900.85000002</v>
      </c>
      <c r="J260" s="51" t="s">
        <v>51</v>
      </c>
      <c r="K260" s="79" t="s">
        <v>77</v>
      </c>
      <c r="L260" s="45" t="s">
        <v>36</v>
      </c>
    </row>
    <row r="261" spans="1:12" ht="20.149999999999999" customHeight="1">
      <c r="A261" s="44">
        <v>42705</v>
      </c>
      <c r="B261" s="50"/>
      <c r="C261" s="52" t="s">
        <v>20</v>
      </c>
      <c r="D261" s="74">
        <v>385.97</v>
      </c>
      <c r="E261" s="72">
        <v>361822.17290000001</v>
      </c>
      <c r="F261" s="81">
        <v>7.5</v>
      </c>
      <c r="G261" s="69">
        <v>2713666.2967500002</v>
      </c>
      <c r="H261" s="69">
        <v>1215</v>
      </c>
      <c r="I261" s="69">
        <v>3297104554.5</v>
      </c>
      <c r="J261" s="51" t="s">
        <v>51</v>
      </c>
      <c r="K261" s="79" t="s">
        <v>94</v>
      </c>
      <c r="L261" s="45" t="s">
        <v>36</v>
      </c>
    </row>
    <row r="262" spans="1:12" ht="20.149999999999999" customHeight="1">
      <c r="A262" s="44">
        <v>42705</v>
      </c>
      <c r="B262" s="50"/>
      <c r="C262" s="52" t="s">
        <v>20</v>
      </c>
      <c r="D262" s="74">
        <v>41.3292</v>
      </c>
      <c r="E262" s="72">
        <v>38743.479899999998</v>
      </c>
      <c r="F262" s="81">
        <v>7.5</v>
      </c>
      <c r="G262" s="69">
        <v>290576.09924999997</v>
      </c>
      <c r="H262" s="69">
        <v>1215</v>
      </c>
      <c r="I262" s="69">
        <v>353049961.5</v>
      </c>
      <c r="J262" s="51" t="s">
        <v>51</v>
      </c>
      <c r="K262" s="79" t="s">
        <v>83</v>
      </c>
      <c r="L262" s="45" t="s">
        <v>36</v>
      </c>
    </row>
    <row r="263" spans="1:12" ht="20.149999999999999" customHeight="1">
      <c r="A263" s="44">
        <v>42705</v>
      </c>
      <c r="B263" s="50"/>
      <c r="C263" s="52" t="s">
        <v>20</v>
      </c>
      <c r="D263" s="74">
        <v>3.3149999999999999</v>
      </c>
      <c r="E263" s="72">
        <v>3107.6003000000001</v>
      </c>
      <c r="F263" s="81">
        <v>7.5</v>
      </c>
      <c r="G263" s="69">
        <v>23307.002250000001</v>
      </c>
      <c r="H263" s="69">
        <v>1215</v>
      </c>
      <c r="I263" s="69">
        <v>28318005</v>
      </c>
      <c r="J263" s="51" t="s">
        <v>51</v>
      </c>
      <c r="K263" s="79" t="s">
        <v>97</v>
      </c>
      <c r="L263" s="45" t="s">
        <v>36</v>
      </c>
    </row>
    <row r="264" spans="1:12" ht="20.149999999999999" customHeight="1">
      <c r="A264" s="44">
        <v>42705</v>
      </c>
      <c r="B264" s="50"/>
      <c r="C264" s="52" t="s">
        <v>20</v>
      </c>
      <c r="D264" s="74">
        <v>0.61499999999999999</v>
      </c>
      <c r="E264" s="72">
        <v>576.5231</v>
      </c>
      <c r="F264" s="81">
        <v>7.5</v>
      </c>
      <c r="G264" s="69">
        <v>4323.9232499999998</v>
      </c>
      <c r="H264" s="69">
        <v>1215</v>
      </c>
      <c r="I264" s="69">
        <v>5253562.8</v>
      </c>
      <c r="J264" s="51" t="s">
        <v>51</v>
      </c>
      <c r="K264" s="79" t="s">
        <v>85</v>
      </c>
      <c r="L264" s="45" t="s">
        <v>36</v>
      </c>
    </row>
    <row r="265" spans="1:12" ht="20.149999999999999" customHeight="1">
      <c r="A265" s="44">
        <v>42705</v>
      </c>
      <c r="B265" s="50"/>
      <c r="C265" s="52" t="s">
        <v>20</v>
      </c>
      <c r="D265" s="74">
        <v>0.77100000000000002</v>
      </c>
      <c r="E265" s="72">
        <v>722.76319999999998</v>
      </c>
      <c r="F265" s="81">
        <v>7.5</v>
      </c>
      <c r="G265" s="69">
        <v>5420.7240000000002</v>
      </c>
      <c r="H265" s="69">
        <v>1215</v>
      </c>
      <c r="I265" s="69">
        <v>6586174.8000000007</v>
      </c>
      <c r="J265" s="51" t="s">
        <v>51</v>
      </c>
      <c r="K265" s="79" t="s">
        <v>95</v>
      </c>
      <c r="L265" s="45" t="s">
        <v>36</v>
      </c>
    </row>
    <row r="266" spans="1:12" ht="20.149999999999999" customHeight="1">
      <c r="A266" s="44">
        <v>42705</v>
      </c>
      <c r="B266" s="50"/>
      <c r="C266" s="52" t="s">
        <v>20</v>
      </c>
      <c r="D266" s="74">
        <v>0.437</v>
      </c>
      <c r="E266" s="72">
        <v>409.65949999999998</v>
      </c>
      <c r="F266" s="81">
        <v>4.7694000000000001</v>
      </c>
      <c r="G266" s="69">
        <v>2084.2277999999997</v>
      </c>
      <c r="H266" s="69">
        <v>1215</v>
      </c>
      <c r="I266" s="82">
        <v>2532339.4500000002</v>
      </c>
      <c r="J266" s="51" t="s">
        <v>51</v>
      </c>
      <c r="K266" s="79" t="s">
        <v>86</v>
      </c>
      <c r="L266" s="45" t="s">
        <v>36</v>
      </c>
    </row>
    <row r="267" spans="1:12" ht="20.149999999999999" customHeight="1">
      <c r="A267" s="44">
        <v>42705</v>
      </c>
      <c r="B267" s="50"/>
      <c r="C267" s="52" t="s">
        <v>20</v>
      </c>
      <c r="D267" s="74">
        <v>1.23</v>
      </c>
      <c r="E267" s="72">
        <v>1153.0463</v>
      </c>
      <c r="F267" s="81">
        <v>4.4763000000000002</v>
      </c>
      <c r="G267" s="69">
        <v>5505.8490000000002</v>
      </c>
      <c r="H267" s="69">
        <v>1215</v>
      </c>
      <c r="I267" s="82">
        <v>6689607.75</v>
      </c>
      <c r="J267" s="51" t="s">
        <v>51</v>
      </c>
      <c r="K267" s="79" t="s">
        <v>87</v>
      </c>
      <c r="L267" s="45" t="s">
        <v>36</v>
      </c>
    </row>
    <row r="268" spans="1:12" ht="20.149999999999999" customHeight="1">
      <c r="A268" s="44">
        <v>42705</v>
      </c>
      <c r="B268" s="50"/>
      <c r="C268" s="52" t="s">
        <v>20</v>
      </c>
      <c r="D268" s="74">
        <v>1.087</v>
      </c>
      <c r="E268" s="72">
        <v>1018.9929</v>
      </c>
      <c r="F268" s="81">
        <v>4.4763000000000002</v>
      </c>
      <c r="G268" s="69">
        <v>4865.7380999999996</v>
      </c>
      <c r="H268" s="69">
        <v>1215</v>
      </c>
      <c r="I268" s="82">
        <v>5911874.0999999996</v>
      </c>
      <c r="J268" s="51" t="s">
        <v>51</v>
      </c>
      <c r="K268" s="79" t="s">
        <v>88</v>
      </c>
      <c r="L268" s="45" t="s">
        <v>36</v>
      </c>
    </row>
    <row r="269" spans="1:12" ht="20.149999999999999" customHeight="1">
      <c r="A269" s="44">
        <v>42705</v>
      </c>
      <c r="B269" s="50"/>
      <c r="C269" s="52" t="s">
        <v>20</v>
      </c>
      <c r="D269" s="74">
        <v>1.3183</v>
      </c>
      <c r="E269" s="72">
        <v>1235.8218999999999</v>
      </c>
      <c r="F269" s="81">
        <v>4.4763000000000002</v>
      </c>
      <c r="G269" s="69">
        <v>5901.1062900000006</v>
      </c>
      <c r="H269" s="69">
        <v>1215</v>
      </c>
      <c r="I269" s="82">
        <v>7169848.6499999994</v>
      </c>
      <c r="J269" s="51" t="s">
        <v>51</v>
      </c>
      <c r="K269" s="79" t="s">
        <v>89</v>
      </c>
      <c r="L269" s="45" t="s">
        <v>36</v>
      </c>
    </row>
    <row r="270" spans="1:12" ht="20.149999999999999" customHeight="1">
      <c r="A270" s="44">
        <v>42705</v>
      </c>
      <c r="B270" s="50"/>
      <c r="C270" s="52" t="s">
        <v>20</v>
      </c>
      <c r="D270" s="74">
        <v>1.589</v>
      </c>
      <c r="E270" s="72">
        <v>1489.5858000000001</v>
      </c>
      <c r="F270" s="81">
        <v>4.4763000000000002</v>
      </c>
      <c r="G270" s="69">
        <v>7112.8407000000007</v>
      </c>
      <c r="H270" s="69">
        <v>1215</v>
      </c>
      <c r="I270" s="82">
        <v>8642100.5999999996</v>
      </c>
      <c r="J270" s="51" t="s">
        <v>51</v>
      </c>
      <c r="K270" s="79" t="s">
        <v>90</v>
      </c>
      <c r="L270" s="45" t="s">
        <v>36</v>
      </c>
    </row>
    <row r="271" spans="1:12" ht="20.149999999999999" customHeight="1">
      <c r="A271" s="44">
        <v>42705</v>
      </c>
      <c r="B271" s="50"/>
      <c r="C271" s="52" t="s">
        <v>20</v>
      </c>
      <c r="D271" s="74">
        <v>0.42199999999999999</v>
      </c>
      <c r="E271" s="72">
        <v>395.59800000000001</v>
      </c>
      <c r="F271" s="81">
        <v>4.4763000000000002</v>
      </c>
      <c r="G271" s="69">
        <v>1888.9986000000001</v>
      </c>
      <c r="H271" s="69">
        <v>1215</v>
      </c>
      <c r="I271" s="82">
        <v>2295135</v>
      </c>
      <c r="J271" s="51" t="s">
        <v>51</v>
      </c>
      <c r="K271" s="79" t="s">
        <v>91</v>
      </c>
      <c r="L271" s="45" t="s">
        <v>36</v>
      </c>
    </row>
    <row r="272" spans="1:12" ht="20.149999999999999" customHeight="1">
      <c r="A272" s="44">
        <v>42705</v>
      </c>
      <c r="B272" s="50"/>
      <c r="C272" s="52" t="s">
        <v>20</v>
      </c>
      <c r="D272" s="74">
        <v>8.6999999999999994E-2</v>
      </c>
      <c r="E272" s="72">
        <v>81.556899999999999</v>
      </c>
      <c r="F272" s="81">
        <v>4.4763000000000002</v>
      </c>
      <c r="G272" s="69">
        <v>389.43810000000002</v>
      </c>
      <c r="H272" s="69">
        <v>1215</v>
      </c>
      <c r="I272" s="69">
        <v>473169.6</v>
      </c>
      <c r="J272" s="51" t="s">
        <v>51</v>
      </c>
      <c r="K272" s="79" t="s">
        <v>92</v>
      </c>
      <c r="L272" s="45" t="s">
        <v>36</v>
      </c>
    </row>
    <row r="273" spans="1:12" ht="20.149999999999999" customHeight="1">
      <c r="A273" s="44"/>
      <c r="B273" s="50"/>
      <c r="C273" s="52"/>
      <c r="D273" s="72"/>
      <c r="E273" s="72"/>
      <c r="F273" s="66"/>
      <c r="G273" s="69"/>
      <c r="H273" s="68"/>
      <c r="I273" s="69"/>
      <c r="J273" s="51"/>
      <c r="K273" s="70"/>
      <c r="L273" s="45"/>
    </row>
    <row r="274" spans="1:12" ht="20.149999999999999" customHeight="1">
      <c r="A274" s="44">
        <v>42736</v>
      </c>
      <c r="B274" s="50"/>
      <c r="C274" s="52" t="s">
        <v>20</v>
      </c>
      <c r="D274" s="72">
        <v>189.53960000000001</v>
      </c>
      <c r="E274" s="72">
        <v>176811.06820000001</v>
      </c>
      <c r="F274" s="81">
        <v>7.5</v>
      </c>
      <c r="G274" s="69">
        <v>1326083.0115</v>
      </c>
      <c r="H274" s="69">
        <v>1215</v>
      </c>
      <c r="I274" s="69">
        <v>1611190857.1500001</v>
      </c>
      <c r="J274" s="51" t="s">
        <v>51</v>
      </c>
      <c r="K274" s="79" t="s">
        <v>80</v>
      </c>
      <c r="L274" s="45" t="s">
        <v>36</v>
      </c>
    </row>
    <row r="275" spans="1:12" ht="20.149999999999999" customHeight="1">
      <c r="A275" s="44">
        <v>42736</v>
      </c>
      <c r="B275" s="50"/>
      <c r="C275" s="52" t="s">
        <v>20</v>
      </c>
      <c r="D275" s="72">
        <v>1128.3331000000001</v>
      </c>
      <c r="E275" s="72">
        <v>1052559.8907000001</v>
      </c>
      <c r="F275" s="81">
        <v>7.5</v>
      </c>
      <c r="G275" s="69">
        <v>7894199.1802500011</v>
      </c>
      <c r="H275" s="69">
        <v>1215</v>
      </c>
      <c r="I275" s="69">
        <v>9591452003.6999989</v>
      </c>
      <c r="J275" s="51" t="s">
        <v>51</v>
      </c>
      <c r="K275" s="79" t="s">
        <v>96</v>
      </c>
      <c r="L275" s="45" t="s">
        <v>36</v>
      </c>
    </row>
    <row r="276" spans="1:12" ht="20.149999999999999" customHeight="1">
      <c r="A276" s="44">
        <v>42736</v>
      </c>
      <c r="B276" s="50"/>
      <c r="C276" s="52" t="s">
        <v>20</v>
      </c>
      <c r="D276" s="72">
        <v>531.14099999999996</v>
      </c>
      <c r="E276" s="72">
        <v>495472.22610000003</v>
      </c>
      <c r="F276" s="81">
        <v>7.5</v>
      </c>
      <c r="G276" s="69">
        <v>3716041.6957500004</v>
      </c>
      <c r="H276" s="69">
        <v>1215</v>
      </c>
      <c r="I276" s="69">
        <v>4514990665.5</v>
      </c>
      <c r="J276" s="51" t="s">
        <v>51</v>
      </c>
      <c r="K276" s="79" t="s">
        <v>71</v>
      </c>
      <c r="L276" s="45" t="s">
        <v>36</v>
      </c>
    </row>
    <row r="277" spans="1:12" ht="20.149999999999999" customHeight="1">
      <c r="A277" s="44">
        <v>42736</v>
      </c>
      <c r="B277" s="50"/>
      <c r="C277" s="52" t="s">
        <v>20</v>
      </c>
      <c r="D277" s="72">
        <v>35.190100000000001</v>
      </c>
      <c r="E277" s="72">
        <v>32826.908799999997</v>
      </c>
      <c r="F277" s="81">
        <v>7.5</v>
      </c>
      <c r="G277" s="69">
        <v>246201.81599999999</v>
      </c>
      <c r="H277" s="69">
        <v>1215</v>
      </c>
      <c r="I277" s="69">
        <v>299135211.30000001</v>
      </c>
      <c r="J277" s="51" t="s">
        <v>51</v>
      </c>
      <c r="K277" s="79" t="s">
        <v>98</v>
      </c>
      <c r="L277" s="45" t="s">
        <v>36</v>
      </c>
    </row>
    <row r="278" spans="1:12" ht="20.149999999999999" customHeight="1">
      <c r="A278" s="44">
        <v>42736</v>
      </c>
      <c r="B278" s="50"/>
      <c r="C278" s="52" t="s">
        <v>20</v>
      </c>
      <c r="D278" s="72">
        <v>169.49600000000001</v>
      </c>
      <c r="E278" s="72">
        <v>158113.49609999999</v>
      </c>
      <c r="F278" s="81">
        <v>7.5</v>
      </c>
      <c r="G278" s="69">
        <v>1185851.2207499999</v>
      </c>
      <c r="H278" s="69">
        <v>1215</v>
      </c>
      <c r="I278" s="69">
        <v>1440809232.3</v>
      </c>
      <c r="J278" s="51" t="s">
        <v>51</v>
      </c>
      <c r="K278" s="79" t="s">
        <v>99</v>
      </c>
      <c r="L278" s="45" t="s">
        <v>36</v>
      </c>
    </row>
    <row r="279" spans="1:12" ht="20.149999999999999" customHeight="1">
      <c r="A279" s="44">
        <v>42736</v>
      </c>
      <c r="B279" s="50"/>
      <c r="C279" s="52" t="s">
        <v>20</v>
      </c>
      <c r="D279" s="72">
        <v>0.91400000000000003</v>
      </c>
      <c r="E279" s="72">
        <v>852.62030000000004</v>
      </c>
      <c r="F279" s="81">
        <v>7.5</v>
      </c>
      <c r="G279" s="69">
        <v>6394.6522500000001</v>
      </c>
      <c r="H279" s="69">
        <v>1215</v>
      </c>
      <c r="I279" s="69">
        <v>7769499.75</v>
      </c>
      <c r="J279" s="51" t="s">
        <v>51</v>
      </c>
      <c r="K279" s="79" t="s">
        <v>62</v>
      </c>
      <c r="L279" s="45" t="s">
        <v>36</v>
      </c>
    </row>
    <row r="280" spans="1:12" ht="20.149999999999999" customHeight="1">
      <c r="A280" s="44">
        <v>42736</v>
      </c>
      <c r="B280" s="50"/>
      <c r="C280" s="52" t="s">
        <v>20</v>
      </c>
      <c r="D280" s="72">
        <v>2.2160000000000002</v>
      </c>
      <c r="E280" s="72">
        <v>2067.1844999999998</v>
      </c>
      <c r="F280" s="81">
        <v>7.5</v>
      </c>
      <c r="G280" s="69">
        <v>15503.883749999999</v>
      </c>
      <c r="H280" s="69">
        <v>1215</v>
      </c>
      <c r="I280" s="69">
        <v>18837214.199999999</v>
      </c>
      <c r="J280" s="51" t="s">
        <v>51</v>
      </c>
      <c r="K280" s="79" t="s">
        <v>77</v>
      </c>
      <c r="L280" s="45" t="s">
        <v>36</v>
      </c>
    </row>
    <row r="281" spans="1:12" ht="20.149999999999999" customHeight="1">
      <c r="A281" s="44">
        <v>42736</v>
      </c>
      <c r="B281" s="50"/>
      <c r="C281" s="52" t="s">
        <v>20</v>
      </c>
      <c r="D281" s="74">
        <v>256.06689999999998</v>
      </c>
      <c r="E281" s="72">
        <v>238870.7273</v>
      </c>
      <c r="F281" s="81">
        <v>7.5</v>
      </c>
      <c r="G281" s="69">
        <v>1791530.45475</v>
      </c>
      <c r="H281" s="69">
        <v>1215</v>
      </c>
      <c r="I281" s="69">
        <v>2176709496.75</v>
      </c>
      <c r="J281" s="51" t="s">
        <v>51</v>
      </c>
      <c r="K281" s="79" t="s">
        <v>94</v>
      </c>
      <c r="L281" s="45" t="s">
        <v>36</v>
      </c>
    </row>
    <row r="282" spans="1:12" ht="20.149999999999999" customHeight="1">
      <c r="A282" s="44">
        <v>42736</v>
      </c>
      <c r="B282" s="50"/>
      <c r="C282" s="52" t="s">
        <v>20</v>
      </c>
      <c r="D282" s="74">
        <v>56.810899999999997</v>
      </c>
      <c r="E282" s="72">
        <v>52995.764000000003</v>
      </c>
      <c r="F282" s="81">
        <v>7.5</v>
      </c>
      <c r="G282" s="69">
        <v>397468.23000000004</v>
      </c>
      <c r="H282" s="69">
        <v>1215</v>
      </c>
      <c r="I282" s="69">
        <v>482923899.44999999</v>
      </c>
      <c r="J282" s="51" t="s">
        <v>51</v>
      </c>
      <c r="K282" s="79" t="s">
        <v>83</v>
      </c>
      <c r="L282" s="45" t="s">
        <v>36</v>
      </c>
    </row>
    <row r="283" spans="1:12" ht="20.149999999999999" customHeight="1">
      <c r="A283" s="44">
        <v>42736</v>
      </c>
      <c r="B283" s="50"/>
      <c r="C283" s="52" t="s">
        <v>20</v>
      </c>
      <c r="D283" s="74">
        <v>9.8789999999999996</v>
      </c>
      <c r="E283" s="72">
        <v>9215.5758000000005</v>
      </c>
      <c r="F283" s="81">
        <v>7.5</v>
      </c>
      <c r="G283" s="69">
        <v>69116.818500000008</v>
      </c>
      <c r="H283" s="69">
        <v>1215</v>
      </c>
      <c r="I283" s="69">
        <v>83976936.300000012</v>
      </c>
      <c r="J283" s="51" t="s">
        <v>51</v>
      </c>
      <c r="K283" s="79" t="s">
        <v>97</v>
      </c>
      <c r="L283" s="45" t="s">
        <v>36</v>
      </c>
    </row>
    <row r="284" spans="1:12" ht="20.149999999999999" customHeight="1">
      <c r="A284" s="44">
        <v>42736</v>
      </c>
      <c r="B284" s="50"/>
      <c r="C284" s="52" t="s">
        <v>20</v>
      </c>
      <c r="D284" s="74">
        <v>0.59299999999999997</v>
      </c>
      <c r="E284" s="72">
        <v>553.1771</v>
      </c>
      <c r="F284" s="81">
        <v>7.5</v>
      </c>
      <c r="G284" s="69">
        <v>4148.8282499999996</v>
      </c>
      <c r="H284" s="69">
        <v>1215</v>
      </c>
      <c r="I284" s="69">
        <v>5040828.45</v>
      </c>
      <c r="J284" s="51" t="s">
        <v>51</v>
      </c>
      <c r="K284" s="79" t="s">
        <v>85</v>
      </c>
      <c r="L284" s="45" t="s">
        <v>36</v>
      </c>
    </row>
    <row r="285" spans="1:12" ht="20.149999999999999" customHeight="1">
      <c r="A285" s="44">
        <v>42736</v>
      </c>
      <c r="B285" s="50"/>
      <c r="C285" s="52" t="s">
        <v>20</v>
      </c>
      <c r="D285" s="74">
        <v>0.70909999999999995</v>
      </c>
      <c r="E285" s="72">
        <v>661.48040000000003</v>
      </c>
      <c r="F285" s="81">
        <v>7.5</v>
      </c>
      <c r="G285" s="69">
        <v>4961.1030000000001</v>
      </c>
      <c r="H285" s="69">
        <v>1215</v>
      </c>
      <c r="I285" s="69">
        <v>6027736.5</v>
      </c>
      <c r="J285" s="51" t="s">
        <v>51</v>
      </c>
      <c r="K285" s="79" t="s">
        <v>95</v>
      </c>
      <c r="L285" s="45" t="s">
        <v>36</v>
      </c>
    </row>
    <row r="286" spans="1:12" ht="20.149999999999999" customHeight="1">
      <c r="A286" s="44">
        <v>42736</v>
      </c>
      <c r="B286" s="50"/>
      <c r="C286" s="52" t="s">
        <v>20</v>
      </c>
      <c r="D286" s="74">
        <v>0.13300000000000001</v>
      </c>
      <c r="E286" s="72">
        <v>124.0684</v>
      </c>
      <c r="F286" s="81">
        <v>5.0105000000000004</v>
      </c>
      <c r="G286" s="69">
        <v>666.39650000000006</v>
      </c>
      <c r="H286" s="69">
        <v>1215</v>
      </c>
      <c r="I286" s="82">
        <v>809676</v>
      </c>
      <c r="J286" s="51" t="s">
        <v>51</v>
      </c>
      <c r="K286" s="79" t="s">
        <v>86</v>
      </c>
      <c r="L286" s="45" t="s">
        <v>36</v>
      </c>
    </row>
    <row r="287" spans="1:12" ht="20.149999999999999" customHeight="1">
      <c r="A287" s="44">
        <v>42736</v>
      </c>
      <c r="B287" s="50"/>
      <c r="C287" s="52" t="s">
        <v>20</v>
      </c>
      <c r="D287" s="74">
        <v>0.70699999999999996</v>
      </c>
      <c r="E287" s="72">
        <v>659.52139999999997</v>
      </c>
      <c r="F287" s="81">
        <v>4.6698000000000004</v>
      </c>
      <c r="G287" s="69">
        <v>3301.5486000000001</v>
      </c>
      <c r="H287" s="69">
        <v>1215</v>
      </c>
      <c r="I287" s="82">
        <v>4011383.25</v>
      </c>
      <c r="J287" s="51" t="s">
        <v>51</v>
      </c>
      <c r="K287" s="79" t="s">
        <v>88</v>
      </c>
      <c r="L287" s="45" t="s">
        <v>36</v>
      </c>
    </row>
    <row r="288" spans="1:12" ht="20.149999999999999" customHeight="1">
      <c r="A288" s="44">
        <v>42736</v>
      </c>
      <c r="B288" s="50"/>
      <c r="C288" s="52" t="s">
        <v>20</v>
      </c>
      <c r="D288" s="74">
        <v>1.7410000000000001</v>
      </c>
      <c r="E288" s="72">
        <v>1624.0831000000001</v>
      </c>
      <c r="F288" s="81">
        <v>4.6698000000000004</v>
      </c>
      <c r="G288" s="69">
        <v>8130.1218000000017</v>
      </c>
      <c r="H288" s="69">
        <v>1215</v>
      </c>
      <c r="I288" s="69">
        <v>9878095.8000000007</v>
      </c>
      <c r="J288" s="51" t="s">
        <v>51</v>
      </c>
      <c r="K288" s="79" t="s">
        <v>89</v>
      </c>
      <c r="L288" s="45" t="s">
        <v>36</v>
      </c>
    </row>
    <row r="289" spans="1:12" ht="20.149999999999999" customHeight="1">
      <c r="A289" s="44">
        <v>42736</v>
      </c>
      <c r="B289" s="50"/>
      <c r="C289" s="52" t="s">
        <v>20</v>
      </c>
      <c r="D289" s="74">
        <v>1.5029999999999999</v>
      </c>
      <c r="E289" s="72">
        <v>1402.066</v>
      </c>
      <c r="F289" s="81">
        <v>4.6698000000000004</v>
      </c>
      <c r="G289" s="69">
        <v>7018.7093999999997</v>
      </c>
      <c r="H289" s="69">
        <v>1215</v>
      </c>
      <c r="I289" s="69">
        <v>8527732.6500000004</v>
      </c>
      <c r="J289" s="51" t="s">
        <v>51</v>
      </c>
      <c r="K289" s="79" t="s">
        <v>90</v>
      </c>
      <c r="L289" s="45" t="s">
        <v>36</v>
      </c>
    </row>
    <row r="290" spans="1:12" ht="20.149999999999999" customHeight="1">
      <c r="A290" s="44">
        <v>42736</v>
      </c>
      <c r="B290" s="50"/>
      <c r="C290" s="52" t="s">
        <v>20</v>
      </c>
      <c r="D290" s="74">
        <v>0.45400000000000001</v>
      </c>
      <c r="E290" s="72">
        <v>423.51159999999999</v>
      </c>
      <c r="F290" s="81">
        <v>4.6698000000000004</v>
      </c>
      <c r="G290" s="69">
        <v>2120.0892000000003</v>
      </c>
      <c r="H290" s="69">
        <v>1215</v>
      </c>
      <c r="I290" s="69">
        <v>2575909.35</v>
      </c>
      <c r="J290" s="51" t="s">
        <v>51</v>
      </c>
      <c r="K290" s="79" t="s">
        <v>91</v>
      </c>
      <c r="L290" s="45" t="s">
        <v>36</v>
      </c>
    </row>
    <row r="291" spans="1:12" ht="20.149999999999999" customHeight="1">
      <c r="A291" s="44">
        <v>42736</v>
      </c>
      <c r="B291" s="50"/>
      <c r="C291" s="52" t="s">
        <v>20</v>
      </c>
      <c r="D291" s="74">
        <v>0.14699999999999999</v>
      </c>
      <c r="E291" s="72">
        <v>137.12819999999999</v>
      </c>
      <c r="F291" s="81">
        <v>4.6698000000000004</v>
      </c>
      <c r="G291" s="69">
        <v>686.4606</v>
      </c>
      <c r="H291" s="69">
        <v>1215</v>
      </c>
      <c r="I291" s="69">
        <v>834048.9</v>
      </c>
      <c r="J291" s="51" t="s">
        <v>51</v>
      </c>
      <c r="K291" s="79" t="s">
        <v>92</v>
      </c>
      <c r="L291" s="45" t="s">
        <v>36</v>
      </c>
    </row>
    <row r="292" spans="1:12" ht="20.149999999999999" customHeight="1">
      <c r="A292" s="44"/>
      <c r="B292" s="50"/>
      <c r="C292" s="52"/>
      <c r="D292" s="72"/>
      <c r="E292" s="72"/>
      <c r="F292" s="66"/>
      <c r="G292" s="69"/>
      <c r="H292" s="68"/>
      <c r="I292" s="69"/>
      <c r="J292" s="51"/>
      <c r="K292" s="70"/>
      <c r="L292" s="45"/>
    </row>
    <row r="293" spans="1:12" ht="20.149999999999999" customHeight="1">
      <c r="A293" s="44">
        <v>42767</v>
      </c>
      <c r="B293" s="50"/>
      <c r="C293" s="52" t="s">
        <v>20</v>
      </c>
      <c r="D293" s="72">
        <v>104.78400000000001</v>
      </c>
      <c r="E293" s="72">
        <v>98024.488899999997</v>
      </c>
      <c r="F293" s="81">
        <v>7.5</v>
      </c>
      <c r="G293" s="69">
        <v>735183.66674999997</v>
      </c>
      <c r="H293" s="69">
        <v>1215</v>
      </c>
      <c r="I293" s="69">
        <v>893248159.05000007</v>
      </c>
      <c r="J293" s="51" t="s">
        <v>51</v>
      </c>
      <c r="K293" s="79" t="s">
        <v>80</v>
      </c>
      <c r="L293" s="45" t="s">
        <v>36</v>
      </c>
    </row>
    <row r="294" spans="1:12" ht="20.149999999999999" customHeight="1">
      <c r="A294" s="44">
        <v>42767</v>
      </c>
      <c r="B294" s="50"/>
      <c r="C294" s="52" t="s">
        <v>20</v>
      </c>
      <c r="D294" s="72">
        <v>536.06330000000003</v>
      </c>
      <c r="E294" s="72">
        <v>501482.39260000002</v>
      </c>
      <c r="F294" s="81">
        <v>7.5</v>
      </c>
      <c r="G294" s="69">
        <v>3761117.9445000002</v>
      </c>
      <c r="H294" s="69">
        <v>1215</v>
      </c>
      <c r="I294" s="69">
        <v>4569758297.1000004</v>
      </c>
      <c r="J294" s="51" t="s">
        <v>51</v>
      </c>
      <c r="K294" s="79" t="s">
        <v>96</v>
      </c>
      <c r="L294" s="45" t="s">
        <v>36</v>
      </c>
    </row>
    <row r="295" spans="1:12" ht="20.149999999999999" customHeight="1">
      <c r="A295" s="44">
        <v>42767</v>
      </c>
      <c r="B295" s="50"/>
      <c r="C295" s="52" t="s">
        <v>20</v>
      </c>
      <c r="D295" s="72">
        <v>352.28399999999999</v>
      </c>
      <c r="E295" s="72">
        <v>329558.51140000002</v>
      </c>
      <c r="F295" s="81">
        <v>7.5</v>
      </c>
      <c r="G295" s="69">
        <v>2471688.8355</v>
      </c>
      <c r="H295" s="69">
        <v>1215</v>
      </c>
      <c r="I295" s="69">
        <v>3003101940.5999999</v>
      </c>
      <c r="J295" s="51" t="s">
        <v>51</v>
      </c>
      <c r="K295" s="79" t="s">
        <v>71</v>
      </c>
      <c r="L295" s="45" t="s">
        <v>36</v>
      </c>
    </row>
    <row r="296" spans="1:12" ht="20.149999999999999" customHeight="1">
      <c r="A296" s="44">
        <v>42767</v>
      </c>
      <c r="B296" s="50"/>
      <c r="C296" s="52" t="s">
        <v>20</v>
      </c>
      <c r="D296" s="72">
        <v>37.253</v>
      </c>
      <c r="E296" s="72">
        <v>34849.8462</v>
      </c>
      <c r="F296" s="81">
        <v>7.5</v>
      </c>
      <c r="G296" s="69">
        <v>261373.84649999999</v>
      </c>
      <c r="H296" s="69">
        <v>1215</v>
      </c>
      <c r="I296" s="69">
        <v>317569227.75</v>
      </c>
      <c r="J296" s="51" t="s">
        <v>51</v>
      </c>
      <c r="K296" s="79" t="s">
        <v>100</v>
      </c>
      <c r="L296" s="45" t="s">
        <v>36</v>
      </c>
    </row>
    <row r="297" spans="1:12" ht="20.149999999999999" customHeight="1">
      <c r="A297" s="44">
        <v>42767</v>
      </c>
      <c r="B297" s="50"/>
      <c r="C297" s="52" t="s">
        <v>20</v>
      </c>
      <c r="D297" s="72">
        <v>25.970400000000001</v>
      </c>
      <c r="E297" s="72">
        <v>24295.075499999999</v>
      </c>
      <c r="F297" s="81">
        <v>7.5</v>
      </c>
      <c r="G297" s="69">
        <v>182213.06625</v>
      </c>
      <c r="H297" s="69">
        <v>1215</v>
      </c>
      <c r="I297" s="69">
        <v>221388880.05000001</v>
      </c>
      <c r="J297" s="51" t="s">
        <v>51</v>
      </c>
      <c r="K297" s="79" t="s">
        <v>98</v>
      </c>
      <c r="L297" s="45" t="s">
        <v>36</v>
      </c>
    </row>
    <row r="298" spans="1:12" ht="20.149999999999999" customHeight="1">
      <c r="A298" s="44">
        <v>42767</v>
      </c>
      <c r="B298" s="50"/>
      <c r="C298" s="52" t="s">
        <v>20</v>
      </c>
      <c r="D298" s="72">
        <v>87.676000000000002</v>
      </c>
      <c r="E298" s="72">
        <v>82020.108900000007</v>
      </c>
      <c r="F298" s="81">
        <v>7.5</v>
      </c>
      <c r="G298" s="69">
        <v>615150.81675</v>
      </c>
      <c r="H298" s="69">
        <v>1215</v>
      </c>
      <c r="I298" s="69">
        <v>747408246.29999995</v>
      </c>
      <c r="J298" s="51" t="s">
        <v>51</v>
      </c>
      <c r="K298" s="79" t="s">
        <v>99</v>
      </c>
      <c r="L298" s="45" t="s">
        <v>36</v>
      </c>
    </row>
    <row r="299" spans="1:12" ht="20.149999999999999" customHeight="1">
      <c r="A299" s="44">
        <v>42767</v>
      </c>
      <c r="B299" s="50"/>
      <c r="C299" s="52" t="s">
        <v>20</v>
      </c>
      <c r="D299" s="72">
        <v>23.672000000000001</v>
      </c>
      <c r="E299" s="72">
        <v>22144.942999999999</v>
      </c>
      <c r="F299" s="81">
        <v>7.5</v>
      </c>
      <c r="G299" s="69">
        <v>166087.07250000001</v>
      </c>
      <c r="H299" s="69">
        <v>1215</v>
      </c>
      <c r="I299" s="69">
        <v>201795790.05000001</v>
      </c>
      <c r="J299" s="51" t="s">
        <v>51</v>
      </c>
      <c r="K299" s="79" t="s">
        <v>77</v>
      </c>
      <c r="L299" s="45" t="s">
        <v>36</v>
      </c>
    </row>
    <row r="300" spans="1:12" ht="20.149999999999999" customHeight="1">
      <c r="A300" s="44">
        <v>42767</v>
      </c>
      <c r="B300" s="50"/>
      <c r="C300" s="52" t="s">
        <v>20</v>
      </c>
      <c r="D300" s="72">
        <v>0.72599999999999998</v>
      </c>
      <c r="E300" s="72">
        <v>679.16650000000004</v>
      </c>
      <c r="F300" s="81">
        <v>7.5</v>
      </c>
      <c r="G300" s="69">
        <v>5093.7487500000007</v>
      </c>
      <c r="H300" s="69">
        <v>1215</v>
      </c>
      <c r="I300" s="69">
        <v>6188906.25</v>
      </c>
      <c r="J300" s="51" t="s">
        <v>51</v>
      </c>
      <c r="K300" s="79" t="s">
        <v>62</v>
      </c>
      <c r="L300" s="45" t="s">
        <v>36</v>
      </c>
    </row>
    <row r="301" spans="1:12" ht="20.149999999999999" customHeight="1">
      <c r="A301" s="44">
        <v>42767</v>
      </c>
      <c r="B301" s="50"/>
      <c r="C301" s="52" t="s">
        <v>20</v>
      </c>
      <c r="D301" s="74">
        <v>181.78370000000001</v>
      </c>
      <c r="E301" s="72">
        <v>170057.0153</v>
      </c>
      <c r="F301" s="81">
        <v>7.5</v>
      </c>
      <c r="G301" s="69">
        <v>1275427.6147499999</v>
      </c>
      <c r="H301" s="69">
        <v>1215</v>
      </c>
      <c r="I301" s="69">
        <v>1549644546.1500001</v>
      </c>
      <c r="J301" s="51" t="s">
        <v>51</v>
      </c>
      <c r="K301" s="79" t="s">
        <v>94</v>
      </c>
      <c r="L301" s="45" t="s">
        <v>36</v>
      </c>
    </row>
    <row r="302" spans="1:12" ht="20.149999999999999" customHeight="1">
      <c r="A302" s="44">
        <v>42767</v>
      </c>
      <c r="B302" s="50"/>
      <c r="C302" s="52" t="s">
        <v>20</v>
      </c>
      <c r="D302" s="74">
        <v>31.672000000000001</v>
      </c>
      <c r="E302" s="72">
        <v>29628.870999999999</v>
      </c>
      <c r="F302" s="81">
        <v>7.5</v>
      </c>
      <c r="G302" s="69">
        <v>222216.5325</v>
      </c>
      <c r="H302" s="69">
        <v>1215</v>
      </c>
      <c r="I302" s="69">
        <v>269993083.94999999</v>
      </c>
      <c r="J302" s="51" t="s">
        <v>51</v>
      </c>
      <c r="K302" s="79" t="s">
        <v>83</v>
      </c>
      <c r="L302" s="45" t="s">
        <v>36</v>
      </c>
    </row>
    <row r="303" spans="1:12" ht="20.149999999999999" customHeight="1">
      <c r="A303" s="44">
        <v>42767</v>
      </c>
      <c r="B303" s="50"/>
      <c r="C303" s="52" t="s">
        <v>20</v>
      </c>
      <c r="D303" s="74">
        <v>8.5069999999999997</v>
      </c>
      <c r="E303" s="72">
        <v>7958.2218999999996</v>
      </c>
      <c r="F303" s="81">
        <v>7.5</v>
      </c>
      <c r="G303" s="69">
        <v>59686.664249999994</v>
      </c>
      <c r="H303" s="69">
        <v>1215</v>
      </c>
      <c r="I303" s="69">
        <v>72519291.900000006</v>
      </c>
      <c r="J303" s="51" t="s">
        <v>51</v>
      </c>
      <c r="K303" s="79" t="s">
        <v>97</v>
      </c>
      <c r="L303" s="45" t="s">
        <v>36</v>
      </c>
    </row>
    <row r="304" spans="1:12" ht="20.149999999999999" customHeight="1">
      <c r="A304" s="44">
        <v>42767</v>
      </c>
      <c r="B304" s="50"/>
      <c r="C304" s="52" t="s">
        <v>20</v>
      </c>
      <c r="D304" s="74">
        <v>0.47099999999999997</v>
      </c>
      <c r="E304" s="72">
        <v>440.61630000000002</v>
      </c>
      <c r="F304" s="81">
        <v>7.5</v>
      </c>
      <c r="G304" s="69">
        <v>3304.6222500000003</v>
      </c>
      <c r="H304" s="69">
        <v>1215</v>
      </c>
      <c r="I304" s="69">
        <v>4015113.3</v>
      </c>
      <c r="J304" s="51" t="s">
        <v>51</v>
      </c>
      <c r="K304" s="79" t="s">
        <v>85</v>
      </c>
      <c r="L304" s="45" t="s">
        <v>36</v>
      </c>
    </row>
    <row r="305" spans="1:12" ht="20.149999999999999" customHeight="1">
      <c r="A305" s="44">
        <v>42767</v>
      </c>
      <c r="B305" s="50"/>
      <c r="C305" s="52" t="s">
        <v>20</v>
      </c>
      <c r="D305" s="74">
        <v>0.64570000000000005</v>
      </c>
      <c r="E305" s="72">
        <v>604.04650000000004</v>
      </c>
      <c r="F305" s="81">
        <v>7.5</v>
      </c>
      <c r="G305" s="69">
        <v>4530.3487500000001</v>
      </c>
      <c r="H305" s="69">
        <v>1215</v>
      </c>
      <c r="I305" s="69">
        <v>5504375.25</v>
      </c>
      <c r="J305" s="51" t="s">
        <v>51</v>
      </c>
      <c r="K305" s="79" t="s">
        <v>95</v>
      </c>
      <c r="L305" s="45" t="s">
        <v>36</v>
      </c>
    </row>
    <row r="306" spans="1:12" ht="20.149999999999999" customHeight="1">
      <c r="A306" s="44">
        <v>42767</v>
      </c>
      <c r="B306" s="50"/>
      <c r="C306" s="52" t="s">
        <v>20</v>
      </c>
      <c r="D306" s="74">
        <v>0.13700000000000001</v>
      </c>
      <c r="E306" s="72">
        <v>128.16229999999999</v>
      </c>
      <c r="F306" s="81">
        <v>5.0247000000000002</v>
      </c>
      <c r="G306" s="69">
        <v>688.38390000000004</v>
      </c>
      <c r="H306" s="69">
        <v>1215</v>
      </c>
      <c r="I306" s="82">
        <v>836381.7</v>
      </c>
      <c r="J306" s="51" t="s">
        <v>51</v>
      </c>
      <c r="K306" s="79" t="s">
        <v>86</v>
      </c>
      <c r="L306" s="45" t="s">
        <v>36</v>
      </c>
    </row>
    <row r="307" spans="1:12" ht="20.149999999999999" customHeight="1">
      <c r="A307" s="44">
        <v>42767</v>
      </c>
      <c r="B307" s="50"/>
      <c r="C307" s="52" t="s">
        <v>20</v>
      </c>
      <c r="D307" s="74">
        <v>0.76359999999999995</v>
      </c>
      <c r="E307" s="72">
        <v>714.34090000000003</v>
      </c>
      <c r="F307" s="81">
        <v>4.5217000000000001</v>
      </c>
      <c r="G307" s="69">
        <v>3452.7701199999997</v>
      </c>
      <c r="H307" s="69">
        <v>1215</v>
      </c>
      <c r="I307" s="69">
        <v>4195115.55</v>
      </c>
      <c r="J307" s="51" t="s">
        <v>51</v>
      </c>
      <c r="K307" s="79" t="s">
        <v>89</v>
      </c>
      <c r="L307" s="45" t="s">
        <v>36</v>
      </c>
    </row>
    <row r="308" spans="1:12" ht="20.149999999999999" customHeight="1">
      <c r="A308" s="44">
        <v>42767</v>
      </c>
      <c r="B308" s="50"/>
      <c r="C308" s="52" t="s">
        <v>20</v>
      </c>
      <c r="D308" s="74">
        <v>1.0640000000000001</v>
      </c>
      <c r="E308" s="72">
        <v>995.36239999999998</v>
      </c>
      <c r="F308" s="81">
        <v>4.5217000000000001</v>
      </c>
      <c r="G308" s="69">
        <v>4811.0888000000004</v>
      </c>
      <c r="H308" s="69">
        <v>1215</v>
      </c>
      <c r="I308" s="69">
        <v>5845474.3500000006</v>
      </c>
      <c r="J308" s="51" t="s">
        <v>51</v>
      </c>
      <c r="K308" s="79" t="s">
        <v>90</v>
      </c>
      <c r="L308" s="45" t="s">
        <v>36</v>
      </c>
    </row>
    <row r="309" spans="1:12" ht="20.149999999999999" customHeight="1">
      <c r="A309" s="44">
        <v>42767</v>
      </c>
      <c r="B309" s="50"/>
      <c r="C309" s="52" t="s">
        <v>20</v>
      </c>
      <c r="D309" s="74">
        <v>0.33800000000000002</v>
      </c>
      <c r="E309" s="72">
        <v>316.19600000000003</v>
      </c>
      <c r="F309" s="81">
        <v>4.5217000000000001</v>
      </c>
      <c r="G309" s="69">
        <v>1528.3346000000001</v>
      </c>
      <c r="H309" s="69">
        <v>1215</v>
      </c>
      <c r="I309" s="69">
        <v>1856920.95</v>
      </c>
      <c r="J309" s="51" t="s">
        <v>51</v>
      </c>
      <c r="K309" s="79" t="s">
        <v>101</v>
      </c>
      <c r="L309" s="45" t="s">
        <v>36</v>
      </c>
    </row>
    <row r="310" spans="1:12" ht="20.149999999999999" customHeight="1">
      <c r="A310" s="44">
        <v>42767</v>
      </c>
      <c r="B310" s="50"/>
      <c r="C310" s="52" t="s">
        <v>20</v>
      </c>
      <c r="D310" s="74">
        <v>0.29499999999999998</v>
      </c>
      <c r="E310" s="72">
        <v>275.96980000000002</v>
      </c>
      <c r="F310" s="81">
        <v>4.5217000000000001</v>
      </c>
      <c r="G310" s="69">
        <v>1333.9014999999999</v>
      </c>
      <c r="H310" s="69">
        <v>1215</v>
      </c>
      <c r="I310" s="69">
        <v>1620688.5</v>
      </c>
      <c r="J310" s="51" t="s">
        <v>51</v>
      </c>
      <c r="K310" s="79" t="s">
        <v>88</v>
      </c>
      <c r="L310" s="45" t="s">
        <v>36</v>
      </c>
    </row>
    <row r="311" spans="1:12" ht="20.149999999999999" customHeight="1">
      <c r="A311" s="44">
        <v>42767</v>
      </c>
      <c r="B311" s="50"/>
      <c r="C311" s="52" t="s">
        <v>20</v>
      </c>
      <c r="D311" s="74">
        <v>2.8000000000000001E-2</v>
      </c>
      <c r="E311" s="72">
        <v>26.1937</v>
      </c>
      <c r="F311" s="81">
        <v>4.5217000000000001</v>
      </c>
      <c r="G311" s="69">
        <v>126.60760000000002</v>
      </c>
      <c r="H311" s="69">
        <v>1215</v>
      </c>
      <c r="I311" s="69">
        <v>153831.15</v>
      </c>
      <c r="J311" s="51" t="s">
        <v>51</v>
      </c>
      <c r="K311" s="79" t="s">
        <v>92</v>
      </c>
      <c r="L311" s="45" t="s">
        <v>36</v>
      </c>
    </row>
    <row r="312" spans="1:12" ht="20.149999999999999" customHeight="1">
      <c r="A312" s="44">
        <v>42767</v>
      </c>
      <c r="B312" s="50"/>
      <c r="C312" s="52" t="s">
        <v>20</v>
      </c>
      <c r="D312" s="74">
        <v>0.187</v>
      </c>
      <c r="E312" s="72">
        <v>174.93680000000001</v>
      </c>
      <c r="F312" s="81">
        <v>4.5217000000000001</v>
      </c>
      <c r="G312" s="69">
        <v>845.55790000000002</v>
      </c>
      <c r="H312" s="69">
        <v>1215</v>
      </c>
      <c r="I312" s="69">
        <v>1027355.3999999999</v>
      </c>
      <c r="J312" s="51" t="s">
        <v>51</v>
      </c>
      <c r="K312" s="79" t="s">
        <v>102</v>
      </c>
      <c r="L312" s="45" t="s">
        <v>36</v>
      </c>
    </row>
    <row r="313" spans="1:12" ht="20.149999999999999" customHeight="1">
      <c r="A313" s="44"/>
      <c r="B313" s="50"/>
      <c r="C313" s="52"/>
      <c r="D313" s="72"/>
      <c r="E313" s="72"/>
      <c r="F313" s="66"/>
      <c r="G313" s="69"/>
      <c r="H313" s="68"/>
      <c r="I313" s="69"/>
      <c r="J313" s="51"/>
      <c r="K313" s="70"/>
      <c r="L313" s="45"/>
    </row>
    <row r="314" spans="1:12" ht="20.149999999999999" customHeight="1">
      <c r="A314" s="44">
        <v>42795</v>
      </c>
      <c r="B314" s="50"/>
      <c r="C314" s="52" t="s">
        <v>20</v>
      </c>
      <c r="D314" s="72">
        <v>185.4734</v>
      </c>
      <c r="E314" s="72">
        <v>173376.82490000001</v>
      </c>
      <c r="F314" s="81">
        <v>7.5</v>
      </c>
      <c r="G314" s="69">
        <f t="shared" ref="G314:G326" si="25">E314*F314</f>
        <v>1300326.1867500001</v>
      </c>
      <c r="H314" s="69">
        <v>1215</v>
      </c>
      <c r="I314" s="69">
        <f>1300326.19*1215</f>
        <v>1579896320.8499999</v>
      </c>
      <c r="J314" s="51" t="s">
        <v>51</v>
      </c>
      <c r="K314" s="79" t="s">
        <v>80</v>
      </c>
      <c r="L314" s="45" t="s">
        <v>36</v>
      </c>
    </row>
    <row r="315" spans="1:12" ht="20.149999999999999" customHeight="1">
      <c r="A315" s="44">
        <v>42795</v>
      </c>
      <c r="B315" s="50"/>
      <c r="C315" s="52" t="s">
        <v>20</v>
      </c>
      <c r="D315" s="72">
        <v>938.76030000000003</v>
      </c>
      <c r="E315" s="72">
        <v>877534.35320000001</v>
      </c>
      <c r="F315" s="81">
        <v>7.5</v>
      </c>
      <c r="G315" s="69">
        <f t="shared" si="25"/>
        <v>6581507.6490000002</v>
      </c>
      <c r="H315" s="69">
        <v>1215</v>
      </c>
      <c r="I315" s="69">
        <f>6581507.65*1215</f>
        <v>7996531794.75</v>
      </c>
      <c r="J315" s="51" t="s">
        <v>51</v>
      </c>
      <c r="K315" s="79" t="s">
        <v>96</v>
      </c>
      <c r="L315" s="45" t="s">
        <v>36</v>
      </c>
    </row>
    <row r="316" spans="1:12" ht="20.149999999999999" customHeight="1">
      <c r="A316" s="44">
        <v>42795</v>
      </c>
      <c r="B316" s="50"/>
      <c r="C316" s="52" t="s">
        <v>20</v>
      </c>
      <c r="D316" s="72">
        <v>657.15499999999997</v>
      </c>
      <c r="E316" s="72">
        <v>614295.35089999996</v>
      </c>
      <c r="F316" s="81">
        <v>7.5</v>
      </c>
      <c r="G316" s="69">
        <f t="shared" si="25"/>
        <v>4607215.1317499997</v>
      </c>
      <c r="H316" s="69">
        <v>1215</v>
      </c>
      <c r="I316" s="69">
        <f>4607215.13*1215</f>
        <v>5597766382.9499998</v>
      </c>
      <c r="J316" s="51" t="s">
        <v>51</v>
      </c>
      <c r="K316" s="79" t="s">
        <v>71</v>
      </c>
      <c r="L316" s="45" t="s">
        <v>36</v>
      </c>
    </row>
    <row r="317" spans="1:12" ht="20.149999999999999" customHeight="1">
      <c r="A317" s="44">
        <v>42795</v>
      </c>
      <c r="B317" s="50"/>
      <c r="C317" s="52" t="s">
        <v>20</v>
      </c>
      <c r="D317" s="72">
        <v>139.03200000000001</v>
      </c>
      <c r="E317" s="72">
        <v>129964.333</v>
      </c>
      <c r="F317" s="81">
        <v>7.5</v>
      </c>
      <c r="G317" s="69">
        <f t="shared" si="25"/>
        <v>974732.49749999994</v>
      </c>
      <c r="H317" s="69">
        <v>1215</v>
      </c>
      <c r="I317" s="69">
        <f>974732.5*1215</f>
        <v>1184299987.5</v>
      </c>
      <c r="J317" s="51" t="s">
        <v>51</v>
      </c>
      <c r="K317" s="79" t="s">
        <v>100</v>
      </c>
      <c r="L317" s="45" t="s">
        <v>36</v>
      </c>
    </row>
    <row r="318" spans="1:12" ht="20.149999999999999" customHeight="1">
      <c r="A318" s="44">
        <v>42795</v>
      </c>
      <c r="B318" s="50"/>
      <c r="C318" s="52" t="s">
        <v>20</v>
      </c>
      <c r="D318" s="72">
        <v>37.657899999999998</v>
      </c>
      <c r="E318" s="72">
        <v>35201.851799999997</v>
      </c>
      <c r="F318" s="81">
        <v>7.5</v>
      </c>
      <c r="G318" s="69">
        <f t="shared" si="25"/>
        <v>264013.8885</v>
      </c>
      <c r="H318" s="69">
        <v>1215</v>
      </c>
      <c r="I318" s="69">
        <f>264013.89*1215</f>
        <v>320776876.35000002</v>
      </c>
      <c r="J318" s="51" t="s">
        <v>51</v>
      </c>
      <c r="K318" s="79" t="s">
        <v>98</v>
      </c>
      <c r="L318" s="45" t="s">
        <v>36</v>
      </c>
    </row>
    <row r="319" spans="1:12" ht="20.149999999999999" customHeight="1">
      <c r="A319" s="44">
        <v>42795</v>
      </c>
      <c r="B319" s="50"/>
      <c r="C319" s="52" t="s">
        <v>20</v>
      </c>
      <c r="D319" s="72">
        <v>145.80500000000001</v>
      </c>
      <c r="E319" s="72">
        <v>136295.59789999999</v>
      </c>
      <c r="F319" s="81">
        <v>7.5</v>
      </c>
      <c r="G319" s="69">
        <f t="shared" si="25"/>
        <v>1022216.98425</v>
      </c>
      <c r="H319" s="69">
        <v>1215</v>
      </c>
      <c r="I319" s="69">
        <f>1022216.98*1215</f>
        <v>1241993630.7</v>
      </c>
      <c r="J319" s="51" t="s">
        <v>51</v>
      </c>
      <c r="K319" s="79" t="s">
        <v>99</v>
      </c>
      <c r="L319" s="45" t="s">
        <v>36</v>
      </c>
    </row>
    <row r="320" spans="1:12" ht="20.149999999999999" customHeight="1">
      <c r="A320" s="44">
        <v>42795</v>
      </c>
      <c r="B320" s="50"/>
      <c r="C320" s="52" t="s">
        <v>20</v>
      </c>
      <c r="D320" s="72">
        <v>10.807</v>
      </c>
      <c r="E320" s="72">
        <v>10102.1675</v>
      </c>
      <c r="F320" s="81">
        <v>7.5</v>
      </c>
      <c r="G320" s="69">
        <f>E320*F320</f>
        <v>75766.256249999991</v>
      </c>
      <c r="H320" s="69">
        <v>1215</v>
      </c>
      <c r="I320" s="69">
        <f>75766.26*1215</f>
        <v>92056005.899999991</v>
      </c>
      <c r="J320" s="51" t="s">
        <v>51</v>
      </c>
      <c r="K320" s="79" t="s">
        <v>77</v>
      </c>
      <c r="L320" s="45" t="s">
        <v>36</v>
      </c>
    </row>
    <row r="321" spans="1:12" ht="20.149999999999999" customHeight="1">
      <c r="A321" s="44">
        <v>42795</v>
      </c>
      <c r="B321" s="50"/>
      <c r="C321" s="52" t="s">
        <v>20</v>
      </c>
      <c r="D321" s="72">
        <v>1.044</v>
      </c>
      <c r="E321" s="72">
        <v>975.91030000000001</v>
      </c>
      <c r="F321" s="81">
        <v>7.5</v>
      </c>
      <c r="G321" s="69">
        <f t="shared" si="25"/>
        <v>7319.3272500000003</v>
      </c>
      <c r="H321" s="69">
        <v>1215</v>
      </c>
      <c r="I321" s="69">
        <f>7319.33*1215</f>
        <v>8892985.9499999993</v>
      </c>
      <c r="J321" s="51" t="s">
        <v>51</v>
      </c>
      <c r="K321" s="79" t="s">
        <v>62</v>
      </c>
      <c r="L321" s="45" t="s">
        <v>36</v>
      </c>
    </row>
    <row r="322" spans="1:12" ht="20.149999999999999" customHeight="1">
      <c r="A322" s="44">
        <v>42795</v>
      </c>
      <c r="B322" s="50"/>
      <c r="C322" s="52" t="s">
        <v>20</v>
      </c>
      <c r="D322" s="74">
        <v>209.6454</v>
      </c>
      <c r="E322" s="72">
        <v>195972.32699999999</v>
      </c>
      <c r="F322" s="81">
        <v>7.5</v>
      </c>
      <c r="G322" s="69">
        <f t="shared" si="25"/>
        <v>1469792.4524999999</v>
      </c>
      <c r="H322" s="69">
        <v>1215</v>
      </c>
      <c r="I322" s="69">
        <f>1469792.45*1215</f>
        <v>1785797826.75</v>
      </c>
      <c r="J322" s="51" t="s">
        <v>51</v>
      </c>
      <c r="K322" s="79" t="s">
        <v>94</v>
      </c>
      <c r="L322" s="45" t="s">
        <v>36</v>
      </c>
    </row>
    <row r="323" spans="1:12" ht="20.149999999999999" customHeight="1">
      <c r="A323" s="44">
        <v>42795</v>
      </c>
      <c r="B323" s="50"/>
      <c r="C323" s="52" t="s">
        <v>20</v>
      </c>
      <c r="D323" s="74">
        <v>39.606299999999997</v>
      </c>
      <c r="E323" s="72">
        <v>37023.177100000001</v>
      </c>
      <c r="F323" s="81">
        <v>7.5</v>
      </c>
      <c r="G323" s="69">
        <f t="shared" si="25"/>
        <v>277673.82825000002</v>
      </c>
      <c r="H323" s="69">
        <v>1215</v>
      </c>
      <c r="I323" s="69">
        <f>277673.83*1215</f>
        <v>337373703.45000005</v>
      </c>
      <c r="J323" s="51" t="s">
        <v>51</v>
      </c>
      <c r="K323" s="79" t="s">
        <v>83</v>
      </c>
      <c r="L323" s="45" t="s">
        <v>36</v>
      </c>
    </row>
    <row r="324" spans="1:12" ht="20.149999999999999" customHeight="1">
      <c r="A324" s="44">
        <v>42795</v>
      </c>
      <c r="B324" s="50"/>
      <c r="C324" s="52" t="s">
        <v>20</v>
      </c>
      <c r="D324" s="74">
        <v>11.211</v>
      </c>
      <c r="E324" s="72">
        <v>10479.818600000001</v>
      </c>
      <c r="F324" s="81">
        <v>7.5</v>
      </c>
      <c r="G324" s="69">
        <f t="shared" si="25"/>
        <v>78598.639500000005</v>
      </c>
      <c r="H324" s="69">
        <v>1215</v>
      </c>
      <c r="I324" s="69">
        <f>78598.64*1215</f>
        <v>95497347.599999994</v>
      </c>
      <c r="J324" s="51" t="s">
        <v>51</v>
      </c>
      <c r="K324" s="79" t="s">
        <v>97</v>
      </c>
      <c r="L324" s="45" t="s">
        <v>36</v>
      </c>
    </row>
    <row r="325" spans="1:12" ht="20.149999999999999" customHeight="1">
      <c r="A325" s="44">
        <v>42795</v>
      </c>
      <c r="B325" s="50"/>
      <c r="C325" s="52" t="s">
        <v>20</v>
      </c>
      <c r="D325" s="74">
        <v>0.66400000000000003</v>
      </c>
      <c r="E325" s="72">
        <v>620.69389999999999</v>
      </c>
      <c r="F325" s="81">
        <v>7.5</v>
      </c>
      <c r="G325" s="69">
        <f t="shared" si="25"/>
        <v>4655.2042499999998</v>
      </c>
      <c r="H325" s="69">
        <v>1215</v>
      </c>
      <c r="I325" s="69">
        <f>4655.2*1215</f>
        <v>5656068</v>
      </c>
      <c r="J325" s="51" t="s">
        <v>51</v>
      </c>
      <c r="K325" s="79" t="s">
        <v>85</v>
      </c>
      <c r="L325" s="45" t="s">
        <v>36</v>
      </c>
    </row>
    <row r="326" spans="1:12" ht="20.149999999999999" customHeight="1">
      <c r="A326" s="44">
        <v>42795</v>
      </c>
      <c r="B326" s="50"/>
      <c r="C326" s="52" t="s">
        <v>20</v>
      </c>
      <c r="D326" s="74">
        <v>0.90959999999999996</v>
      </c>
      <c r="E326" s="72">
        <v>850.27589999999998</v>
      </c>
      <c r="F326" s="81">
        <v>7.5</v>
      </c>
      <c r="G326" s="69">
        <f t="shared" si="25"/>
        <v>6377.0692499999996</v>
      </c>
      <c r="H326" s="69">
        <v>1215</v>
      </c>
      <c r="I326" s="69">
        <f>6377.07*1215</f>
        <v>7748140.0499999998</v>
      </c>
      <c r="J326" s="51" t="s">
        <v>51</v>
      </c>
      <c r="K326" s="79" t="s">
        <v>95</v>
      </c>
      <c r="L326" s="45" t="s">
        <v>36</v>
      </c>
    </row>
    <row r="327" spans="1:12" ht="20.149999999999999" customHeight="1">
      <c r="A327" s="44">
        <v>42795</v>
      </c>
      <c r="B327" s="50"/>
      <c r="C327" s="52" t="s">
        <v>20</v>
      </c>
      <c r="D327" s="74">
        <v>7.6999999999999999E-2</v>
      </c>
      <c r="E327" s="72">
        <v>71.978099999999998</v>
      </c>
      <c r="F327" s="81">
        <v>5.0209000000000001</v>
      </c>
      <c r="G327" s="69">
        <v>386.60929999999996</v>
      </c>
      <c r="H327" s="69">
        <v>1215</v>
      </c>
      <c r="I327" s="82">
        <v>469731.15</v>
      </c>
      <c r="J327" s="51" t="s">
        <v>51</v>
      </c>
      <c r="K327" s="79" t="s">
        <v>86</v>
      </c>
      <c r="L327" s="45" t="s">
        <v>36</v>
      </c>
    </row>
    <row r="328" spans="1:12" ht="20.149999999999999" customHeight="1">
      <c r="A328" s="44">
        <v>42795</v>
      </c>
      <c r="B328" s="50"/>
      <c r="C328" s="52" t="s">
        <v>20</v>
      </c>
      <c r="D328" s="74">
        <v>1.1184000000000001</v>
      </c>
      <c r="E328" s="72">
        <v>1045.4580000000001</v>
      </c>
      <c r="F328" s="81">
        <v>4.6807999999999996</v>
      </c>
      <c r="G328" s="69">
        <v>5235.0067199999994</v>
      </c>
      <c r="H328" s="69">
        <v>1215</v>
      </c>
      <c r="I328" s="69">
        <v>6360537.1500000004</v>
      </c>
      <c r="J328" s="51" t="s">
        <v>51</v>
      </c>
      <c r="K328" s="79" t="s">
        <v>89</v>
      </c>
      <c r="L328" s="45" t="s">
        <v>36</v>
      </c>
    </row>
    <row r="329" spans="1:12" ht="20.149999999999999" customHeight="1">
      <c r="A329" s="44">
        <v>42795</v>
      </c>
      <c r="B329" s="50"/>
      <c r="C329" s="52" t="s">
        <v>20</v>
      </c>
      <c r="D329" s="74">
        <v>1.3029999999999999</v>
      </c>
      <c r="E329" s="72">
        <v>1218.0183</v>
      </c>
      <c r="F329" s="81">
        <v>4.6807999999999996</v>
      </c>
      <c r="G329" s="69">
        <v>6099.0823999999993</v>
      </c>
      <c r="H329" s="69">
        <v>1215</v>
      </c>
      <c r="I329" s="69">
        <v>7410382.2000000002</v>
      </c>
      <c r="J329" s="51" t="s">
        <v>51</v>
      </c>
      <c r="K329" s="79" t="s">
        <v>90</v>
      </c>
      <c r="L329" s="45" t="s">
        <v>36</v>
      </c>
    </row>
    <row r="330" spans="1:12" ht="20.149999999999999" customHeight="1">
      <c r="A330" s="44">
        <v>42795</v>
      </c>
      <c r="B330" s="50"/>
      <c r="C330" s="52" t="s">
        <v>20</v>
      </c>
      <c r="D330" s="74">
        <v>0.51</v>
      </c>
      <c r="E330" s="72">
        <v>476.73779999999999</v>
      </c>
      <c r="F330" s="81">
        <v>4.6807999999999996</v>
      </c>
      <c r="G330" s="69">
        <v>2387.2079999999996</v>
      </c>
      <c r="H330" s="69">
        <v>1215</v>
      </c>
      <c r="I330" s="69">
        <v>2900460.15</v>
      </c>
      <c r="J330" s="51" t="s">
        <v>51</v>
      </c>
      <c r="K330" s="79" t="s">
        <v>101</v>
      </c>
      <c r="L330" s="45" t="s">
        <v>36</v>
      </c>
    </row>
    <row r="331" spans="1:12" ht="20.149999999999999" customHeight="1">
      <c r="A331" s="44">
        <v>42795</v>
      </c>
      <c r="B331" s="50"/>
      <c r="C331" s="52" t="s">
        <v>20</v>
      </c>
      <c r="D331" s="74">
        <v>0.55500000000000005</v>
      </c>
      <c r="E331" s="72">
        <v>518.80290000000002</v>
      </c>
      <c r="F331" s="81">
        <v>4.6807999999999996</v>
      </c>
      <c r="G331" s="69">
        <v>2597.8439999999996</v>
      </c>
      <c r="H331" s="69">
        <v>1215</v>
      </c>
      <c r="I331" s="69">
        <v>3156375.6</v>
      </c>
      <c r="J331" s="51" t="s">
        <v>51</v>
      </c>
      <c r="K331" s="79" t="s">
        <v>88</v>
      </c>
      <c r="L331" s="45" t="s">
        <v>36</v>
      </c>
    </row>
    <row r="332" spans="1:12" ht="20.149999999999999" customHeight="1">
      <c r="A332" s="44">
        <v>42795</v>
      </c>
      <c r="B332" s="50"/>
      <c r="C332" s="52" t="s">
        <v>20</v>
      </c>
      <c r="D332" s="74">
        <v>0.19500000000000001</v>
      </c>
      <c r="E332" s="72">
        <v>182.28210000000001</v>
      </c>
      <c r="F332" s="81">
        <v>4.6807999999999996</v>
      </c>
      <c r="G332" s="69">
        <v>912.75599999999997</v>
      </c>
      <c r="H332" s="69">
        <v>1215</v>
      </c>
      <c r="I332" s="69">
        <v>1109003.3999999999</v>
      </c>
      <c r="J332" s="51" t="s">
        <v>51</v>
      </c>
      <c r="K332" s="79" t="s">
        <v>92</v>
      </c>
      <c r="L332" s="45" t="s">
        <v>36</v>
      </c>
    </row>
    <row r="333" spans="1:12" ht="20.149999999999999" customHeight="1">
      <c r="A333" s="44">
        <v>42795</v>
      </c>
      <c r="B333" s="50"/>
      <c r="C333" s="52" t="s">
        <v>20</v>
      </c>
      <c r="D333" s="74">
        <v>1.64</v>
      </c>
      <c r="E333" s="72">
        <v>1533.0391999999999</v>
      </c>
      <c r="F333" s="81">
        <v>4.6807999999999996</v>
      </c>
      <c r="G333" s="69">
        <v>7676.5119999999988</v>
      </c>
      <c r="H333" s="69">
        <v>1215</v>
      </c>
      <c r="I333" s="69">
        <v>9326959.6500000004</v>
      </c>
      <c r="J333" s="51" t="s">
        <v>51</v>
      </c>
      <c r="K333" s="79" t="s">
        <v>102</v>
      </c>
      <c r="L333" s="45" t="s">
        <v>36</v>
      </c>
    </row>
    <row r="334" spans="1:12" s="53" customFormat="1" ht="20.149999999999999" customHeight="1">
      <c r="A334" s="100"/>
      <c r="B334" s="95"/>
      <c r="C334" s="100"/>
      <c r="D334" s="109" t="s">
        <v>103</v>
      </c>
      <c r="E334" s="109"/>
      <c r="F334" s="109"/>
      <c r="G334" s="102"/>
      <c r="H334" s="102"/>
      <c r="I334" s="102">
        <f>SUM(I106:I333)</f>
        <v>211796444075.70007</v>
      </c>
      <c r="J334" s="104"/>
      <c r="K334" s="105"/>
      <c r="L334" s="100"/>
    </row>
    <row r="335" spans="1:12" s="53" customFormat="1" ht="20.149999999999999" customHeight="1">
      <c r="A335" s="44">
        <v>42552</v>
      </c>
      <c r="B335" s="45"/>
      <c r="C335" s="45" t="s">
        <v>20</v>
      </c>
      <c r="D335" s="72">
        <v>0.75800000000000001</v>
      </c>
      <c r="E335" s="83">
        <v>553.34990000000005</v>
      </c>
      <c r="F335" s="81">
        <v>1.2251000000000001</v>
      </c>
      <c r="G335" s="84">
        <f>D335*F335*1000</f>
        <v>928.62580000000003</v>
      </c>
      <c r="H335" s="69">
        <v>1200</v>
      </c>
      <c r="I335" s="84">
        <f>928.63*1200</f>
        <v>1114356</v>
      </c>
      <c r="J335" s="54" t="s">
        <v>104</v>
      </c>
      <c r="K335" s="85" t="s">
        <v>89</v>
      </c>
      <c r="L335" s="45" t="s">
        <v>105</v>
      </c>
    </row>
    <row r="336" spans="1:12" s="53" customFormat="1" ht="20.149999999999999" customHeight="1">
      <c r="A336" s="44">
        <v>42552</v>
      </c>
      <c r="B336" s="45"/>
      <c r="C336" s="45" t="s">
        <v>20</v>
      </c>
      <c r="D336" s="72">
        <v>0.26700000000000002</v>
      </c>
      <c r="E336" s="83">
        <v>194.9135</v>
      </c>
      <c r="F336" s="81">
        <v>1.2251000000000001</v>
      </c>
      <c r="G336" s="84">
        <f t="shared" ref="G336:G338" si="26">D336*F336*1000</f>
        <v>327.10170000000005</v>
      </c>
      <c r="H336" s="69">
        <v>1200</v>
      </c>
      <c r="I336" s="84">
        <f>327.1*1200</f>
        <v>392520</v>
      </c>
      <c r="J336" s="54" t="s">
        <v>104</v>
      </c>
      <c r="K336" s="85" t="s">
        <v>106</v>
      </c>
      <c r="L336" s="45" t="s">
        <v>105</v>
      </c>
    </row>
    <row r="337" spans="1:12" s="53" customFormat="1" ht="20.149999999999999" customHeight="1">
      <c r="A337" s="44">
        <v>42552</v>
      </c>
      <c r="B337" s="45"/>
      <c r="C337" s="45" t="s">
        <v>20</v>
      </c>
      <c r="D337" s="72">
        <v>0.49399999999999999</v>
      </c>
      <c r="E337" s="83">
        <v>360.62639999999999</v>
      </c>
      <c r="F337" s="81">
        <v>1.2251000000000001</v>
      </c>
      <c r="G337" s="84">
        <f t="shared" si="26"/>
        <v>605.19940000000008</v>
      </c>
      <c r="H337" s="69">
        <v>1200</v>
      </c>
      <c r="I337" s="84">
        <f>605.2*1200</f>
        <v>726240</v>
      </c>
      <c r="J337" s="54" t="s">
        <v>104</v>
      </c>
      <c r="K337" s="85" t="s">
        <v>107</v>
      </c>
      <c r="L337" s="45" t="s">
        <v>105</v>
      </c>
    </row>
    <row r="338" spans="1:12" s="53" customFormat="1" ht="20.149999999999999" customHeight="1">
      <c r="A338" s="44">
        <v>42552</v>
      </c>
      <c r="B338" s="45"/>
      <c r="C338" s="45" t="s">
        <v>20</v>
      </c>
      <c r="D338" s="72">
        <v>0.192</v>
      </c>
      <c r="E338" s="83">
        <v>140.16249999999999</v>
      </c>
      <c r="F338" s="81">
        <v>1.2251000000000001</v>
      </c>
      <c r="G338" s="84">
        <f t="shared" si="26"/>
        <v>235.21920000000003</v>
      </c>
      <c r="H338" s="69">
        <v>1200</v>
      </c>
      <c r="I338" s="84">
        <f>235.22*1200</f>
        <v>282264</v>
      </c>
      <c r="J338" s="54" t="s">
        <v>104</v>
      </c>
      <c r="K338" s="85" t="s">
        <v>108</v>
      </c>
      <c r="L338" s="45" t="s">
        <v>105</v>
      </c>
    </row>
    <row r="339" spans="1:12" s="53" customFormat="1" ht="20.149999999999999" customHeight="1">
      <c r="A339" s="44">
        <v>42552</v>
      </c>
      <c r="B339" s="45"/>
      <c r="C339" s="45" t="s">
        <v>20</v>
      </c>
      <c r="D339" s="45"/>
      <c r="E339" s="45"/>
      <c r="F339" s="81">
        <v>1.375</v>
      </c>
      <c r="G339" s="84">
        <v>2352.63</v>
      </c>
      <c r="H339" s="69">
        <v>1200</v>
      </c>
      <c r="I339" s="84">
        <f>G339*H339</f>
        <v>2823156</v>
      </c>
      <c r="J339" s="54" t="s">
        <v>104</v>
      </c>
      <c r="K339" s="76" t="s">
        <v>109</v>
      </c>
      <c r="L339" s="45" t="s">
        <v>105</v>
      </c>
    </row>
    <row r="340" spans="1:12" s="53" customFormat="1" ht="20.149999999999999" customHeight="1">
      <c r="A340" s="44">
        <v>42552</v>
      </c>
      <c r="B340" s="45"/>
      <c r="C340" s="45" t="s">
        <v>20</v>
      </c>
      <c r="D340" s="86">
        <v>0.113</v>
      </c>
      <c r="E340" s="86">
        <v>82.491500000000002</v>
      </c>
      <c r="F340" s="77">
        <v>2.4984999999999999</v>
      </c>
      <c r="G340" s="87">
        <f>D340*F340*1000</f>
        <v>282.33049999999997</v>
      </c>
      <c r="H340" s="87">
        <v>1200</v>
      </c>
      <c r="I340" s="87">
        <f>282.33*1200</f>
        <v>338796</v>
      </c>
      <c r="J340" s="54" t="s">
        <v>104</v>
      </c>
      <c r="K340" s="76" t="s">
        <v>63</v>
      </c>
      <c r="L340" s="45" t="s">
        <v>105</v>
      </c>
    </row>
    <row r="341" spans="1:12" s="53" customFormat="1" ht="20.149999999999999" customHeight="1">
      <c r="A341" s="44">
        <v>42552</v>
      </c>
      <c r="B341" s="45"/>
      <c r="C341" s="45" t="s">
        <v>20</v>
      </c>
      <c r="D341" s="45"/>
      <c r="E341" s="45"/>
      <c r="F341" s="77">
        <v>1.375</v>
      </c>
      <c r="G341" s="87">
        <v>155.38</v>
      </c>
      <c r="H341" s="87">
        <v>1200</v>
      </c>
      <c r="I341" s="87">
        <f>G341*H341</f>
        <v>186456</v>
      </c>
      <c r="J341" s="54" t="s">
        <v>104</v>
      </c>
      <c r="K341" s="76" t="s">
        <v>109</v>
      </c>
      <c r="L341" s="45" t="s">
        <v>105</v>
      </c>
    </row>
    <row r="342" spans="1:12" s="53" customFormat="1" ht="20.149999999999999" customHeight="1">
      <c r="A342" s="44">
        <v>42552</v>
      </c>
      <c r="B342" s="45"/>
      <c r="C342" s="45" t="s">
        <v>20</v>
      </c>
      <c r="D342" s="86">
        <v>160.72569999999999</v>
      </c>
      <c r="E342" s="86">
        <v>117331.8504</v>
      </c>
      <c r="F342" s="77">
        <v>7.5</v>
      </c>
      <c r="G342" s="84">
        <f>E342*F342</f>
        <v>879988.87800000003</v>
      </c>
      <c r="H342" s="69">
        <v>1200</v>
      </c>
      <c r="I342" s="87">
        <f>879988.88*1200</f>
        <v>1055986656</v>
      </c>
      <c r="J342" s="54" t="s">
        <v>104</v>
      </c>
      <c r="K342" s="85" t="s">
        <v>110</v>
      </c>
      <c r="L342" s="45" t="s">
        <v>105</v>
      </c>
    </row>
    <row r="343" spans="1:12" s="53" customFormat="1" ht="20.149999999999999" customHeight="1">
      <c r="A343" s="44">
        <v>42552</v>
      </c>
      <c r="B343" s="45"/>
      <c r="C343" s="45" t="s">
        <v>20</v>
      </c>
      <c r="D343" s="86">
        <v>0.13800000000000001</v>
      </c>
      <c r="E343" s="86">
        <v>100.7418</v>
      </c>
      <c r="F343" s="77">
        <v>7.5</v>
      </c>
      <c r="G343" s="84">
        <f t="shared" ref="G343:G350" si="27">E343*F343</f>
        <v>755.56349999999998</v>
      </c>
      <c r="H343" s="69">
        <v>1200</v>
      </c>
      <c r="I343" s="87">
        <f>755.56*1200</f>
        <v>906671.99999999988</v>
      </c>
      <c r="J343" s="54" t="s">
        <v>104</v>
      </c>
      <c r="K343" s="85" t="s">
        <v>111</v>
      </c>
      <c r="L343" s="45" t="s">
        <v>105</v>
      </c>
    </row>
    <row r="344" spans="1:12" s="53" customFormat="1" ht="20.149999999999999" customHeight="1">
      <c r="A344" s="44">
        <v>42552</v>
      </c>
      <c r="B344" s="45"/>
      <c r="C344" s="45" t="s">
        <v>20</v>
      </c>
      <c r="D344" s="86">
        <v>0.36659999999999998</v>
      </c>
      <c r="E344" s="86">
        <v>267.62279999999998</v>
      </c>
      <c r="F344" s="77">
        <v>7.5</v>
      </c>
      <c r="G344" s="84">
        <f t="shared" si="27"/>
        <v>2007.1709999999998</v>
      </c>
      <c r="H344" s="69">
        <v>1200</v>
      </c>
      <c r="I344" s="87">
        <f>2007.17*1200</f>
        <v>2408604</v>
      </c>
      <c r="J344" s="54" t="s">
        <v>104</v>
      </c>
      <c r="K344" s="85" t="s">
        <v>112</v>
      </c>
      <c r="L344" s="45" t="s">
        <v>105</v>
      </c>
    </row>
    <row r="345" spans="1:12" s="53" customFormat="1" ht="20.149999999999999" customHeight="1">
      <c r="A345" s="44">
        <v>42552</v>
      </c>
      <c r="B345" s="45"/>
      <c r="C345" s="45" t="s">
        <v>20</v>
      </c>
      <c r="D345" s="86">
        <v>68.675600000000003</v>
      </c>
      <c r="E345" s="86">
        <v>50134.080800000003</v>
      </c>
      <c r="F345" s="77">
        <v>7.5</v>
      </c>
      <c r="G345" s="84">
        <f t="shared" si="27"/>
        <v>376005.60600000003</v>
      </c>
      <c r="H345" s="69">
        <v>1200</v>
      </c>
      <c r="I345" s="87">
        <f>376005.61*1200</f>
        <v>451206732</v>
      </c>
      <c r="J345" s="54" t="s">
        <v>104</v>
      </c>
      <c r="K345" s="85" t="s">
        <v>79</v>
      </c>
      <c r="L345" s="45" t="s">
        <v>105</v>
      </c>
    </row>
    <row r="346" spans="1:12" s="53" customFormat="1" ht="20.149999999999999" customHeight="1">
      <c r="A346" s="44">
        <v>42552</v>
      </c>
      <c r="B346" s="45"/>
      <c r="C346" s="45" t="s">
        <v>20</v>
      </c>
      <c r="D346" s="86">
        <v>76.614999999999995</v>
      </c>
      <c r="E346" s="86">
        <v>55929.946000000004</v>
      </c>
      <c r="F346" s="77">
        <v>7.5</v>
      </c>
      <c r="G346" s="84">
        <f t="shared" si="27"/>
        <v>419474.59500000003</v>
      </c>
      <c r="H346" s="69">
        <v>1200</v>
      </c>
      <c r="I346" s="87">
        <f>419474.6*1200</f>
        <v>503369520</v>
      </c>
      <c r="J346" s="54" t="s">
        <v>104</v>
      </c>
      <c r="K346" s="85" t="s">
        <v>80</v>
      </c>
      <c r="L346" s="45" t="s">
        <v>105</v>
      </c>
    </row>
    <row r="347" spans="1:12" s="53" customFormat="1" ht="20.149999999999999" customHeight="1">
      <c r="A347" s="44">
        <v>42552</v>
      </c>
      <c r="B347" s="45"/>
      <c r="C347" s="45" t="s">
        <v>20</v>
      </c>
      <c r="D347" s="86">
        <v>179.28309999999999</v>
      </c>
      <c r="E347" s="86">
        <v>130878.99370000001</v>
      </c>
      <c r="F347" s="77">
        <v>7.5</v>
      </c>
      <c r="G347" s="84">
        <f t="shared" si="27"/>
        <v>981592.45275000005</v>
      </c>
      <c r="H347" s="69">
        <v>1200</v>
      </c>
      <c r="I347" s="87">
        <f>981592.45*1200</f>
        <v>1177910940</v>
      </c>
      <c r="J347" s="54" t="s">
        <v>104</v>
      </c>
      <c r="K347" s="85" t="s">
        <v>70</v>
      </c>
      <c r="L347" s="45" t="s">
        <v>105</v>
      </c>
    </row>
    <row r="348" spans="1:12" s="53" customFormat="1" ht="20.149999999999999" customHeight="1">
      <c r="A348" s="44">
        <v>42552</v>
      </c>
      <c r="B348" s="45"/>
      <c r="C348" s="45" t="s">
        <v>20</v>
      </c>
      <c r="D348" s="86">
        <v>176.78700000000001</v>
      </c>
      <c r="E348" s="86">
        <v>129056.8082</v>
      </c>
      <c r="F348" s="77">
        <v>7.5</v>
      </c>
      <c r="G348" s="84">
        <f t="shared" si="27"/>
        <v>967926.06149999995</v>
      </c>
      <c r="H348" s="69">
        <v>1200</v>
      </c>
      <c r="I348" s="87">
        <f>967926.06*1200</f>
        <v>1161511272</v>
      </c>
      <c r="J348" s="54" t="s">
        <v>104</v>
      </c>
      <c r="K348" s="85" t="s">
        <v>71</v>
      </c>
      <c r="L348" s="45" t="s">
        <v>105</v>
      </c>
    </row>
    <row r="349" spans="1:12" s="53" customFormat="1" ht="20.149999999999999" customHeight="1">
      <c r="A349" s="44">
        <v>42552</v>
      </c>
      <c r="B349" s="45"/>
      <c r="C349" s="45" t="s">
        <v>20</v>
      </c>
      <c r="D349" s="86">
        <v>9.9494000000000007</v>
      </c>
      <c r="E349" s="86">
        <v>7263.1913000000004</v>
      </c>
      <c r="F349" s="77">
        <v>7.5</v>
      </c>
      <c r="G349" s="84">
        <f t="shared" si="27"/>
        <v>54473.93475</v>
      </c>
      <c r="H349" s="69">
        <v>1200</v>
      </c>
      <c r="I349" s="87">
        <f>54473.93*1200</f>
        <v>65368716</v>
      </c>
      <c r="J349" s="54" t="s">
        <v>104</v>
      </c>
      <c r="K349" s="85" t="s">
        <v>73</v>
      </c>
      <c r="L349" s="45" t="s">
        <v>105</v>
      </c>
    </row>
    <row r="350" spans="1:12" s="53" customFormat="1" ht="20.149999999999999" customHeight="1">
      <c r="A350" s="44">
        <v>42552</v>
      </c>
      <c r="B350" s="45"/>
      <c r="C350" s="45" t="s">
        <v>20</v>
      </c>
      <c r="D350" s="86">
        <v>0.245</v>
      </c>
      <c r="E350" s="86">
        <v>178.85319999999999</v>
      </c>
      <c r="F350" s="77">
        <v>7.5</v>
      </c>
      <c r="G350" s="84">
        <f t="shared" si="27"/>
        <v>1341.3989999999999</v>
      </c>
      <c r="H350" s="69">
        <v>1200</v>
      </c>
      <c r="I350" s="87">
        <f>1341.4*1200</f>
        <v>1609680</v>
      </c>
      <c r="J350" s="54" t="s">
        <v>104</v>
      </c>
      <c r="K350" s="85" t="s">
        <v>62</v>
      </c>
      <c r="L350" s="45" t="s">
        <v>105</v>
      </c>
    </row>
    <row r="351" spans="1:12" s="53" customFormat="1" ht="20.149999999999999" customHeight="1">
      <c r="A351" s="44"/>
      <c r="B351" s="45"/>
      <c r="C351" s="45"/>
      <c r="D351" s="86"/>
      <c r="E351" s="86"/>
      <c r="F351" s="77"/>
      <c r="G351" s="84"/>
      <c r="H351" s="69"/>
      <c r="I351" s="87"/>
      <c r="J351" s="54"/>
      <c r="K351" s="85"/>
      <c r="L351" s="45"/>
    </row>
    <row r="352" spans="1:12" s="53" customFormat="1" ht="20.149999999999999" customHeight="1">
      <c r="A352" s="44">
        <v>42767</v>
      </c>
      <c r="B352" s="45"/>
      <c r="C352" s="45" t="s">
        <v>20</v>
      </c>
      <c r="D352" s="72">
        <v>0.19769999999999999</v>
      </c>
      <c r="E352" s="83">
        <v>144.4503</v>
      </c>
      <c r="F352" s="81">
        <v>2.6084000000000001</v>
      </c>
      <c r="G352" s="84">
        <f>D352*F352*1000</f>
        <v>515.68068000000005</v>
      </c>
      <c r="H352" s="69">
        <v>1215</v>
      </c>
      <c r="I352" s="84">
        <f>515.68*1215</f>
        <v>626551.19999999995</v>
      </c>
      <c r="J352" s="54" t="s">
        <v>104</v>
      </c>
      <c r="K352" s="85" t="s">
        <v>89</v>
      </c>
      <c r="L352" s="45" t="s">
        <v>105</v>
      </c>
    </row>
    <row r="353" spans="1:12" s="53" customFormat="1" ht="20.149999999999999" customHeight="1">
      <c r="A353" s="44">
        <v>42767</v>
      </c>
      <c r="B353" s="45"/>
      <c r="C353" s="45" t="s">
        <v>20</v>
      </c>
      <c r="D353" s="72">
        <v>0.25800000000000001</v>
      </c>
      <c r="E353" s="83">
        <v>188.5087</v>
      </c>
      <c r="F353" s="81">
        <v>2.6084000000000001</v>
      </c>
      <c r="G353" s="84">
        <f t="shared" ref="G353:G355" si="28">D353*F353*1000</f>
        <v>672.96719999999993</v>
      </c>
      <c r="H353" s="69">
        <v>1215</v>
      </c>
      <c r="I353" s="84">
        <f>672.97*1215</f>
        <v>817658.55</v>
      </c>
      <c r="J353" s="54" t="s">
        <v>104</v>
      </c>
      <c r="K353" s="85" t="s">
        <v>107</v>
      </c>
      <c r="L353" s="45" t="s">
        <v>105</v>
      </c>
    </row>
    <row r="354" spans="1:12" s="53" customFormat="1" ht="20.149999999999999" customHeight="1">
      <c r="A354" s="44">
        <v>42767</v>
      </c>
      <c r="B354" s="45"/>
      <c r="C354" s="45" t="s">
        <v>20</v>
      </c>
      <c r="D354" s="72">
        <v>0.10100000000000001</v>
      </c>
      <c r="E354" s="83">
        <v>73.796099999999996</v>
      </c>
      <c r="F354" s="81">
        <v>2.6084000000000001</v>
      </c>
      <c r="G354" s="84">
        <f t="shared" si="28"/>
        <v>263.44840000000005</v>
      </c>
      <c r="H354" s="69">
        <v>1215</v>
      </c>
      <c r="I354" s="84">
        <f>263.45*1215</f>
        <v>320091.75</v>
      </c>
      <c r="J354" s="54" t="s">
        <v>104</v>
      </c>
      <c r="K354" s="85" t="s">
        <v>108</v>
      </c>
      <c r="L354" s="45" t="s">
        <v>105</v>
      </c>
    </row>
    <row r="355" spans="1:12" s="53" customFormat="1" ht="20.149999999999999" customHeight="1">
      <c r="A355" s="44">
        <v>42767</v>
      </c>
      <c r="B355" s="45"/>
      <c r="C355" s="45" t="s">
        <v>20</v>
      </c>
      <c r="D355" s="72">
        <v>6.9000000000000006E-2</v>
      </c>
      <c r="E355" s="83">
        <v>50.415100000000002</v>
      </c>
      <c r="F355" s="81">
        <v>2.6084000000000001</v>
      </c>
      <c r="G355" s="84">
        <f t="shared" si="28"/>
        <v>179.9796</v>
      </c>
      <c r="H355" s="69">
        <v>1215</v>
      </c>
      <c r="I355" s="84">
        <f>179.98*1215</f>
        <v>218675.69999999998</v>
      </c>
      <c r="J355" s="54" t="s">
        <v>104</v>
      </c>
      <c r="K355" s="85" t="s">
        <v>113</v>
      </c>
      <c r="L355" s="45" t="s">
        <v>105</v>
      </c>
    </row>
    <row r="356" spans="1:12" s="53" customFormat="1" ht="20.149999999999999" customHeight="1">
      <c r="A356" s="44">
        <v>42767</v>
      </c>
      <c r="B356" s="45"/>
      <c r="C356" s="45" t="s">
        <v>20</v>
      </c>
      <c r="D356" s="86">
        <v>2.9000000000000001E-2</v>
      </c>
      <c r="E356" s="86">
        <v>21.189</v>
      </c>
      <c r="F356" s="77">
        <v>4.0438000000000001</v>
      </c>
      <c r="G356" s="87">
        <f>D356*F356*1000</f>
        <v>117.2702</v>
      </c>
      <c r="H356" s="87">
        <v>1215</v>
      </c>
      <c r="I356" s="87">
        <f>117.27*1215</f>
        <v>142483.04999999999</v>
      </c>
      <c r="J356" s="54" t="s">
        <v>104</v>
      </c>
      <c r="K356" s="76" t="s">
        <v>63</v>
      </c>
      <c r="L356" s="45" t="s">
        <v>105</v>
      </c>
    </row>
    <row r="357" spans="1:12" s="53" customFormat="1" ht="20.149999999999999" customHeight="1">
      <c r="A357" s="44">
        <v>42767</v>
      </c>
      <c r="B357" s="45"/>
      <c r="C357" s="45" t="s">
        <v>20</v>
      </c>
      <c r="D357" s="86">
        <v>1.0178</v>
      </c>
      <c r="E357" s="86">
        <v>743.65959999999995</v>
      </c>
      <c r="F357" s="77">
        <v>7.5</v>
      </c>
      <c r="G357" s="84">
        <f>E357*F357</f>
        <v>5577.4470000000001</v>
      </c>
      <c r="H357" s="69">
        <v>1215</v>
      </c>
      <c r="I357" s="87">
        <f>5577.45*1215</f>
        <v>6776601.75</v>
      </c>
      <c r="J357" s="54" t="s">
        <v>104</v>
      </c>
      <c r="K357" s="85" t="s">
        <v>110</v>
      </c>
      <c r="L357" s="45" t="s">
        <v>105</v>
      </c>
    </row>
    <row r="358" spans="1:12" s="53" customFormat="1" ht="20.149999999999999" customHeight="1">
      <c r="A358" s="44">
        <v>42767</v>
      </c>
      <c r="B358" s="45"/>
      <c r="C358" s="45" t="s">
        <v>20</v>
      </c>
      <c r="D358" s="86">
        <v>21.0456</v>
      </c>
      <c r="E358" s="86">
        <v>15377.051799999999</v>
      </c>
      <c r="F358" s="77">
        <v>7.5</v>
      </c>
      <c r="G358" s="84">
        <f t="shared" ref="G358:G368" si="29">E358*F358</f>
        <v>115327.8885</v>
      </c>
      <c r="H358" s="69">
        <v>1215</v>
      </c>
      <c r="I358" s="87">
        <f>115327.89*1215</f>
        <v>140123386.34999999</v>
      </c>
      <c r="J358" s="54" t="s">
        <v>104</v>
      </c>
      <c r="K358" s="85" t="s">
        <v>114</v>
      </c>
      <c r="L358" s="45" t="s">
        <v>105</v>
      </c>
    </row>
    <row r="359" spans="1:12" s="53" customFormat="1" ht="20.149999999999999" customHeight="1">
      <c r="A359" s="44">
        <v>42767</v>
      </c>
      <c r="B359" s="45"/>
      <c r="C359" s="45" t="s">
        <v>20</v>
      </c>
      <c r="D359" s="86">
        <v>2.8889999999999998</v>
      </c>
      <c r="E359" s="86">
        <v>2110.8593999999998</v>
      </c>
      <c r="F359" s="77">
        <v>7.5</v>
      </c>
      <c r="G359" s="84">
        <f t="shared" si="29"/>
        <v>15831.445499999998</v>
      </c>
      <c r="H359" s="69">
        <v>1215</v>
      </c>
      <c r="I359" s="87">
        <f>15831.45*1215</f>
        <v>19235211.75</v>
      </c>
      <c r="J359" s="54" t="s">
        <v>104</v>
      </c>
      <c r="K359" s="85" t="s">
        <v>54</v>
      </c>
      <c r="L359" s="45" t="s">
        <v>105</v>
      </c>
    </row>
    <row r="360" spans="1:12" s="53" customFormat="1" ht="20.149999999999999" customHeight="1">
      <c r="A360" s="44">
        <v>42767</v>
      </c>
      <c r="B360" s="45"/>
      <c r="C360" s="45" t="s">
        <v>20</v>
      </c>
      <c r="D360" s="86">
        <v>0.108</v>
      </c>
      <c r="E360" s="86">
        <v>78.910600000000002</v>
      </c>
      <c r="F360" s="77">
        <v>7.5</v>
      </c>
      <c r="G360" s="84">
        <f t="shared" si="29"/>
        <v>591.82950000000005</v>
      </c>
      <c r="H360" s="69">
        <v>1215</v>
      </c>
      <c r="I360" s="87">
        <f>591.83*1215</f>
        <v>719073.45000000007</v>
      </c>
      <c r="J360" s="54" t="s">
        <v>104</v>
      </c>
      <c r="K360" s="85" t="s">
        <v>111</v>
      </c>
      <c r="L360" s="45" t="s">
        <v>105</v>
      </c>
    </row>
    <row r="361" spans="1:12" s="53" customFormat="1" ht="20.149999999999999" customHeight="1">
      <c r="A361" s="44">
        <v>42767</v>
      </c>
      <c r="B361" s="45"/>
      <c r="C361" s="45" t="s">
        <v>20</v>
      </c>
      <c r="D361" s="86">
        <v>0.12640000000000001</v>
      </c>
      <c r="E361" s="86">
        <v>92.354699999999994</v>
      </c>
      <c r="F361" s="77">
        <v>7.5</v>
      </c>
      <c r="G361" s="84">
        <f t="shared" si="29"/>
        <v>692.66024999999991</v>
      </c>
      <c r="H361" s="69">
        <v>1215</v>
      </c>
      <c r="I361" s="87">
        <f>692.66*1215</f>
        <v>841581.89999999991</v>
      </c>
      <c r="J361" s="54" t="s">
        <v>104</v>
      </c>
      <c r="K361" s="85" t="s">
        <v>112</v>
      </c>
      <c r="L361" s="45" t="s">
        <v>105</v>
      </c>
    </row>
    <row r="362" spans="1:12" s="53" customFormat="1" ht="20.149999999999999" customHeight="1">
      <c r="A362" s="44">
        <v>42767</v>
      </c>
      <c r="B362" s="45"/>
      <c r="C362" s="45" t="s">
        <v>20</v>
      </c>
      <c r="D362" s="86">
        <v>10.5877</v>
      </c>
      <c r="E362" s="86">
        <v>7735.9453999999996</v>
      </c>
      <c r="F362" s="77">
        <v>7.5</v>
      </c>
      <c r="G362" s="84">
        <f t="shared" si="29"/>
        <v>58019.590499999998</v>
      </c>
      <c r="H362" s="69">
        <v>1215</v>
      </c>
      <c r="I362" s="87">
        <f>58019.59*1215</f>
        <v>70493801.849999994</v>
      </c>
      <c r="J362" s="54" t="s">
        <v>104</v>
      </c>
      <c r="K362" s="85" t="s">
        <v>79</v>
      </c>
      <c r="L362" s="45" t="s">
        <v>105</v>
      </c>
    </row>
    <row r="363" spans="1:12" s="53" customFormat="1" ht="20.149999999999999" customHeight="1">
      <c r="A363" s="44">
        <v>42767</v>
      </c>
      <c r="B363" s="45"/>
      <c r="C363" s="45" t="s">
        <v>20</v>
      </c>
      <c r="D363" s="86">
        <v>46.431699999999999</v>
      </c>
      <c r="E363" s="86">
        <v>33925.507299999997</v>
      </c>
      <c r="F363" s="77">
        <v>7.5</v>
      </c>
      <c r="G363" s="84">
        <f t="shared" si="29"/>
        <v>254441.30474999998</v>
      </c>
      <c r="H363" s="69">
        <v>1215</v>
      </c>
      <c r="I363" s="87">
        <f>254441.3*1215</f>
        <v>309146179.5</v>
      </c>
      <c r="J363" s="54" t="s">
        <v>104</v>
      </c>
      <c r="K363" s="85" t="s">
        <v>80</v>
      </c>
      <c r="L363" s="45" t="s">
        <v>105</v>
      </c>
    </row>
    <row r="364" spans="1:12" s="53" customFormat="1" ht="20.149999999999999" customHeight="1">
      <c r="A364" s="44">
        <v>42767</v>
      </c>
      <c r="B364" s="45"/>
      <c r="C364" s="45" t="s">
        <v>20</v>
      </c>
      <c r="D364" s="86">
        <v>11.784599999999999</v>
      </c>
      <c r="E364" s="86">
        <v>8610.4650999999994</v>
      </c>
      <c r="F364" s="77">
        <v>7.5</v>
      </c>
      <c r="G364" s="84">
        <f t="shared" si="29"/>
        <v>64578.488249999995</v>
      </c>
      <c r="H364" s="69">
        <v>1215</v>
      </c>
      <c r="I364" s="87">
        <f>64578.49*1215</f>
        <v>78462865.349999994</v>
      </c>
      <c r="J364" s="54" t="s">
        <v>104</v>
      </c>
      <c r="K364" s="85" t="s">
        <v>70</v>
      </c>
      <c r="L364" s="45" t="s">
        <v>105</v>
      </c>
    </row>
    <row r="365" spans="1:12" s="53" customFormat="1" ht="20.149999999999999" customHeight="1">
      <c r="A365" s="44">
        <v>42767</v>
      </c>
      <c r="B365" s="45"/>
      <c r="C365" s="45" t="s">
        <v>20</v>
      </c>
      <c r="D365" s="86">
        <v>136.53399999999999</v>
      </c>
      <c r="E365" s="86">
        <v>99759.113200000007</v>
      </c>
      <c r="F365" s="77">
        <v>7.5</v>
      </c>
      <c r="G365" s="84">
        <f t="shared" si="29"/>
        <v>748193.34900000005</v>
      </c>
      <c r="H365" s="69">
        <v>1215</v>
      </c>
      <c r="I365" s="87">
        <f>748193.35*1215</f>
        <v>909054920.25</v>
      </c>
      <c r="J365" s="54" t="s">
        <v>104</v>
      </c>
      <c r="K365" s="85" t="s">
        <v>71</v>
      </c>
      <c r="L365" s="45" t="s">
        <v>105</v>
      </c>
    </row>
    <row r="366" spans="1:12" s="53" customFormat="1" ht="20.149999999999999" customHeight="1">
      <c r="A366" s="44">
        <v>42767</v>
      </c>
      <c r="B366" s="45"/>
      <c r="C366" s="45" t="s">
        <v>20</v>
      </c>
      <c r="D366" s="86">
        <v>13.808</v>
      </c>
      <c r="E366" s="86">
        <v>10088.8704</v>
      </c>
      <c r="F366" s="77">
        <v>7.5</v>
      </c>
      <c r="G366" s="84">
        <f t="shared" si="29"/>
        <v>75666.527999999991</v>
      </c>
      <c r="H366" s="69">
        <v>1215</v>
      </c>
      <c r="I366" s="87">
        <f>75666.53*1215</f>
        <v>91934833.950000003</v>
      </c>
      <c r="J366" s="54" t="s">
        <v>104</v>
      </c>
      <c r="K366" s="85" t="s">
        <v>72</v>
      </c>
      <c r="L366" s="45" t="s">
        <v>105</v>
      </c>
    </row>
    <row r="367" spans="1:12" s="53" customFormat="1" ht="20.149999999999999" customHeight="1">
      <c r="A367" s="44">
        <v>42767</v>
      </c>
      <c r="B367" s="45"/>
      <c r="C367" s="45" t="s">
        <v>20</v>
      </c>
      <c r="D367" s="86">
        <v>7.2976000000000001</v>
      </c>
      <c r="E367" s="86">
        <v>5332.0205999999998</v>
      </c>
      <c r="F367" s="77">
        <v>7.5</v>
      </c>
      <c r="G367" s="84">
        <f t="shared" si="29"/>
        <v>39990.154499999997</v>
      </c>
      <c r="H367" s="69">
        <v>1215</v>
      </c>
      <c r="I367" s="87">
        <f>39990.15*1215</f>
        <v>48588032.25</v>
      </c>
      <c r="J367" s="54" t="s">
        <v>104</v>
      </c>
      <c r="K367" s="85" t="s">
        <v>73</v>
      </c>
      <c r="L367" s="45" t="s">
        <v>105</v>
      </c>
    </row>
    <row r="368" spans="1:12" s="53" customFormat="1" ht="20.149999999999999" customHeight="1">
      <c r="A368" s="44">
        <v>42767</v>
      </c>
      <c r="B368" s="45"/>
      <c r="C368" s="45" t="s">
        <v>20</v>
      </c>
      <c r="D368" s="86">
        <v>0.27500000000000002</v>
      </c>
      <c r="E368" s="86">
        <v>200.9299</v>
      </c>
      <c r="F368" s="77">
        <v>7.5</v>
      </c>
      <c r="G368" s="84">
        <f t="shared" si="29"/>
        <v>1506.97425</v>
      </c>
      <c r="H368" s="69">
        <v>1215</v>
      </c>
      <c r="I368" s="87">
        <f>1506.97*1215</f>
        <v>1830968.55</v>
      </c>
      <c r="J368" s="54" t="s">
        <v>104</v>
      </c>
      <c r="K368" s="85" t="s">
        <v>62</v>
      </c>
      <c r="L368" s="45" t="s">
        <v>105</v>
      </c>
    </row>
    <row r="369" spans="1:12" s="53" customFormat="1" ht="20.149999999999999" customHeight="1">
      <c r="A369" s="94"/>
      <c r="B369" s="96"/>
      <c r="C369" s="96"/>
      <c r="D369" s="110" t="s">
        <v>115</v>
      </c>
      <c r="E369" s="110"/>
      <c r="F369" s="110"/>
      <c r="G369" s="101"/>
      <c r="H369" s="102"/>
      <c r="I369" s="98">
        <f>SUM(I335:I368)</f>
        <v>6105475497.1500006</v>
      </c>
      <c r="J369" s="99"/>
      <c r="K369" s="103"/>
      <c r="L369" s="96"/>
    </row>
    <row r="370" spans="1:12" s="53" customFormat="1" ht="20.149999999999999" customHeight="1">
      <c r="A370" s="44">
        <v>42461</v>
      </c>
      <c r="B370" s="45"/>
      <c r="C370" s="45" t="s">
        <v>20</v>
      </c>
      <c r="D370" s="89">
        <v>0.29399999999999998</v>
      </c>
      <c r="E370" s="89">
        <v>210.3382</v>
      </c>
      <c r="F370" s="90">
        <v>7.5</v>
      </c>
      <c r="G370" s="89">
        <v>1577.5364999999999</v>
      </c>
      <c r="H370" s="89">
        <v>1200</v>
      </c>
      <c r="I370" s="87">
        <v>1893048</v>
      </c>
      <c r="J370" s="54" t="s">
        <v>116</v>
      </c>
      <c r="K370" s="89" t="s">
        <v>117</v>
      </c>
      <c r="L370" s="45" t="s">
        <v>105</v>
      </c>
    </row>
    <row r="371" spans="1:12" s="53" customFormat="1" ht="20.149999999999999" customHeight="1">
      <c r="A371" s="44">
        <v>42461</v>
      </c>
      <c r="B371" s="45"/>
      <c r="C371" s="45" t="s">
        <v>20</v>
      </c>
      <c r="D371" s="89">
        <v>0.76200000000000001</v>
      </c>
      <c r="E371" s="89">
        <v>545.16219999999998</v>
      </c>
      <c r="F371" s="90">
        <v>7.5</v>
      </c>
      <c r="G371" s="89">
        <v>4088.7165</v>
      </c>
      <c r="H371" s="89">
        <v>1200</v>
      </c>
      <c r="I371" s="87">
        <v>4906464</v>
      </c>
      <c r="J371" s="54" t="s">
        <v>116</v>
      </c>
      <c r="K371" s="89" t="s">
        <v>118</v>
      </c>
      <c r="L371" s="45" t="s">
        <v>105</v>
      </c>
    </row>
    <row r="372" spans="1:12" s="53" customFormat="1" ht="20.149999999999999" customHeight="1">
      <c r="A372" s="44">
        <v>42461</v>
      </c>
      <c r="B372" s="45"/>
      <c r="C372" s="45" t="s">
        <v>20</v>
      </c>
      <c r="D372" s="89">
        <v>4.8879999999999999</v>
      </c>
      <c r="E372" s="89">
        <v>3497.0511999999999</v>
      </c>
      <c r="F372" s="90">
        <v>7.5</v>
      </c>
      <c r="G372" s="89">
        <v>26227.883999999998</v>
      </c>
      <c r="H372" s="89">
        <v>1200</v>
      </c>
      <c r="I372" s="87">
        <v>31473456</v>
      </c>
      <c r="J372" s="54" t="s">
        <v>116</v>
      </c>
      <c r="K372" s="89" t="s">
        <v>119</v>
      </c>
      <c r="L372" s="45" t="s">
        <v>105</v>
      </c>
    </row>
    <row r="373" spans="1:12" s="53" customFormat="1" ht="20.149999999999999" customHeight="1">
      <c r="A373" s="44">
        <v>42461</v>
      </c>
      <c r="B373" s="45"/>
      <c r="C373" s="45" t="s">
        <v>20</v>
      </c>
      <c r="D373" s="89">
        <v>1.224</v>
      </c>
      <c r="E373" s="89">
        <v>875.69370000000004</v>
      </c>
      <c r="F373" s="90">
        <v>7.5</v>
      </c>
      <c r="G373" s="89">
        <v>6567.7027500000004</v>
      </c>
      <c r="H373" s="89">
        <v>1200</v>
      </c>
      <c r="I373" s="87">
        <v>7881240</v>
      </c>
      <c r="J373" s="54" t="s">
        <v>116</v>
      </c>
      <c r="K373" s="89" t="s">
        <v>120</v>
      </c>
      <c r="L373" s="45" t="s">
        <v>105</v>
      </c>
    </row>
    <row r="374" spans="1:12" s="53" customFormat="1" ht="20.149999999999999" customHeight="1">
      <c r="A374" s="44">
        <v>42461</v>
      </c>
      <c r="B374" s="45"/>
      <c r="C374" s="45" t="s">
        <v>20</v>
      </c>
      <c r="D374" s="89">
        <v>6.4000000000000001E-2</v>
      </c>
      <c r="E374" s="89">
        <v>45.7879</v>
      </c>
      <c r="F374" s="90">
        <v>7.5</v>
      </c>
      <c r="G374" s="89">
        <v>343.40924999999999</v>
      </c>
      <c r="H374" s="89">
        <v>1200</v>
      </c>
      <c r="I374" s="87">
        <v>412092.00000000006</v>
      </c>
      <c r="J374" s="54" t="s">
        <v>116</v>
      </c>
      <c r="K374" s="89" t="s">
        <v>121</v>
      </c>
      <c r="L374" s="45" t="s">
        <v>105</v>
      </c>
    </row>
    <row r="375" spans="1:12" s="53" customFormat="1" ht="20.149999999999999" customHeight="1">
      <c r="A375" s="44">
        <v>42461</v>
      </c>
      <c r="B375" s="45"/>
      <c r="C375" s="45" t="s">
        <v>20</v>
      </c>
      <c r="D375" s="89">
        <v>5.5E-2</v>
      </c>
      <c r="E375" s="89">
        <v>39.348999999999997</v>
      </c>
      <c r="F375" s="90">
        <v>7.5</v>
      </c>
      <c r="G375" s="89">
        <v>295.11749999999995</v>
      </c>
      <c r="H375" s="89">
        <v>1200</v>
      </c>
      <c r="I375" s="87">
        <v>354144</v>
      </c>
      <c r="J375" s="54" t="s">
        <v>116</v>
      </c>
      <c r="K375" s="89" t="s">
        <v>122</v>
      </c>
      <c r="L375" s="45" t="s">
        <v>105</v>
      </c>
    </row>
    <row r="376" spans="1:12" s="53" customFormat="1" ht="20.149999999999999" customHeight="1">
      <c r="A376" s="44">
        <v>42461</v>
      </c>
      <c r="B376" s="45"/>
      <c r="C376" s="45" t="s">
        <v>20</v>
      </c>
      <c r="D376" s="89">
        <v>5.8029999999999999</v>
      </c>
      <c r="E376" s="89">
        <v>4151.6751000000004</v>
      </c>
      <c r="F376" s="90">
        <v>7.5</v>
      </c>
      <c r="G376" s="89">
        <v>31137.563250000003</v>
      </c>
      <c r="H376" s="89">
        <v>1200</v>
      </c>
      <c r="I376" s="87">
        <v>37365072</v>
      </c>
      <c r="J376" s="54" t="s">
        <v>116</v>
      </c>
      <c r="K376" s="89" t="s">
        <v>123</v>
      </c>
      <c r="L376" s="45" t="s">
        <v>105</v>
      </c>
    </row>
    <row r="377" spans="1:12" s="53" customFormat="1" ht="20.149999999999999" customHeight="1">
      <c r="A377" s="44">
        <v>42461</v>
      </c>
      <c r="B377" s="45"/>
      <c r="C377" s="45" t="s">
        <v>20</v>
      </c>
      <c r="D377" s="89">
        <v>0.39</v>
      </c>
      <c r="E377" s="89">
        <v>279.02</v>
      </c>
      <c r="F377" s="90">
        <v>7.5</v>
      </c>
      <c r="G377" s="89">
        <v>2092.6499999999996</v>
      </c>
      <c r="H377" s="89">
        <v>1200</v>
      </c>
      <c r="I377" s="87">
        <v>2511180</v>
      </c>
      <c r="J377" s="54" t="s">
        <v>116</v>
      </c>
      <c r="K377" s="89" t="s">
        <v>124</v>
      </c>
      <c r="L377" s="45" t="s">
        <v>105</v>
      </c>
    </row>
    <row r="378" spans="1:12" s="53" customFormat="1" ht="20.149999999999999" customHeight="1">
      <c r="A378" s="44">
        <v>42461</v>
      </c>
      <c r="B378" s="45"/>
      <c r="C378" s="45" t="s">
        <v>20</v>
      </c>
      <c r="D378" s="89">
        <v>1.6E-2</v>
      </c>
      <c r="E378" s="89">
        <v>11.446999999999999</v>
      </c>
      <c r="F378" s="90">
        <v>7.5</v>
      </c>
      <c r="G378" s="89">
        <v>85.852499999999992</v>
      </c>
      <c r="H378" s="89">
        <v>1200</v>
      </c>
      <c r="I378" s="87">
        <v>103020</v>
      </c>
      <c r="J378" s="54" t="s">
        <v>116</v>
      </c>
      <c r="K378" s="89" t="s">
        <v>125</v>
      </c>
      <c r="L378" s="45" t="s">
        <v>105</v>
      </c>
    </row>
    <row r="379" spans="1:12" s="53" customFormat="1" ht="20.149999999999999" customHeight="1">
      <c r="A379" s="44">
        <v>42461</v>
      </c>
      <c r="B379" s="45"/>
      <c r="C379" s="45" t="s">
        <v>20</v>
      </c>
      <c r="D379" s="89">
        <v>0.42099999999999999</v>
      </c>
      <c r="E379" s="89">
        <v>301.1986</v>
      </c>
      <c r="F379" s="90">
        <v>7.5</v>
      </c>
      <c r="G379" s="89">
        <v>2258.9895000000001</v>
      </c>
      <c r="H379" s="89">
        <v>1200</v>
      </c>
      <c r="I379" s="87">
        <v>2710787.9999999995</v>
      </c>
      <c r="J379" s="54" t="s">
        <v>116</v>
      </c>
      <c r="K379" s="89" t="s">
        <v>126</v>
      </c>
      <c r="L379" s="45" t="s">
        <v>105</v>
      </c>
    </row>
    <row r="380" spans="1:12" s="53" customFormat="1" ht="20.149999999999999" customHeight="1">
      <c r="A380" s="44">
        <v>42461</v>
      </c>
      <c r="B380" s="45"/>
      <c r="C380" s="45" t="s">
        <v>20</v>
      </c>
      <c r="D380" s="89">
        <v>0.35099999999999998</v>
      </c>
      <c r="E380" s="89">
        <v>251.11799999999999</v>
      </c>
      <c r="F380" s="90">
        <v>7.5</v>
      </c>
      <c r="G380" s="89">
        <v>1883.385</v>
      </c>
      <c r="H380" s="89">
        <v>1200</v>
      </c>
      <c r="I380" s="87">
        <v>2260068</v>
      </c>
      <c r="J380" s="54" t="s">
        <v>116</v>
      </c>
      <c r="K380" s="89" t="s">
        <v>127</v>
      </c>
      <c r="L380" s="45" t="s">
        <v>105</v>
      </c>
    </row>
    <row r="381" spans="1:12" s="53" customFormat="1" ht="20.149999999999999" customHeight="1">
      <c r="A381" s="44">
        <v>42461</v>
      </c>
      <c r="B381" s="45"/>
      <c r="C381" s="45" t="s">
        <v>20</v>
      </c>
      <c r="D381" s="89">
        <v>9.0999999999999998E-2</v>
      </c>
      <c r="E381" s="89">
        <v>65.104699999999994</v>
      </c>
      <c r="F381" s="90">
        <v>7.5</v>
      </c>
      <c r="G381" s="89">
        <v>488.28524999999996</v>
      </c>
      <c r="H381" s="89">
        <v>1200</v>
      </c>
      <c r="I381" s="87">
        <v>585948</v>
      </c>
      <c r="J381" s="54" t="s">
        <v>116</v>
      </c>
      <c r="K381" s="89" t="s">
        <v>128</v>
      </c>
      <c r="L381" s="45" t="s">
        <v>105</v>
      </c>
    </row>
    <row r="382" spans="1:12" s="53" customFormat="1" ht="20.149999999999999" customHeight="1">
      <c r="A382" s="44">
        <v>42461</v>
      </c>
      <c r="B382" s="45"/>
      <c r="C382" s="45" t="s">
        <v>20</v>
      </c>
      <c r="D382" s="89">
        <v>0.159</v>
      </c>
      <c r="E382" s="89">
        <v>113.7543</v>
      </c>
      <c r="F382" s="90">
        <v>7.5</v>
      </c>
      <c r="G382" s="89">
        <v>853.15724999999998</v>
      </c>
      <c r="H382" s="89">
        <v>1200</v>
      </c>
      <c r="I382" s="87">
        <v>1023792</v>
      </c>
      <c r="J382" s="54" t="s">
        <v>116</v>
      </c>
      <c r="K382" s="89" t="s">
        <v>129</v>
      </c>
      <c r="L382" s="45" t="s">
        <v>105</v>
      </c>
    </row>
    <row r="383" spans="1:12" s="53" customFormat="1" ht="20.149999999999999" customHeight="1">
      <c r="A383" s="44">
        <v>42461</v>
      </c>
      <c r="B383" s="45"/>
      <c r="C383" s="45" t="s">
        <v>20</v>
      </c>
      <c r="D383" s="89">
        <v>2.8000000000000001E-2</v>
      </c>
      <c r="E383" s="89">
        <v>20.0322</v>
      </c>
      <c r="F383" s="90">
        <v>7.5</v>
      </c>
      <c r="G383" s="89">
        <v>150.2415</v>
      </c>
      <c r="H383" s="89">
        <v>1200</v>
      </c>
      <c r="I383" s="87">
        <v>180288</v>
      </c>
      <c r="J383" s="54" t="s">
        <v>116</v>
      </c>
      <c r="K383" s="89" t="s">
        <v>130</v>
      </c>
      <c r="L383" s="45" t="s">
        <v>105</v>
      </c>
    </row>
    <row r="384" spans="1:12" s="53" customFormat="1" ht="20.149999999999999" customHeight="1">
      <c r="A384" s="44">
        <v>42461</v>
      </c>
      <c r="B384" s="45"/>
      <c r="C384" s="45" t="s">
        <v>20</v>
      </c>
      <c r="D384" s="89">
        <v>8.0000000000000002E-3</v>
      </c>
      <c r="E384" s="89">
        <v>5.7234999999999996</v>
      </c>
      <c r="F384" s="90">
        <v>7.5</v>
      </c>
      <c r="G384" s="89">
        <v>42.926249999999996</v>
      </c>
      <c r="H384" s="89">
        <v>1200</v>
      </c>
      <c r="I384" s="87">
        <v>51516</v>
      </c>
      <c r="J384" s="54" t="s">
        <v>116</v>
      </c>
      <c r="K384" s="89" t="s">
        <v>131</v>
      </c>
      <c r="L384" s="45" t="s">
        <v>105</v>
      </c>
    </row>
    <row r="385" spans="1:12" s="53" customFormat="1" ht="20.149999999999999" customHeight="1">
      <c r="A385" s="44">
        <v>42461</v>
      </c>
      <c r="B385" s="45"/>
      <c r="C385" s="45" t="s">
        <v>20</v>
      </c>
      <c r="D385" s="89">
        <v>4.7190000000000003</v>
      </c>
      <c r="E385" s="89">
        <v>3376.1424999999999</v>
      </c>
      <c r="F385" s="90">
        <v>7.5</v>
      </c>
      <c r="G385" s="89">
        <v>25321.068749999999</v>
      </c>
      <c r="H385" s="89">
        <v>1200</v>
      </c>
      <c r="I385" s="87">
        <v>30385284</v>
      </c>
      <c r="J385" s="54" t="s">
        <v>116</v>
      </c>
      <c r="K385" s="89" t="s">
        <v>132</v>
      </c>
      <c r="L385" s="45" t="s">
        <v>105</v>
      </c>
    </row>
    <row r="386" spans="1:12" s="53" customFormat="1" ht="20.149999999999999" customHeight="1">
      <c r="A386" s="44">
        <v>42461</v>
      </c>
      <c r="B386" s="45"/>
      <c r="C386" s="45" t="s">
        <v>20</v>
      </c>
      <c r="D386" s="89">
        <v>1.081</v>
      </c>
      <c r="E386" s="89">
        <v>773.38630000000001</v>
      </c>
      <c r="F386" s="90">
        <v>7.5</v>
      </c>
      <c r="G386" s="89">
        <v>5800.39725</v>
      </c>
      <c r="H386" s="89">
        <v>1200</v>
      </c>
      <c r="I386" s="87">
        <v>6960480</v>
      </c>
      <c r="J386" s="54" t="s">
        <v>116</v>
      </c>
      <c r="K386" s="89" t="s">
        <v>133</v>
      </c>
      <c r="L386" s="45" t="s">
        <v>105</v>
      </c>
    </row>
    <row r="387" spans="1:12" s="53" customFormat="1" ht="20.149999999999999" customHeight="1">
      <c r="A387" s="44">
        <v>42461</v>
      </c>
      <c r="B387" s="45"/>
      <c r="C387" s="45" t="s">
        <v>20</v>
      </c>
      <c r="D387" s="89">
        <v>0.61699999999999999</v>
      </c>
      <c r="E387" s="89">
        <v>441.42399999999998</v>
      </c>
      <c r="F387" s="90">
        <v>7.5</v>
      </c>
      <c r="G387" s="89">
        <v>3310.68</v>
      </c>
      <c r="H387" s="89">
        <v>1200</v>
      </c>
      <c r="I387" s="87">
        <v>3972816</v>
      </c>
      <c r="J387" s="54" t="s">
        <v>116</v>
      </c>
      <c r="K387" s="89" t="s">
        <v>134</v>
      </c>
      <c r="L387" s="45" t="s">
        <v>105</v>
      </c>
    </row>
    <row r="388" spans="1:12" s="53" customFormat="1" ht="20.149999999999999" customHeight="1">
      <c r="A388" s="44">
        <v>42461</v>
      </c>
      <c r="B388" s="45"/>
      <c r="C388" s="45" t="s">
        <v>20</v>
      </c>
      <c r="D388" s="89">
        <v>0.26900000000000002</v>
      </c>
      <c r="E388" s="89">
        <v>192.45230000000001</v>
      </c>
      <c r="F388" s="90">
        <v>7.5</v>
      </c>
      <c r="G388" s="89">
        <v>1443.3922500000001</v>
      </c>
      <c r="H388" s="89">
        <v>1200</v>
      </c>
      <c r="I388" s="87">
        <v>1732068.0000000002</v>
      </c>
      <c r="J388" s="54" t="s">
        <v>116</v>
      </c>
      <c r="K388" s="89" t="s">
        <v>135</v>
      </c>
      <c r="L388" s="45" t="s">
        <v>105</v>
      </c>
    </row>
    <row r="389" spans="1:12" s="53" customFormat="1" ht="20.149999999999999" customHeight="1">
      <c r="A389" s="44">
        <v>42461</v>
      </c>
      <c r="B389" s="45"/>
      <c r="C389" s="45" t="s">
        <v>20</v>
      </c>
      <c r="D389" s="89">
        <v>204.38300000000001</v>
      </c>
      <c r="E389" s="89">
        <v>146222.95600000001</v>
      </c>
      <c r="F389" s="90">
        <v>7.5</v>
      </c>
      <c r="G389" s="89">
        <v>1096672.17</v>
      </c>
      <c r="H389" s="89">
        <v>1200</v>
      </c>
      <c r="I389" s="87">
        <v>1316006604</v>
      </c>
      <c r="J389" s="54" t="s">
        <v>116</v>
      </c>
      <c r="K389" s="89" t="s">
        <v>136</v>
      </c>
      <c r="L389" s="45" t="s">
        <v>105</v>
      </c>
    </row>
    <row r="390" spans="1:12" s="53" customFormat="1" ht="20.149999999999999" customHeight="1">
      <c r="A390" s="44">
        <v>42461</v>
      </c>
      <c r="B390" s="45"/>
      <c r="C390" s="45" t="s">
        <v>20</v>
      </c>
      <c r="D390" s="89">
        <v>50.920999999999999</v>
      </c>
      <c r="E390" s="89">
        <v>36430.7166</v>
      </c>
      <c r="F390" s="90">
        <v>7.5</v>
      </c>
      <c r="G390" s="89">
        <v>273230.37449999998</v>
      </c>
      <c r="H390" s="89">
        <v>1200</v>
      </c>
      <c r="I390" s="87">
        <v>327876444</v>
      </c>
      <c r="J390" s="54" t="s">
        <v>116</v>
      </c>
      <c r="K390" s="89" t="s">
        <v>137</v>
      </c>
      <c r="L390" s="45" t="s">
        <v>105</v>
      </c>
    </row>
    <row r="391" spans="1:12" s="53" customFormat="1" ht="20.149999999999999" customHeight="1">
      <c r="A391" s="44">
        <v>42461</v>
      </c>
      <c r="B391" s="45"/>
      <c r="C391" s="45" t="s">
        <v>20</v>
      </c>
      <c r="D391" s="89">
        <v>0.27700000000000002</v>
      </c>
      <c r="E391" s="89">
        <v>198.17580000000001</v>
      </c>
      <c r="F391" s="90">
        <v>7.5</v>
      </c>
      <c r="G391" s="89">
        <v>1486.3185000000001</v>
      </c>
      <c r="H391" s="89">
        <v>1200</v>
      </c>
      <c r="I391" s="87">
        <v>1783584</v>
      </c>
      <c r="J391" s="54" t="s">
        <v>116</v>
      </c>
      <c r="K391" s="89" t="s">
        <v>138</v>
      </c>
      <c r="L391" s="45" t="s">
        <v>105</v>
      </c>
    </row>
    <row r="392" spans="1:12" s="53" customFormat="1" ht="20.149999999999999" customHeight="1">
      <c r="A392" s="44">
        <v>42461</v>
      </c>
      <c r="B392" s="45"/>
      <c r="C392" s="45" t="s">
        <v>20</v>
      </c>
      <c r="D392" s="89">
        <v>477.66199999999998</v>
      </c>
      <c r="E392" s="89">
        <v>341736.5906</v>
      </c>
      <c r="F392" s="90">
        <v>7.5</v>
      </c>
      <c r="G392" s="89">
        <v>2563024.4295000001</v>
      </c>
      <c r="H392" s="89">
        <v>1200</v>
      </c>
      <c r="I392" s="87">
        <v>3075629316</v>
      </c>
      <c r="J392" s="54" t="s">
        <v>116</v>
      </c>
      <c r="K392" s="89" t="s">
        <v>139</v>
      </c>
      <c r="L392" s="45" t="s">
        <v>105</v>
      </c>
    </row>
    <row r="393" spans="1:12" s="53" customFormat="1" ht="20.149999999999999" customHeight="1">
      <c r="A393" s="44">
        <v>42461</v>
      </c>
      <c r="B393" s="45"/>
      <c r="C393" s="45" t="s">
        <v>20</v>
      </c>
      <c r="D393" s="89">
        <v>0.34499999999999997</v>
      </c>
      <c r="E393" s="89">
        <v>246.8254</v>
      </c>
      <c r="F393" s="90">
        <v>7.5</v>
      </c>
      <c r="G393" s="89">
        <v>1851.1904999999999</v>
      </c>
      <c r="H393" s="89">
        <v>1200</v>
      </c>
      <c r="I393" s="87">
        <v>2221428</v>
      </c>
      <c r="J393" s="54" t="s">
        <v>116</v>
      </c>
      <c r="K393" s="89" t="s">
        <v>140</v>
      </c>
      <c r="L393" s="45" t="s">
        <v>105</v>
      </c>
    </row>
    <row r="394" spans="1:12" s="53" customFormat="1" ht="20.149999999999999" customHeight="1">
      <c r="A394" s="44">
        <v>42461</v>
      </c>
      <c r="B394" s="45"/>
      <c r="C394" s="45" t="s">
        <v>20</v>
      </c>
      <c r="D394" s="89">
        <v>646.36400000000003</v>
      </c>
      <c r="E394" s="89">
        <v>462432.0747</v>
      </c>
      <c r="F394" s="90">
        <v>7.5</v>
      </c>
      <c r="G394" s="89">
        <v>3468240.5602500001</v>
      </c>
      <c r="H394" s="89">
        <v>1200</v>
      </c>
      <c r="I394" s="87">
        <v>4161888672</v>
      </c>
      <c r="J394" s="54" t="s">
        <v>116</v>
      </c>
      <c r="K394" s="89" t="s">
        <v>141</v>
      </c>
      <c r="L394" s="45" t="s">
        <v>105</v>
      </c>
    </row>
    <row r="395" spans="1:12" s="53" customFormat="1" ht="20.149999999999999" customHeight="1">
      <c r="A395" s="44">
        <v>42461</v>
      </c>
      <c r="B395" s="45"/>
      <c r="C395" s="45" t="s">
        <v>20</v>
      </c>
      <c r="D395" s="89">
        <v>1185.088</v>
      </c>
      <c r="E395" s="89">
        <v>847854.61840000004</v>
      </c>
      <c r="F395" s="90">
        <v>7.5</v>
      </c>
      <c r="G395" s="89">
        <v>6358909.6380000003</v>
      </c>
      <c r="H395" s="89">
        <v>1200</v>
      </c>
      <c r="I395" s="87">
        <v>7630691568</v>
      </c>
      <c r="J395" s="54" t="s">
        <v>116</v>
      </c>
      <c r="K395" s="89" t="s">
        <v>142</v>
      </c>
      <c r="L395" s="45" t="s">
        <v>105</v>
      </c>
    </row>
    <row r="396" spans="1:12" s="53" customFormat="1" ht="20.149999999999999" customHeight="1">
      <c r="A396" s="44">
        <v>42461</v>
      </c>
      <c r="B396" s="45"/>
      <c r="C396" s="45" t="s">
        <v>20</v>
      </c>
      <c r="D396" s="89">
        <v>1167.8019999999999</v>
      </c>
      <c r="E396" s="89">
        <v>835487.59169999999</v>
      </c>
      <c r="F396" s="90">
        <v>7.5</v>
      </c>
      <c r="G396" s="89">
        <v>6266156.9377499996</v>
      </c>
      <c r="H396" s="89">
        <v>1200</v>
      </c>
      <c r="I396" s="87">
        <v>7519388328.000001</v>
      </c>
      <c r="J396" s="54" t="s">
        <v>116</v>
      </c>
      <c r="K396" s="89" t="s">
        <v>143</v>
      </c>
      <c r="L396" s="45" t="s">
        <v>105</v>
      </c>
    </row>
    <row r="397" spans="1:12" s="53" customFormat="1" ht="20.149999999999999" customHeight="1">
      <c r="A397" s="44">
        <v>42461</v>
      </c>
      <c r="B397" s="45"/>
      <c r="C397" s="45" t="s">
        <v>20</v>
      </c>
      <c r="D397" s="89">
        <v>1119.0350000000001</v>
      </c>
      <c r="E397" s="89">
        <v>800597.92429999996</v>
      </c>
      <c r="F397" s="90">
        <v>7.5</v>
      </c>
      <c r="G397" s="89">
        <v>6004484.4322499996</v>
      </c>
      <c r="H397" s="89">
        <v>1200</v>
      </c>
      <c r="I397" s="87">
        <v>7205381316</v>
      </c>
      <c r="J397" s="54" t="s">
        <v>116</v>
      </c>
      <c r="K397" s="89" t="s">
        <v>144</v>
      </c>
      <c r="L397" s="45" t="s">
        <v>105</v>
      </c>
    </row>
    <row r="398" spans="1:12" s="53" customFormat="1" ht="20.149999999999999" customHeight="1">
      <c r="A398" s="44">
        <v>42461</v>
      </c>
      <c r="B398" s="45"/>
      <c r="C398" s="45" t="s">
        <v>20</v>
      </c>
      <c r="D398" s="89">
        <v>1.0389999999999999</v>
      </c>
      <c r="E398" s="89">
        <v>743.33799999999997</v>
      </c>
      <c r="F398" s="90">
        <v>7.5</v>
      </c>
      <c r="G398" s="89">
        <v>5575.0349999999999</v>
      </c>
      <c r="H398" s="89">
        <v>1200</v>
      </c>
      <c r="I398" s="87">
        <v>6690048</v>
      </c>
      <c r="J398" s="54" t="s">
        <v>116</v>
      </c>
      <c r="K398" s="89" t="s">
        <v>145</v>
      </c>
      <c r="L398" s="45" t="s">
        <v>105</v>
      </c>
    </row>
    <row r="399" spans="1:12" s="53" customFormat="1" ht="20.149999999999999" customHeight="1">
      <c r="A399" s="44">
        <v>42461</v>
      </c>
      <c r="B399" s="49"/>
      <c r="C399" s="45" t="s">
        <v>20</v>
      </c>
      <c r="D399" s="89">
        <v>0.61</v>
      </c>
      <c r="E399" s="89">
        <v>436.416</v>
      </c>
      <c r="F399" s="90">
        <v>7.5</v>
      </c>
      <c r="G399" s="89">
        <v>3273.12</v>
      </c>
      <c r="H399" s="89">
        <v>1200</v>
      </c>
      <c r="I399" s="87">
        <v>3927744</v>
      </c>
      <c r="J399" s="54" t="s">
        <v>116</v>
      </c>
      <c r="K399" s="89" t="s">
        <v>146</v>
      </c>
      <c r="L399" s="45" t="s">
        <v>105</v>
      </c>
    </row>
    <row r="400" spans="1:12" s="53" customFormat="1" ht="20.149999999999999" customHeight="1">
      <c r="A400" s="44">
        <v>42461</v>
      </c>
      <c r="B400" s="49"/>
      <c r="C400" s="45" t="s">
        <v>20</v>
      </c>
      <c r="D400" s="89">
        <v>0.115</v>
      </c>
      <c r="E400" s="89">
        <v>82.275099999999995</v>
      </c>
      <c r="F400" s="90">
        <v>2.7016</v>
      </c>
      <c r="G400" s="89">
        <v>310.68400000000003</v>
      </c>
      <c r="H400" s="89">
        <v>1200</v>
      </c>
      <c r="I400" s="87">
        <v>372816</v>
      </c>
      <c r="J400" s="54" t="s">
        <v>116</v>
      </c>
      <c r="K400" s="89" t="s">
        <v>147</v>
      </c>
      <c r="L400" s="45" t="s">
        <v>105</v>
      </c>
    </row>
    <row r="401" spans="1:12" s="53" customFormat="1" ht="20.149999999999999" customHeight="1">
      <c r="A401" s="44">
        <v>42461</v>
      </c>
      <c r="B401" s="49"/>
      <c r="C401" s="45" t="s">
        <v>20</v>
      </c>
      <c r="D401" s="89">
        <v>1.7669999999999999</v>
      </c>
      <c r="E401" s="89">
        <v>1264.1754000000001</v>
      </c>
      <c r="F401" s="90">
        <v>2.7016</v>
      </c>
      <c r="G401" s="89">
        <v>4773.7271999999994</v>
      </c>
      <c r="H401" s="89">
        <v>1200</v>
      </c>
      <c r="I401" s="87">
        <v>5728475.9999999991</v>
      </c>
      <c r="J401" s="54" t="s">
        <v>116</v>
      </c>
      <c r="K401" s="89" t="s">
        <v>148</v>
      </c>
      <c r="L401" s="45" t="s">
        <v>105</v>
      </c>
    </row>
    <row r="402" spans="1:12" s="53" customFormat="1" ht="20.149999999999999" customHeight="1">
      <c r="A402" s="44">
        <v>42461</v>
      </c>
      <c r="B402" s="49"/>
      <c r="C402" s="45" t="s">
        <v>20</v>
      </c>
      <c r="D402" s="89">
        <v>0.22500000000000001</v>
      </c>
      <c r="E402" s="89">
        <v>160.97309999999999</v>
      </c>
      <c r="F402" s="90">
        <v>2.7016</v>
      </c>
      <c r="G402" s="89">
        <v>607.86</v>
      </c>
      <c r="H402" s="89">
        <v>1200</v>
      </c>
      <c r="I402" s="87">
        <v>729432</v>
      </c>
      <c r="J402" s="54" t="s">
        <v>116</v>
      </c>
      <c r="K402" s="89" t="s">
        <v>149</v>
      </c>
      <c r="L402" s="45" t="s">
        <v>105</v>
      </c>
    </row>
    <row r="403" spans="1:12" s="53" customFormat="1" ht="20.149999999999999" customHeight="1">
      <c r="A403" s="44">
        <v>42461</v>
      </c>
      <c r="B403" s="49"/>
      <c r="C403" s="45" t="s">
        <v>20</v>
      </c>
      <c r="D403" s="89">
        <v>0.26800000000000002</v>
      </c>
      <c r="E403" s="89">
        <v>191.73679999999999</v>
      </c>
      <c r="F403" s="90">
        <v>2.7016</v>
      </c>
      <c r="G403" s="89">
        <v>724.02880000000005</v>
      </c>
      <c r="H403" s="89">
        <v>1200</v>
      </c>
      <c r="I403" s="87">
        <v>868836</v>
      </c>
      <c r="J403" s="54" t="s">
        <v>116</v>
      </c>
      <c r="K403" s="89" t="s">
        <v>150</v>
      </c>
      <c r="L403" s="45" t="s">
        <v>105</v>
      </c>
    </row>
    <row r="404" spans="1:12" s="53" customFormat="1" ht="20.149999999999999" customHeight="1">
      <c r="A404" s="44">
        <v>42461</v>
      </c>
      <c r="B404" s="49"/>
      <c r="C404" s="45" t="s">
        <v>20</v>
      </c>
      <c r="D404" s="89">
        <v>5.2999999999999999E-2</v>
      </c>
      <c r="E404" s="89">
        <v>37.918100000000003</v>
      </c>
      <c r="F404" s="90">
        <v>2.7016</v>
      </c>
      <c r="G404" s="89">
        <v>143.1848</v>
      </c>
      <c r="H404" s="89">
        <v>1200</v>
      </c>
      <c r="I404" s="87">
        <v>171816</v>
      </c>
      <c r="J404" s="54" t="s">
        <v>116</v>
      </c>
      <c r="K404" s="89" t="s">
        <v>151</v>
      </c>
      <c r="L404" s="45" t="s">
        <v>105</v>
      </c>
    </row>
    <row r="405" spans="1:12" s="53" customFormat="1" ht="20.149999999999999" customHeight="1">
      <c r="A405" s="44">
        <v>42461</v>
      </c>
      <c r="B405" s="49"/>
      <c r="C405" s="45" t="s">
        <v>20</v>
      </c>
      <c r="D405" s="89">
        <v>0.65500000000000003</v>
      </c>
      <c r="E405" s="89">
        <v>468.61059999999998</v>
      </c>
      <c r="F405" s="90">
        <v>2.7016</v>
      </c>
      <c r="G405" s="89">
        <v>1769.5480000000002</v>
      </c>
      <c r="H405" s="89">
        <v>1200</v>
      </c>
      <c r="I405" s="87">
        <v>2123460</v>
      </c>
      <c r="J405" s="54" t="s">
        <v>116</v>
      </c>
      <c r="K405" s="89" t="s">
        <v>152</v>
      </c>
      <c r="L405" s="45" t="s">
        <v>105</v>
      </c>
    </row>
    <row r="406" spans="1:12" s="53" customFormat="1" ht="20.149999999999999" customHeight="1">
      <c r="A406" s="44">
        <v>42461</v>
      </c>
      <c r="B406" s="49"/>
      <c r="C406" s="45" t="s">
        <v>20</v>
      </c>
      <c r="D406" s="89">
        <v>3.96</v>
      </c>
      <c r="E406" s="89">
        <v>2833.1266000000001</v>
      </c>
      <c r="F406" s="90">
        <v>2.7016</v>
      </c>
      <c r="G406" s="89">
        <v>10698.335999999999</v>
      </c>
      <c r="H406" s="89">
        <v>1200</v>
      </c>
      <c r="I406" s="87">
        <v>12838008</v>
      </c>
      <c r="J406" s="54" t="s">
        <v>116</v>
      </c>
      <c r="K406" s="89" t="s">
        <v>153</v>
      </c>
      <c r="L406" s="45" t="s">
        <v>105</v>
      </c>
    </row>
    <row r="407" spans="1:12" s="53" customFormat="1" ht="20.149999999999999" customHeight="1">
      <c r="A407" s="44">
        <v>42461</v>
      </c>
      <c r="B407" s="49"/>
      <c r="C407" s="45" t="s">
        <v>20</v>
      </c>
      <c r="D407" s="89">
        <v>0.33500000000000002</v>
      </c>
      <c r="E407" s="89">
        <v>239.6711</v>
      </c>
      <c r="F407" s="90">
        <v>2.7016</v>
      </c>
      <c r="G407" s="89">
        <v>905.03600000000006</v>
      </c>
      <c r="H407" s="89">
        <v>1200</v>
      </c>
      <c r="I407" s="87">
        <v>1086048</v>
      </c>
      <c r="J407" s="54" t="s">
        <v>116</v>
      </c>
      <c r="K407" s="89" t="s">
        <v>154</v>
      </c>
      <c r="L407" s="45" t="s">
        <v>105</v>
      </c>
    </row>
    <row r="408" spans="1:12" s="53" customFormat="1" ht="20.149999999999999" customHeight="1">
      <c r="A408" s="44">
        <v>42461</v>
      </c>
      <c r="B408" s="49"/>
      <c r="C408" s="45" t="s">
        <v>20</v>
      </c>
      <c r="D408" s="89">
        <v>5.5490000000000004</v>
      </c>
      <c r="E408" s="89">
        <v>3969.9544000000001</v>
      </c>
      <c r="F408" s="90">
        <v>2.7016</v>
      </c>
      <c r="G408" s="89">
        <v>14991.178400000001</v>
      </c>
      <c r="H408" s="89">
        <v>1200</v>
      </c>
      <c r="I408" s="87">
        <v>17989416</v>
      </c>
      <c r="J408" s="54" t="s">
        <v>116</v>
      </c>
      <c r="K408" s="89" t="s">
        <v>155</v>
      </c>
      <c r="L408" s="45" t="s">
        <v>105</v>
      </c>
    </row>
    <row r="409" spans="1:12" s="53" customFormat="1" ht="20.149999999999999" customHeight="1">
      <c r="A409" s="44">
        <v>42461</v>
      </c>
      <c r="B409" s="49"/>
      <c r="C409" s="45" t="s">
        <v>20</v>
      </c>
      <c r="D409" s="89">
        <v>0.159</v>
      </c>
      <c r="E409" s="89">
        <v>113.7543</v>
      </c>
      <c r="F409" s="90">
        <v>2.7016</v>
      </c>
      <c r="G409" s="89">
        <v>429.55439999999999</v>
      </c>
      <c r="H409" s="89">
        <v>1200</v>
      </c>
      <c r="I409" s="87">
        <v>515460</v>
      </c>
      <c r="J409" s="54" t="s">
        <v>116</v>
      </c>
      <c r="K409" s="89" t="s">
        <v>156</v>
      </c>
      <c r="L409" s="45" t="s">
        <v>105</v>
      </c>
    </row>
    <row r="410" spans="1:12" s="53" customFormat="1" ht="20.149999999999999" customHeight="1">
      <c r="A410" s="44">
        <v>42461</v>
      </c>
      <c r="B410" s="49"/>
      <c r="C410" s="45" t="s">
        <v>20</v>
      </c>
      <c r="D410" s="89">
        <v>0.11799999999999999</v>
      </c>
      <c r="E410" s="89">
        <v>84.421400000000006</v>
      </c>
      <c r="F410" s="90">
        <v>2.7016</v>
      </c>
      <c r="G410" s="89">
        <v>318.78879999999998</v>
      </c>
      <c r="H410" s="89">
        <v>1200</v>
      </c>
      <c r="I410" s="87">
        <v>382548</v>
      </c>
      <c r="J410" s="54" t="s">
        <v>116</v>
      </c>
      <c r="K410" s="89" t="s">
        <v>157</v>
      </c>
      <c r="L410" s="45" t="s">
        <v>105</v>
      </c>
    </row>
    <row r="411" spans="1:12" s="53" customFormat="1" ht="20.149999999999999" customHeight="1">
      <c r="A411" s="44"/>
      <c r="B411" s="49"/>
      <c r="C411" s="45"/>
      <c r="D411" s="89"/>
      <c r="E411" s="89"/>
      <c r="F411" s="90"/>
      <c r="G411" s="89"/>
      <c r="H411" s="89"/>
      <c r="I411" s="88"/>
      <c r="J411" s="54"/>
      <c r="K411" s="89"/>
      <c r="L411" s="45"/>
    </row>
    <row r="412" spans="1:12" s="53" customFormat="1" ht="20.149999999999999" customHeight="1">
      <c r="A412" s="44">
        <v>42491</v>
      </c>
      <c r="B412" s="49"/>
      <c r="C412" s="45" t="s">
        <v>20</v>
      </c>
      <c r="D412" s="89">
        <v>1.2410000000000001</v>
      </c>
      <c r="E412" s="89">
        <v>883.43190000000004</v>
      </c>
      <c r="F412" s="90">
        <v>7.5</v>
      </c>
      <c r="G412" s="89">
        <v>6625.7392500000005</v>
      </c>
      <c r="H412" s="89">
        <v>1200</v>
      </c>
      <c r="I412" s="87">
        <v>7950888</v>
      </c>
      <c r="J412" s="54" t="s">
        <v>116</v>
      </c>
      <c r="K412" s="89" t="s">
        <v>117</v>
      </c>
      <c r="L412" s="45" t="s">
        <v>105</v>
      </c>
    </row>
    <row r="413" spans="1:12" s="53" customFormat="1" ht="20.149999999999999" customHeight="1">
      <c r="A413" s="44">
        <v>42491</v>
      </c>
      <c r="B413" s="49"/>
      <c r="C413" s="45" t="s">
        <v>20</v>
      </c>
      <c r="D413" s="89">
        <v>1.7509999999999999</v>
      </c>
      <c r="E413" s="89">
        <v>1246.4861000000001</v>
      </c>
      <c r="F413" s="90">
        <v>7.5</v>
      </c>
      <c r="G413" s="89">
        <v>9348.6457499999997</v>
      </c>
      <c r="H413" s="89">
        <v>1200</v>
      </c>
      <c r="I413" s="87">
        <v>11218380</v>
      </c>
      <c r="J413" s="54" t="s">
        <v>116</v>
      </c>
      <c r="K413" s="89" t="s">
        <v>118</v>
      </c>
      <c r="L413" s="45" t="s">
        <v>105</v>
      </c>
    </row>
    <row r="414" spans="1:12" s="53" customFormat="1" ht="20.149999999999999" customHeight="1">
      <c r="A414" s="44">
        <v>42491</v>
      </c>
      <c r="B414" s="49"/>
      <c r="C414" s="45" t="s">
        <v>20</v>
      </c>
      <c r="D414" s="89">
        <v>9.5180000000000007</v>
      </c>
      <c r="E414" s="89">
        <v>6775.5882000000001</v>
      </c>
      <c r="F414" s="90">
        <v>7.5</v>
      </c>
      <c r="G414" s="89">
        <v>50816.911500000002</v>
      </c>
      <c r="H414" s="89">
        <v>1200</v>
      </c>
      <c r="I414" s="87">
        <v>60980292.000000007</v>
      </c>
      <c r="J414" s="54" t="s">
        <v>116</v>
      </c>
      <c r="K414" s="89" t="s">
        <v>119</v>
      </c>
      <c r="L414" s="45" t="s">
        <v>105</v>
      </c>
    </row>
    <row r="415" spans="1:12" s="53" customFormat="1" ht="20.149999999999999" customHeight="1">
      <c r="A415" s="44">
        <v>42491</v>
      </c>
      <c r="B415" s="49"/>
      <c r="C415" s="45" t="s">
        <v>20</v>
      </c>
      <c r="D415" s="89">
        <v>0.151</v>
      </c>
      <c r="E415" s="89">
        <v>107.49250000000001</v>
      </c>
      <c r="F415" s="90">
        <v>7.5</v>
      </c>
      <c r="G415" s="89">
        <v>806.19375000000002</v>
      </c>
      <c r="H415" s="89">
        <v>1200</v>
      </c>
      <c r="I415" s="87">
        <v>967428.00000000012</v>
      </c>
      <c r="J415" s="54" t="s">
        <v>116</v>
      </c>
      <c r="K415" s="89" t="s">
        <v>121</v>
      </c>
      <c r="L415" s="45" t="s">
        <v>105</v>
      </c>
    </row>
    <row r="416" spans="1:12" s="53" customFormat="1" ht="20.149999999999999" customHeight="1">
      <c r="A416" s="44">
        <v>42491</v>
      </c>
      <c r="B416" s="49"/>
      <c r="C416" s="45" t="s">
        <v>20</v>
      </c>
      <c r="D416" s="89">
        <v>10.077</v>
      </c>
      <c r="E416" s="89">
        <v>7173.5240999999996</v>
      </c>
      <c r="F416" s="90">
        <v>7.5</v>
      </c>
      <c r="G416" s="89">
        <v>53801.43075</v>
      </c>
      <c r="H416" s="89">
        <v>1200</v>
      </c>
      <c r="I416" s="87">
        <v>64561716</v>
      </c>
      <c r="J416" s="54" t="s">
        <v>116</v>
      </c>
      <c r="K416" s="89" t="s">
        <v>123</v>
      </c>
      <c r="L416" s="45" t="s">
        <v>105</v>
      </c>
    </row>
    <row r="417" spans="1:12" s="53" customFormat="1" ht="20.149999999999999" customHeight="1">
      <c r="A417" s="44">
        <v>42491</v>
      </c>
      <c r="B417" s="49"/>
      <c r="C417" s="45" t="s">
        <v>20</v>
      </c>
      <c r="D417" s="89">
        <v>0.95699999999999996</v>
      </c>
      <c r="E417" s="89">
        <v>681.26049999999998</v>
      </c>
      <c r="F417" s="90">
        <v>7.5</v>
      </c>
      <c r="G417" s="89">
        <v>5109.4537499999997</v>
      </c>
      <c r="H417" s="89">
        <v>1200</v>
      </c>
      <c r="I417" s="87">
        <v>6131340</v>
      </c>
      <c r="J417" s="54" t="s">
        <v>116</v>
      </c>
      <c r="K417" s="89" t="s">
        <v>124</v>
      </c>
      <c r="L417" s="45" t="s">
        <v>105</v>
      </c>
    </row>
    <row r="418" spans="1:12" s="53" customFormat="1" ht="20.149999999999999" customHeight="1">
      <c r="A418" s="44">
        <v>42491</v>
      </c>
      <c r="B418" s="49"/>
      <c r="C418" s="45" t="s">
        <v>20</v>
      </c>
      <c r="D418" s="89">
        <v>2.5999999999999999E-2</v>
      </c>
      <c r="E418" s="89">
        <v>18.508600000000001</v>
      </c>
      <c r="F418" s="90">
        <v>7.5</v>
      </c>
      <c r="G418" s="89">
        <v>138.81450000000001</v>
      </c>
      <c r="H418" s="89">
        <v>1200</v>
      </c>
      <c r="I418" s="87">
        <v>166572</v>
      </c>
      <c r="J418" s="54" t="s">
        <v>116</v>
      </c>
      <c r="K418" s="89" t="s">
        <v>125</v>
      </c>
      <c r="L418" s="45" t="s">
        <v>105</v>
      </c>
    </row>
    <row r="419" spans="1:12" s="53" customFormat="1" ht="20.149999999999999" customHeight="1">
      <c r="A419" s="44">
        <v>42491</v>
      </c>
      <c r="B419" s="49"/>
      <c r="C419" s="45" t="s">
        <v>20</v>
      </c>
      <c r="D419" s="89">
        <v>1.6E-2</v>
      </c>
      <c r="E419" s="89">
        <v>11.389900000000001</v>
      </c>
      <c r="F419" s="90">
        <v>7.5</v>
      </c>
      <c r="G419" s="89">
        <v>85.424250000000001</v>
      </c>
      <c r="H419" s="89">
        <v>1200</v>
      </c>
      <c r="I419" s="87">
        <v>102504</v>
      </c>
      <c r="J419" s="54" t="s">
        <v>116</v>
      </c>
      <c r="K419" s="89" t="s">
        <v>131</v>
      </c>
      <c r="L419" s="45" t="s">
        <v>105</v>
      </c>
    </row>
    <row r="420" spans="1:12" s="53" customFormat="1" ht="20.149999999999999" customHeight="1">
      <c r="A420" s="44">
        <v>42491</v>
      </c>
      <c r="B420" s="49"/>
      <c r="C420" s="45" t="s">
        <v>20</v>
      </c>
      <c r="D420" s="89">
        <v>1.17</v>
      </c>
      <c r="E420" s="89">
        <v>832.88909999999998</v>
      </c>
      <c r="F420" s="90">
        <v>7.5</v>
      </c>
      <c r="G420" s="89">
        <v>6246.6682499999997</v>
      </c>
      <c r="H420" s="89">
        <v>1200</v>
      </c>
      <c r="I420" s="87">
        <v>7496004</v>
      </c>
      <c r="J420" s="54" t="s">
        <v>116</v>
      </c>
      <c r="K420" s="89" t="s">
        <v>126</v>
      </c>
      <c r="L420" s="45" t="s">
        <v>105</v>
      </c>
    </row>
    <row r="421" spans="1:12" s="53" customFormat="1" ht="20.149999999999999" customHeight="1">
      <c r="A421" s="44">
        <v>42491</v>
      </c>
      <c r="B421" s="49"/>
      <c r="C421" s="45" t="s">
        <v>20</v>
      </c>
      <c r="D421" s="89">
        <v>1.7609999999999999</v>
      </c>
      <c r="E421" s="89">
        <v>1253.6048000000001</v>
      </c>
      <c r="F421" s="90">
        <v>7.5</v>
      </c>
      <c r="G421" s="89">
        <v>9402.0360000000001</v>
      </c>
      <c r="H421" s="89">
        <v>1200</v>
      </c>
      <c r="I421" s="87">
        <v>11282448.000000002</v>
      </c>
      <c r="J421" s="54" t="s">
        <v>116</v>
      </c>
      <c r="K421" s="89" t="s">
        <v>158</v>
      </c>
      <c r="L421" s="45" t="s">
        <v>105</v>
      </c>
    </row>
    <row r="422" spans="1:12" s="53" customFormat="1" ht="20.149999999999999" customHeight="1">
      <c r="A422" s="44">
        <v>42491</v>
      </c>
      <c r="B422" s="49"/>
      <c r="C422" s="45" t="s">
        <v>20</v>
      </c>
      <c r="D422" s="89">
        <v>1.542</v>
      </c>
      <c r="E422" s="89">
        <v>1097.7050999999999</v>
      </c>
      <c r="F422" s="90">
        <v>7.5</v>
      </c>
      <c r="G422" s="89">
        <v>8232.7882499999996</v>
      </c>
      <c r="H422" s="89">
        <v>1200</v>
      </c>
      <c r="I422" s="87">
        <v>9879348.0000000019</v>
      </c>
      <c r="J422" s="54" t="s">
        <v>116</v>
      </c>
      <c r="K422" s="89" t="s">
        <v>127</v>
      </c>
      <c r="L422" s="45" t="s">
        <v>105</v>
      </c>
    </row>
    <row r="423" spans="1:12" s="53" customFormat="1" ht="20.149999999999999" customHeight="1">
      <c r="A423" s="44">
        <v>42491</v>
      </c>
      <c r="B423" s="49"/>
      <c r="C423" s="45" t="s">
        <v>20</v>
      </c>
      <c r="D423" s="89">
        <v>0.14799999999999999</v>
      </c>
      <c r="E423" s="89">
        <v>105.3569</v>
      </c>
      <c r="F423" s="90">
        <v>7.5</v>
      </c>
      <c r="G423" s="89">
        <v>790.17674999999997</v>
      </c>
      <c r="H423" s="89">
        <v>1200</v>
      </c>
      <c r="I423" s="87">
        <v>948215.99999999988</v>
      </c>
      <c r="J423" s="54" t="s">
        <v>116</v>
      </c>
      <c r="K423" s="89" t="s">
        <v>128</v>
      </c>
      <c r="L423" s="45" t="s">
        <v>105</v>
      </c>
    </row>
    <row r="424" spans="1:12" s="53" customFormat="1" ht="20.149999999999999" customHeight="1">
      <c r="A424" s="44">
        <v>42491</v>
      </c>
      <c r="B424" s="49"/>
      <c r="C424" s="45" t="s">
        <v>20</v>
      </c>
      <c r="D424" s="89">
        <v>0.33400000000000002</v>
      </c>
      <c r="E424" s="89">
        <v>237.76490000000001</v>
      </c>
      <c r="F424" s="90">
        <v>7.5</v>
      </c>
      <c r="G424" s="89">
        <v>1783.23675</v>
      </c>
      <c r="H424" s="89">
        <v>1200</v>
      </c>
      <c r="I424" s="87">
        <v>2139888</v>
      </c>
      <c r="J424" s="54" t="s">
        <v>116</v>
      </c>
      <c r="K424" s="89" t="s">
        <v>129</v>
      </c>
      <c r="L424" s="45" t="s">
        <v>105</v>
      </c>
    </row>
    <row r="425" spans="1:12" s="53" customFormat="1" ht="20.149999999999999" customHeight="1">
      <c r="A425" s="44">
        <v>42491</v>
      </c>
      <c r="B425" s="49"/>
      <c r="C425" s="45" t="s">
        <v>20</v>
      </c>
      <c r="D425" s="89">
        <v>2.1000000000000001E-2</v>
      </c>
      <c r="E425" s="89">
        <v>14.949299999999999</v>
      </c>
      <c r="F425" s="90">
        <v>7.5</v>
      </c>
      <c r="G425" s="89">
        <v>112.11975</v>
      </c>
      <c r="H425" s="89">
        <v>1200</v>
      </c>
      <c r="I425" s="87">
        <v>134544</v>
      </c>
      <c r="J425" s="54" t="s">
        <v>116</v>
      </c>
      <c r="K425" s="89" t="s">
        <v>130</v>
      </c>
      <c r="L425" s="45" t="s">
        <v>105</v>
      </c>
    </row>
    <row r="426" spans="1:12" s="53" customFormat="1" ht="20.149999999999999" customHeight="1">
      <c r="A426" s="44">
        <v>42491</v>
      </c>
      <c r="B426" s="49"/>
      <c r="C426" s="45" t="s">
        <v>20</v>
      </c>
      <c r="D426" s="89">
        <v>10.898999999999999</v>
      </c>
      <c r="E426" s="89">
        <v>7758.6819999999998</v>
      </c>
      <c r="F426" s="90">
        <v>7.5</v>
      </c>
      <c r="G426" s="89">
        <v>58190.114999999998</v>
      </c>
      <c r="H426" s="89">
        <v>1200</v>
      </c>
      <c r="I426" s="87">
        <v>69828144</v>
      </c>
      <c r="J426" s="54" t="s">
        <v>116</v>
      </c>
      <c r="K426" s="89" t="s">
        <v>132</v>
      </c>
      <c r="L426" s="45" t="s">
        <v>105</v>
      </c>
    </row>
    <row r="427" spans="1:12" s="53" customFormat="1" ht="20.149999999999999" customHeight="1">
      <c r="A427" s="44">
        <v>42491</v>
      </c>
      <c r="B427" s="49"/>
      <c r="C427" s="45" t="s">
        <v>20</v>
      </c>
      <c r="D427" s="89">
        <v>2.23</v>
      </c>
      <c r="E427" s="89">
        <v>1587.4722999999999</v>
      </c>
      <c r="F427" s="90">
        <v>7.5</v>
      </c>
      <c r="G427" s="89">
        <v>11906.042249999999</v>
      </c>
      <c r="H427" s="89">
        <v>1200</v>
      </c>
      <c r="I427" s="87">
        <v>14287248.000000002</v>
      </c>
      <c r="J427" s="54" t="s">
        <v>116</v>
      </c>
      <c r="K427" s="89" t="s">
        <v>133</v>
      </c>
      <c r="L427" s="45" t="s">
        <v>105</v>
      </c>
    </row>
    <row r="428" spans="1:12" s="53" customFormat="1" ht="20.149999999999999" customHeight="1">
      <c r="A428" s="44">
        <v>42491</v>
      </c>
      <c r="B428" s="49"/>
      <c r="C428" s="45" t="s">
        <v>20</v>
      </c>
      <c r="D428" s="89">
        <v>1.5549999999999999</v>
      </c>
      <c r="E428" s="89">
        <v>1106.9594</v>
      </c>
      <c r="F428" s="90">
        <v>7.5</v>
      </c>
      <c r="G428" s="89">
        <v>8302.1954999999998</v>
      </c>
      <c r="H428" s="89">
        <v>1200</v>
      </c>
      <c r="I428" s="87">
        <v>9962640</v>
      </c>
      <c r="J428" s="54" t="s">
        <v>116</v>
      </c>
      <c r="K428" s="89" t="s">
        <v>134</v>
      </c>
      <c r="L428" s="45" t="s">
        <v>105</v>
      </c>
    </row>
    <row r="429" spans="1:12" s="53" customFormat="1" ht="20.149999999999999" customHeight="1">
      <c r="A429" s="44">
        <v>42491</v>
      </c>
      <c r="B429" s="49"/>
      <c r="C429" s="45" t="s">
        <v>20</v>
      </c>
      <c r="D429" s="89">
        <v>1.169</v>
      </c>
      <c r="E429" s="89">
        <v>832.17719999999997</v>
      </c>
      <c r="F429" s="90">
        <v>7.5</v>
      </c>
      <c r="G429" s="89">
        <v>6241.3289999999997</v>
      </c>
      <c r="H429" s="89">
        <v>1200</v>
      </c>
      <c r="I429" s="87">
        <v>7489596</v>
      </c>
      <c r="J429" s="54" t="s">
        <v>116</v>
      </c>
      <c r="K429" s="89" t="s">
        <v>135</v>
      </c>
      <c r="L429" s="45" t="s">
        <v>105</v>
      </c>
    </row>
    <row r="430" spans="1:12" s="53" customFormat="1" ht="20.149999999999999" customHeight="1">
      <c r="A430" s="44">
        <v>42491</v>
      </c>
      <c r="B430" s="49"/>
      <c r="C430" s="45" t="s">
        <v>20</v>
      </c>
      <c r="D430" s="89">
        <v>162.4</v>
      </c>
      <c r="E430" s="89">
        <v>115607.8504</v>
      </c>
      <c r="F430" s="90">
        <v>7.5</v>
      </c>
      <c r="G430" s="89">
        <v>867058.87800000003</v>
      </c>
      <c r="H430" s="89">
        <v>1200</v>
      </c>
      <c r="I430" s="87">
        <v>1040470656</v>
      </c>
      <c r="J430" s="54" t="s">
        <v>116</v>
      </c>
      <c r="K430" s="89" t="s">
        <v>136</v>
      </c>
      <c r="L430" s="45" t="s">
        <v>105</v>
      </c>
    </row>
    <row r="431" spans="1:12" s="53" customFormat="1" ht="20.149999999999999" customHeight="1">
      <c r="A431" s="44">
        <v>42491</v>
      </c>
      <c r="B431" s="49"/>
      <c r="C431" s="45" t="s">
        <v>20</v>
      </c>
      <c r="D431" s="89">
        <v>0.71799999999999997</v>
      </c>
      <c r="E431" s="89">
        <v>511.1234</v>
      </c>
      <c r="F431" s="90">
        <v>7.5</v>
      </c>
      <c r="G431" s="89">
        <v>3833.4254999999998</v>
      </c>
      <c r="H431" s="89">
        <v>1200</v>
      </c>
      <c r="I431" s="87">
        <v>4600116</v>
      </c>
      <c r="J431" s="54" t="s">
        <v>116</v>
      </c>
      <c r="K431" s="89" t="s">
        <v>146</v>
      </c>
      <c r="L431" s="45" t="s">
        <v>105</v>
      </c>
    </row>
    <row r="432" spans="1:12" s="53" customFormat="1" ht="20.149999999999999" customHeight="1">
      <c r="A432" s="44">
        <v>42491</v>
      </c>
      <c r="B432" s="49"/>
      <c r="C432" s="45" t="s">
        <v>20</v>
      </c>
      <c r="D432" s="89">
        <v>0.50700000000000001</v>
      </c>
      <c r="E432" s="89">
        <v>360.91860000000003</v>
      </c>
      <c r="F432" s="90">
        <v>7.5</v>
      </c>
      <c r="G432" s="89">
        <v>2706.8895000000002</v>
      </c>
      <c r="H432" s="89">
        <v>1200</v>
      </c>
      <c r="I432" s="87">
        <v>3248268</v>
      </c>
      <c r="J432" s="54" t="s">
        <v>116</v>
      </c>
      <c r="K432" s="89" t="s">
        <v>138</v>
      </c>
      <c r="L432" s="45" t="s">
        <v>105</v>
      </c>
    </row>
    <row r="433" spans="1:12" s="53" customFormat="1" ht="20.149999999999999" customHeight="1">
      <c r="A433" s="44">
        <v>42491</v>
      </c>
      <c r="B433" s="49"/>
      <c r="C433" s="45" t="s">
        <v>20</v>
      </c>
      <c r="D433" s="89">
        <v>508.91</v>
      </c>
      <c r="E433" s="89">
        <v>362278.27059999999</v>
      </c>
      <c r="F433" s="90">
        <v>7.5</v>
      </c>
      <c r="G433" s="89">
        <v>2717087.0294999997</v>
      </c>
      <c r="H433" s="89">
        <v>1200</v>
      </c>
      <c r="I433" s="87">
        <v>3260504435.9999995</v>
      </c>
      <c r="J433" s="54" t="s">
        <v>116</v>
      </c>
      <c r="K433" s="89" t="s">
        <v>139</v>
      </c>
      <c r="L433" s="45" t="s">
        <v>105</v>
      </c>
    </row>
    <row r="434" spans="1:12" s="53" customFormat="1" ht="20.149999999999999" customHeight="1">
      <c r="A434" s="44">
        <v>42491</v>
      </c>
      <c r="B434" s="49"/>
      <c r="C434" s="45" t="s">
        <v>20</v>
      </c>
      <c r="D434" s="89">
        <v>0.35699999999999998</v>
      </c>
      <c r="E434" s="89">
        <v>254.1379</v>
      </c>
      <c r="F434" s="90">
        <v>7.5</v>
      </c>
      <c r="G434" s="89">
        <v>1906.0342499999999</v>
      </c>
      <c r="H434" s="89">
        <v>1200</v>
      </c>
      <c r="I434" s="87">
        <v>2287236</v>
      </c>
      <c r="J434" s="54" t="s">
        <v>116</v>
      </c>
      <c r="K434" s="89" t="s">
        <v>140</v>
      </c>
      <c r="L434" s="45" t="s">
        <v>105</v>
      </c>
    </row>
    <row r="435" spans="1:12" s="53" customFormat="1" ht="20.149999999999999" customHeight="1">
      <c r="A435" s="44">
        <v>42491</v>
      </c>
      <c r="B435" s="49"/>
      <c r="C435" s="45" t="s">
        <v>20</v>
      </c>
      <c r="D435" s="89">
        <v>826.47400000000005</v>
      </c>
      <c r="E435" s="89">
        <v>588342.87289999996</v>
      </c>
      <c r="F435" s="90">
        <v>7.5</v>
      </c>
      <c r="G435" s="89">
        <v>4412571.5467499997</v>
      </c>
      <c r="H435" s="89">
        <v>1200</v>
      </c>
      <c r="I435" s="87">
        <v>5295085860</v>
      </c>
      <c r="J435" s="54" t="s">
        <v>116</v>
      </c>
      <c r="K435" s="89" t="s">
        <v>141</v>
      </c>
      <c r="L435" s="45" t="s">
        <v>105</v>
      </c>
    </row>
    <row r="436" spans="1:12" s="53" customFormat="1" ht="20.149999999999999" customHeight="1">
      <c r="A436" s="44">
        <v>42491</v>
      </c>
      <c r="B436" s="49"/>
      <c r="C436" s="45" t="s">
        <v>20</v>
      </c>
      <c r="D436" s="89">
        <v>1189.057</v>
      </c>
      <c r="E436" s="89">
        <v>846455.19559999998</v>
      </c>
      <c r="F436" s="90">
        <v>7.5</v>
      </c>
      <c r="G436" s="89">
        <v>6348413.9670000002</v>
      </c>
      <c r="H436" s="89">
        <v>1200</v>
      </c>
      <c r="I436" s="87">
        <v>7618096764</v>
      </c>
      <c r="J436" s="54" t="s">
        <v>116</v>
      </c>
      <c r="K436" s="89" t="s">
        <v>142</v>
      </c>
      <c r="L436" s="45" t="s">
        <v>105</v>
      </c>
    </row>
    <row r="437" spans="1:12" s="53" customFormat="1" ht="20.149999999999999" customHeight="1">
      <c r="A437" s="44">
        <v>42491</v>
      </c>
      <c r="B437" s="49"/>
      <c r="C437" s="45" t="s">
        <v>20</v>
      </c>
      <c r="D437" s="89">
        <v>1009.006</v>
      </c>
      <c r="E437" s="89">
        <v>718282.1102</v>
      </c>
      <c r="F437" s="90">
        <v>7.5</v>
      </c>
      <c r="G437" s="89">
        <v>5387115.8265000004</v>
      </c>
      <c r="H437" s="89">
        <v>1200</v>
      </c>
      <c r="I437" s="87">
        <v>6464538996</v>
      </c>
      <c r="J437" s="54" t="s">
        <v>116</v>
      </c>
      <c r="K437" s="89" t="s">
        <v>143</v>
      </c>
      <c r="L437" s="45" t="s">
        <v>105</v>
      </c>
    </row>
    <row r="438" spans="1:12" s="53" customFormat="1" ht="20.149999999999999" customHeight="1">
      <c r="A438" s="44">
        <v>42491</v>
      </c>
      <c r="B438" s="49"/>
      <c r="C438" s="45" t="s">
        <v>20</v>
      </c>
      <c r="D438" s="89">
        <v>1345.8040000000001</v>
      </c>
      <c r="E438" s="89">
        <v>958038.83929999999</v>
      </c>
      <c r="F438" s="90">
        <v>7.5</v>
      </c>
      <c r="G438" s="89">
        <v>7185291.2947500004</v>
      </c>
      <c r="H438" s="89">
        <v>1200</v>
      </c>
      <c r="I438" s="87">
        <v>8622349548</v>
      </c>
      <c r="J438" s="54" t="s">
        <v>116</v>
      </c>
      <c r="K438" s="89" t="s">
        <v>144</v>
      </c>
      <c r="L438" s="45" t="s">
        <v>105</v>
      </c>
    </row>
    <row r="439" spans="1:12" s="53" customFormat="1" ht="20.149999999999999" customHeight="1">
      <c r="A439" s="44">
        <v>42491</v>
      </c>
      <c r="B439" s="49"/>
      <c r="C439" s="45" t="s">
        <v>20</v>
      </c>
      <c r="D439" s="89">
        <v>0.57599999999999996</v>
      </c>
      <c r="E439" s="89">
        <v>410.03769999999997</v>
      </c>
      <c r="F439" s="90">
        <v>2.6880999999999999</v>
      </c>
      <c r="G439" s="89">
        <v>1548.3455999999999</v>
      </c>
      <c r="H439" s="89">
        <v>1200</v>
      </c>
      <c r="I439" s="87">
        <v>1858020</v>
      </c>
      <c r="J439" s="54" t="s">
        <v>116</v>
      </c>
      <c r="K439" s="89" t="s">
        <v>147</v>
      </c>
      <c r="L439" s="45" t="s">
        <v>105</v>
      </c>
    </row>
    <row r="440" spans="1:12" s="53" customFormat="1" ht="20.149999999999999" customHeight="1">
      <c r="A440" s="44">
        <v>42491</v>
      </c>
      <c r="B440" s="49"/>
      <c r="C440" s="45" t="s">
        <v>20</v>
      </c>
      <c r="D440" s="89">
        <v>2.4910000000000001</v>
      </c>
      <c r="E440" s="89">
        <v>1773.2707</v>
      </c>
      <c r="F440" s="90">
        <v>2.6880999999999999</v>
      </c>
      <c r="G440" s="89">
        <v>6696.0470999999998</v>
      </c>
      <c r="H440" s="89">
        <v>1200</v>
      </c>
      <c r="I440" s="87">
        <v>8035260</v>
      </c>
      <c r="J440" s="54" t="s">
        <v>116</v>
      </c>
      <c r="K440" s="89" t="s">
        <v>148</v>
      </c>
      <c r="L440" s="45" t="s">
        <v>105</v>
      </c>
    </row>
    <row r="441" spans="1:12" s="53" customFormat="1" ht="20.149999999999999" customHeight="1">
      <c r="A441" s="44">
        <v>42491</v>
      </c>
      <c r="B441" s="49"/>
      <c r="C441" s="45" t="s">
        <v>20</v>
      </c>
      <c r="D441" s="89">
        <v>0.42699999999999999</v>
      </c>
      <c r="E441" s="89">
        <v>303.96890000000002</v>
      </c>
      <c r="F441" s="90">
        <v>2.6880999999999999</v>
      </c>
      <c r="G441" s="89">
        <v>1147.8187</v>
      </c>
      <c r="H441" s="89">
        <v>1200</v>
      </c>
      <c r="I441" s="87">
        <v>1377384</v>
      </c>
      <c r="J441" s="54" t="s">
        <v>116</v>
      </c>
      <c r="K441" s="89" t="s">
        <v>149</v>
      </c>
      <c r="L441" s="45" t="s">
        <v>105</v>
      </c>
    </row>
    <row r="442" spans="1:12" s="53" customFormat="1" ht="20.149999999999999" customHeight="1">
      <c r="A442" s="44">
        <v>42491</v>
      </c>
      <c r="B442" s="49"/>
      <c r="C442" s="45" t="s">
        <v>20</v>
      </c>
      <c r="D442" s="89">
        <v>0.29199999999999998</v>
      </c>
      <c r="E442" s="89">
        <v>207.8663</v>
      </c>
      <c r="F442" s="90">
        <v>2.6880999999999999</v>
      </c>
      <c r="G442" s="89">
        <v>784.9251999999999</v>
      </c>
      <c r="H442" s="89">
        <v>1200</v>
      </c>
      <c r="I442" s="87">
        <v>941915.99999999988</v>
      </c>
      <c r="J442" s="54" t="s">
        <v>116</v>
      </c>
      <c r="K442" s="89" t="s">
        <v>150</v>
      </c>
      <c r="L442" s="45" t="s">
        <v>105</v>
      </c>
    </row>
    <row r="443" spans="1:12" s="53" customFormat="1" ht="20.149999999999999" customHeight="1">
      <c r="A443" s="44">
        <v>42491</v>
      </c>
      <c r="B443" s="49"/>
      <c r="C443" s="45" t="s">
        <v>20</v>
      </c>
      <c r="D443" s="89">
        <v>8.4000000000000005E-2</v>
      </c>
      <c r="E443" s="89">
        <v>59.797199999999997</v>
      </c>
      <c r="F443" s="90">
        <v>2.6880999999999999</v>
      </c>
      <c r="G443" s="89">
        <v>225.80040000000002</v>
      </c>
      <c r="H443" s="89">
        <v>1200</v>
      </c>
      <c r="I443" s="87">
        <v>270960</v>
      </c>
      <c r="J443" s="54" t="s">
        <v>116</v>
      </c>
      <c r="K443" s="89" t="s">
        <v>151</v>
      </c>
      <c r="L443" s="45" t="s">
        <v>105</v>
      </c>
    </row>
    <row r="444" spans="1:12" s="53" customFormat="1" ht="20.149999999999999" customHeight="1">
      <c r="A444" s="44">
        <v>42491</v>
      </c>
      <c r="B444" s="49"/>
      <c r="C444" s="45" t="s">
        <v>20</v>
      </c>
      <c r="D444" s="89">
        <v>0.89500000000000002</v>
      </c>
      <c r="E444" s="89">
        <v>637.12450000000001</v>
      </c>
      <c r="F444" s="90">
        <v>2.6880999999999999</v>
      </c>
      <c r="G444" s="89">
        <v>2405.8494999999998</v>
      </c>
      <c r="H444" s="89">
        <v>1200</v>
      </c>
      <c r="I444" s="87">
        <v>2887020</v>
      </c>
      <c r="J444" s="54" t="s">
        <v>116</v>
      </c>
      <c r="K444" s="89" t="s">
        <v>152</v>
      </c>
      <c r="L444" s="45" t="s">
        <v>105</v>
      </c>
    </row>
    <row r="445" spans="1:12" s="53" customFormat="1" ht="20.149999999999999" customHeight="1">
      <c r="A445" s="44">
        <v>42491</v>
      </c>
      <c r="B445" s="49"/>
      <c r="C445" s="45" t="s">
        <v>20</v>
      </c>
      <c r="D445" s="89">
        <v>2.98</v>
      </c>
      <c r="E445" s="89">
        <v>2121.3755999999998</v>
      </c>
      <c r="F445" s="90">
        <v>2.6880999999999999</v>
      </c>
      <c r="G445" s="89">
        <v>8010.5280000000002</v>
      </c>
      <c r="H445" s="89">
        <v>1200</v>
      </c>
      <c r="I445" s="87">
        <v>9612636</v>
      </c>
      <c r="J445" s="54" t="s">
        <v>116</v>
      </c>
      <c r="K445" s="89" t="s">
        <v>159</v>
      </c>
      <c r="L445" s="45" t="s">
        <v>105</v>
      </c>
    </row>
    <row r="446" spans="1:12" s="53" customFormat="1" ht="20.149999999999999" customHeight="1">
      <c r="A446" s="44">
        <v>42491</v>
      </c>
      <c r="B446" s="49"/>
      <c r="C446" s="45" t="s">
        <v>20</v>
      </c>
      <c r="D446" s="89">
        <v>6.0839999999999996</v>
      </c>
      <c r="E446" s="89">
        <v>4331.0231999999996</v>
      </c>
      <c r="F446" s="90">
        <v>2.6880999999999999</v>
      </c>
      <c r="G446" s="89">
        <v>16354.400399999999</v>
      </c>
      <c r="H446" s="89">
        <v>1200</v>
      </c>
      <c r="I446" s="87">
        <v>19625280</v>
      </c>
      <c r="J446" s="54" t="s">
        <v>116</v>
      </c>
      <c r="K446" s="89" t="s">
        <v>153</v>
      </c>
      <c r="L446" s="45" t="s">
        <v>105</v>
      </c>
    </row>
    <row r="447" spans="1:12" s="53" customFormat="1" ht="20.149999999999999" customHeight="1">
      <c r="A447" s="44">
        <v>42491</v>
      </c>
      <c r="B447" s="49"/>
      <c r="C447" s="45" t="s">
        <v>20</v>
      </c>
      <c r="D447" s="89">
        <v>0.77300000000000002</v>
      </c>
      <c r="E447" s="89">
        <v>550.27629999999999</v>
      </c>
      <c r="F447" s="90">
        <v>2.6880999999999999</v>
      </c>
      <c r="G447" s="89">
        <v>2077.9013</v>
      </c>
      <c r="H447" s="89">
        <v>1200</v>
      </c>
      <c r="I447" s="87">
        <v>2493480</v>
      </c>
      <c r="J447" s="54" t="s">
        <v>116</v>
      </c>
      <c r="K447" s="89" t="s">
        <v>154</v>
      </c>
      <c r="L447" s="45" t="s">
        <v>105</v>
      </c>
    </row>
    <row r="448" spans="1:12" s="53" customFormat="1" ht="20.149999999999999" customHeight="1">
      <c r="A448" s="44">
        <v>42491</v>
      </c>
      <c r="B448" s="49"/>
      <c r="C448" s="45" t="s">
        <v>20</v>
      </c>
      <c r="D448" s="89">
        <v>6.8929999999999998</v>
      </c>
      <c r="E448" s="89">
        <v>4906.9268000000002</v>
      </c>
      <c r="F448" s="90">
        <v>2.6880999999999999</v>
      </c>
      <c r="G448" s="89">
        <v>18529.083299999998</v>
      </c>
      <c r="H448" s="89">
        <v>1200</v>
      </c>
      <c r="I448" s="87">
        <v>22234896.000000004</v>
      </c>
      <c r="J448" s="54" t="s">
        <v>116</v>
      </c>
      <c r="K448" s="89" t="s">
        <v>155</v>
      </c>
      <c r="L448" s="45" t="s">
        <v>105</v>
      </c>
    </row>
    <row r="449" spans="1:12" s="53" customFormat="1" ht="20.149999999999999" customHeight="1">
      <c r="A449" s="44">
        <v>42491</v>
      </c>
      <c r="B449" s="49"/>
      <c r="C449" s="45" t="s">
        <v>20</v>
      </c>
      <c r="D449" s="89">
        <v>0.84899999999999998</v>
      </c>
      <c r="E449" s="89">
        <v>604.37850000000003</v>
      </c>
      <c r="F449" s="90">
        <v>2.6880999999999999</v>
      </c>
      <c r="G449" s="89">
        <v>2282.1968999999999</v>
      </c>
      <c r="H449" s="89">
        <v>1200</v>
      </c>
      <c r="I449" s="87">
        <v>2738640</v>
      </c>
      <c r="J449" s="54" t="s">
        <v>116</v>
      </c>
      <c r="K449" s="89" t="s">
        <v>160</v>
      </c>
      <c r="L449" s="45" t="s">
        <v>105</v>
      </c>
    </row>
    <row r="450" spans="1:12" s="53" customFormat="1" ht="20.149999999999999" customHeight="1">
      <c r="A450" s="44">
        <v>42491</v>
      </c>
      <c r="B450" s="49"/>
      <c r="C450" s="45" t="s">
        <v>20</v>
      </c>
      <c r="D450" s="89">
        <v>0.29299999999999998</v>
      </c>
      <c r="E450" s="89">
        <v>208.57820000000001</v>
      </c>
      <c r="F450" s="90">
        <v>2.6880999999999999</v>
      </c>
      <c r="G450" s="89">
        <v>787.62329999999997</v>
      </c>
      <c r="H450" s="89">
        <v>1200</v>
      </c>
      <c r="I450" s="87">
        <v>945144</v>
      </c>
      <c r="J450" s="54" t="s">
        <v>116</v>
      </c>
      <c r="K450" s="89" t="s">
        <v>156</v>
      </c>
      <c r="L450" s="45" t="s">
        <v>105</v>
      </c>
    </row>
    <row r="451" spans="1:12" s="53" customFormat="1" ht="20.149999999999999" customHeight="1">
      <c r="A451" s="44">
        <v>42491</v>
      </c>
      <c r="B451" s="49"/>
      <c r="C451" s="45" t="s">
        <v>20</v>
      </c>
      <c r="D451" s="89">
        <v>0.23599999999999999</v>
      </c>
      <c r="E451" s="89">
        <v>168.0016</v>
      </c>
      <c r="F451" s="90">
        <v>2.6880999999999999</v>
      </c>
      <c r="G451" s="89">
        <v>634.39159999999993</v>
      </c>
      <c r="H451" s="89">
        <v>1200</v>
      </c>
      <c r="I451" s="87">
        <v>761268</v>
      </c>
      <c r="J451" s="54" t="s">
        <v>116</v>
      </c>
      <c r="K451" s="89" t="s">
        <v>157</v>
      </c>
      <c r="L451" s="45" t="s">
        <v>105</v>
      </c>
    </row>
    <row r="452" spans="1:12" s="53" customFormat="1" ht="20.149999999999999" customHeight="1">
      <c r="A452" s="44"/>
      <c r="B452" s="49"/>
      <c r="C452" s="45"/>
      <c r="D452" s="89"/>
      <c r="E452" s="89"/>
      <c r="F452" s="90"/>
      <c r="G452" s="89"/>
      <c r="H452" s="89"/>
      <c r="I452" s="88"/>
      <c r="J452" s="54"/>
      <c r="K452" s="89"/>
      <c r="L452" s="45"/>
    </row>
    <row r="453" spans="1:12" s="53" customFormat="1" ht="20.149999999999999" customHeight="1">
      <c r="A453" s="44">
        <v>42522</v>
      </c>
      <c r="B453" s="49"/>
      <c r="C453" s="45" t="s">
        <v>20</v>
      </c>
      <c r="D453" s="89">
        <v>1.21</v>
      </c>
      <c r="E453" s="89">
        <v>861.20299999999997</v>
      </c>
      <c r="F453" s="90">
        <v>7.5</v>
      </c>
      <c r="G453" s="89">
        <v>6459.0225</v>
      </c>
      <c r="H453" s="89">
        <v>1200</v>
      </c>
      <c r="I453" s="87">
        <v>7750824.0000000009</v>
      </c>
      <c r="J453" s="54" t="s">
        <v>116</v>
      </c>
      <c r="K453" s="89" t="s">
        <v>117</v>
      </c>
      <c r="L453" s="45" t="s">
        <v>105</v>
      </c>
    </row>
    <row r="454" spans="1:12" s="53" customFormat="1" ht="20.149999999999999" customHeight="1">
      <c r="A454" s="44">
        <v>42522</v>
      </c>
      <c r="B454" s="49"/>
      <c r="C454" s="45" t="s">
        <v>20</v>
      </c>
      <c r="D454" s="89">
        <v>1.8260000000000001</v>
      </c>
      <c r="E454" s="89">
        <v>1299.6335999999999</v>
      </c>
      <c r="F454" s="90">
        <v>7.5</v>
      </c>
      <c r="G454" s="89">
        <v>9747.2519999999986</v>
      </c>
      <c r="H454" s="89">
        <v>1200</v>
      </c>
      <c r="I454" s="87">
        <v>11696700</v>
      </c>
      <c r="J454" s="54" t="s">
        <v>116</v>
      </c>
      <c r="K454" s="89" t="s">
        <v>118</v>
      </c>
      <c r="L454" s="45" t="s">
        <v>105</v>
      </c>
    </row>
    <row r="455" spans="1:12" s="53" customFormat="1" ht="20.149999999999999" customHeight="1">
      <c r="A455" s="44">
        <v>42522</v>
      </c>
      <c r="B455" s="49"/>
      <c r="C455" s="45" t="s">
        <v>20</v>
      </c>
      <c r="D455" s="89">
        <v>9.6739999999999995</v>
      </c>
      <c r="E455" s="89">
        <v>6885.3534</v>
      </c>
      <c r="F455" s="90">
        <v>7.5</v>
      </c>
      <c r="G455" s="89">
        <v>51640.150500000003</v>
      </c>
      <c r="H455" s="89">
        <v>1200</v>
      </c>
      <c r="I455" s="87">
        <v>61968180</v>
      </c>
      <c r="J455" s="54" t="s">
        <v>116</v>
      </c>
      <c r="K455" s="89" t="s">
        <v>119</v>
      </c>
      <c r="L455" s="45" t="s">
        <v>105</v>
      </c>
    </row>
    <row r="456" spans="1:12" s="53" customFormat="1" ht="20.149999999999999" customHeight="1">
      <c r="A456" s="44">
        <v>42522</v>
      </c>
      <c r="B456" s="49"/>
      <c r="C456" s="45" t="s">
        <v>20</v>
      </c>
      <c r="D456" s="89">
        <v>1.0740000000000001</v>
      </c>
      <c r="E456" s="89">
        <v>764.40660000000003</v>
      </c>
      <c r="F456" s="90">
        <v>7.5</v>
      </c>
      <c r="G456" s="89">
        <v>5733.0495000000001</v>
      </c>
      <c r="H456" s="89">
        <v>1200</v>
      </c>
      <c r="I456" s="87">
        <v>6879660</v>
      </c>
      <c r="J456" s="54" t="s">
        <v>116</v>
      </c>
      <c r="K456" s="89" t="s">
        <v>120</v>
      </c>
      <c r="L456" s="45" t="s">
        <v>105</v>
      </c>
    </row>
    <row r="457" spans="1:12" s="53" customFormat="1" ht="20.149999999999999" customHeight="1">
      <c r="A457" s="44">
        <v>42522</v>
      </c>
      <c r="B457" s="49"/>
      <c r="C457" s="45" t="s">
        <v>20</v>
      </c>
      <c r="D457" s="89">
        <v>0.186</v>
      </c>
      <c r="E457" s="89">
        <v>132.38329999999999</v>
      </c>
      <c r="F457" s="90">
        <v>7.5</v>
      </c>
      <c r="G457" s="89">
        <v>992.87474999999995</v>
      </c>
      <c r="H457" s="89">
        <v>1200</v>
      </c>
      <c r="I457" s="87">
        <v>1191444</v>
      </c>
      <c r="J457" s="54" t="s">
        <v>116</v>
      </c>
      <c r="K457" s="89" t="s">
        <v>121</v>
      </c>
      <c r="L457" s="45" t="s">
        <v>105</v>
      </c>
    </row>
    <row r="458" spans="1:12" s="53" customFormat="1" ht="20.149999999999999" customHeight="1">
      <c r="A458" s="44">
        <v>42522</v>
      </c>
      <c r="B458" s="49"/>
      <c r="C458" s="45" t="s">
        <v>20</v>
      </c>
      <c r="D458" s="89">
        <v>0.23899999999999999</v>
      </c>
      <c r="E458" s="89">
        <v>170.1054</v>
      </c>
      <c r="F458" s="90">
        <v>7.5</v>
      </c>
      <c r="G458" s="89">
        <v>1275.7905000000001</v>
      </c>
      <c r="H458" s="89">
        <v>1200</v>
      </c>
      <c r="I458" s="87">
        <v>1530948</v>
      </c>
      <c r="J458" s="54" t="s">
        <v>116</v>
      </c>
      <c r="K458" s="89" t="s">
        <v>122</v>
      </c>
      <c r="L458" s="45" t="s">
        <v>105</v>
      </c>
    </row>
    <row r="459" spans="1:12" s="53" customFormat="1" ht="20.149999999999999" customHeight="1">
      <c r="A459" s="44">
        <v>42522</v>
      </c>
      <c r="B459" s="49"/>
      <c r="C459" s="45" t="s">
        <v>20</v>
      </c>
      <c r="D459" s="89">
        <v>11.068</v>
      </c>
      <c r="E459" s="89">
        <v>7877.5162</v>
      </c>
      <c r="F459" s="90">
        <v>7.5</v>
      </c>
      <c r="G459" s="89">
        <v>59081.371500000001</v>
      </c>
      <c r="H459" s="89">
        <v>1200</v>
      </c>
      <c r="I459" s="87">
        <v>70897644</v>
      </c>
      <c r="J459" s="54" t="s">
        <v>116</v>
      </c>
      <c r="K459" s="89" t="s">
        <v>123</v>
      </c>
      <c r="L459" s="45" t="s">
        <v>105</v>
      </c>
    </row>
    <row r="460" spans="1:12" s="53" customFormat="1" ht="20.149999999999999" customHeight="1">
      <c r="A460" s="44">
        <v>42522</v>
      </c>
      <c r="B460" s="49"/>
      <c r="C460" s="45" t="s">
        <v>20</v>
      </c>
      <c r="D460" s="89">
        <v>0.72199999999999998</v>
      </c>
      <c r="E460" s="89">
        <v>513.87480000000005</v>
      </c>
      <c r="F460" s="90">
        <v>7.5</v>
      </c>
      <c r="G460" s="89">
        <v>3854.0610000000006</v>
      </c>
      <c r="H460" s="89">
        <v>1200</v>
      </c>
      <c r="I460" s="87">
        <v>4624872</v>
      </c>
      <c r="J460" s="54" t="s">
        <v>116</v>
      </c>
      <c r="K460" s="89" t="s">
        <v>124</v>
      </c>
      <c r="L460" s="45" t="s">
        <v>105</v>
      </c>
    </row>
    <row r="461" spans="1:12" s="53" customFormat="1" ht="20.149999999999999" customHeight="1">
      <c r="A461" s="44">
        <v>42522</v>
      </c>
      <c r="B461" s="49"/>
      <c r="C461" s="45" t="s">
        <v>20</v>
      </c>
      <c r="D461" s="89">
        <v>2.5999999999999999E-2</v>
      </c>
      <c r="E461" s="89">
        <v>18.505199999999999</v>
      </c>
      <c r="F461" s="90">
        <v>7.5</v>
      </c>
      <c r="G461" s="89">
        <v>138.78899999999999</v>
      </c>
      <c r="H461" s="89">
        <v>1200</v>
      </c>
      <c r="I461" s="87">
        <v>166548</v>
      </c>
      <c r="J461" s="54" t="s">
        <v>116</v>
      </c>
      <c r="K461" s="89" t="s">
        <v>125</v>
      </c>
      <c r="L461" s="45" t="s">
        <v>105</v>
      </c>
    </row>
    <row r="462" spans="1:12" s="53" customFormat="1" ht="20.149999999999999" customHeight="1">
      <c r="A462" s="44">
        <v>42522</v>
      </c>
      <c r="B462" s="49"/>
      <c r="C462" s="45" t="s">
        <v>20</v>
      </c>
      <c r="D462" s="89">
        <v>1.6E-2</v>
      </c>
      <c r="E462" s="89">
        <v>11.3878</v>
      </c>
      <c r="F462" s="90">
        <v>7.5</v>
      </c>
      <c r="G462" s="89">
        <v>85.408500000000004</v>
      </c>
      <c r="H462" s="89">
        <v>1200</v>
      </c>
      <c r="I462" s="87">
        <v>102492</v>
      </c>
      <c r="J462" s="54" t="s">
        <v>116</v>
      </c>
      <c r="K462" s="89" t="s">
        <v>131</v>
      </c>
      <c r="L462" s="45" t="s">
        <v>105</v>
      </c>
    </row>
    <row r="463" spans="1:12" s="53" customFormat="1" ht="20.149999999999999" customHeight="1">
      <c r="A463" s="44">
        <v>42522</v>
      </c>
      <c r="B463" s="49"/>
      <c r="C463" s="45" t="s">
        <v>20</v>
      </c>
      <c r="D463" s="89">
        <v>1.21</v>
      </c>
      <c r="E463" s="89">
        <v>861.20299999999997</v>
      </c>
      <c r="F463" s="90">
        <v>7.5</v>
      </c>
      <c r="G463" s="89">
        <v>6459.0225</v>
      </c>
      <c r="H463" s="89">
        <v>1200</v>
      </c>
      <c r="I463" s="87">
        <v>7750824.0000000009</v>
      </c>
      <c r="J463" s="54" t="s">
        <v>116</v>
      </c>
      <c r="K463" s="89" t="s">
        <v>126</v>
      </c>
      <c r="L463" s="45" t="s">
        <v>105</v>
      </c>
    </row>
    <row r="464" spans="1:12" s="53" customFormat="1" ht="20.149999999999999" customHeight="1">
      <c r="A464" s="44">
        <v>42522</v>
      </c>
      <c r="B464" s="49"/>
      <c r="C464" s="45" t="s">
        <v>20</v>
      </c>
      <c r="D464" s="89">
        <v>1.9330000000000001</v>
      </c>
      <c r="E464" s="89">
        <v>1375.7896000000001</v>
      </c>
      <c r="F464" s="90">
        <v>7.5</v>
      </c>
      <c r="G464" s="89">
        <v>10318.422</v>
      </c>
      <c r="H464" s="89">
        <v>1200</v>
      </c>
      <c r="I464" s="87">
        <v>12382104</v>
      </c>
      <c r="J464" s="54" t="s">
        <v>116</v>
      </c>
      <c r="K464" s="89" t="s">
        <v>158</v>
      </c>
      <c r="L464" s="45" t="s">
        <v>105</v>
      </c>
    </row>
    <row r="465" spans="1:12" s="53" customFormat="1" ht="20.149999999999999" customHeight="1">
      <c r="A465" s="44">
        <v>42522</v>
      </c>
      <c r="B465" s="49"/>
      <c r="C465" s="45" t="s">
        <v>20</v>
      </c>
      <c r="D465" s="89">
        <v>1.1020000000000001</v>
      </c>
      <c r="E465" s="89">
        <v>784.33529999999996</v>
      </c>
      <c r="F465" s="90">
        <v>7.5</v>
      </c>
      <c r="G465" s="89">
        <v>5882.5147499999994</v>
      </c>
      <c r="H465" s="89">
        <v>1200</v>
      </c>
      <c r="I465" s="87">
        <v>7059012</v>
      </c>
      <c r="J465" s="54" t="s">
        <v>116</v>
      </c>
      <c r="K465" s="89" t="s">
        <v>127</v>
      </c>
      <c r="L465" s="45" t="s">
        <v>105</v>
      </c>
    </row>
    <row r="466" spans="1:12" s="53" customFormat="1" ht="20.149999999999999" customHeight="1">
      <c r="A466" s="44">
        <v>42522</v>
      </c>
      <c r="B466" s="49"/>
      <c r="C466" s="45" t="s">
        <v>20</v>
      </c>
      <c r="D466" s="89">
        <v>0.106</v>
      </c>
      <c r="E466" s="89">
        <v>75.444199999999995</v>
      </c>
      <c r="F466" s="90">
        <v>7.5</v>
      </c>
      <c r="G466" s="89">
        <v>565.83150000000001</v>
      </c>
      <c r="H466" s="89">
        <v>1200</v>
      </c>
      <c r="I466" s="87">
        <v>678996</v>
      </c>
      <c r="J466" s="54" t="s">
        <v>116</v>
      </c>
      <c r="K466" s="89" t="s">
        <v>128</v>
      </c>
      <c r="L466" s="45" t="s">
        <v>105</v>
      </c>
    </row>
    <row r="467" spans="1:12" s="53" customFormat="1" ht="20.149999999999999" customHeight="1">
      <c r="A467" s="44">
        <v>42522</v>
      </c>
      <c r="B467" s="49"/>
      <c r="C467" s="45" t="s">
        <v>20</v>
      </c>
      <c r="D467" s="89">
        <v>0.37</v>
      </c>
      <c r="E467" s="89">
        <v>263.34309999999999</v>
      </c>
      <c r="F467" s="90">
        <v>7.5</v>
      </c>
      <c r="G467" s="89">
        <v>1975.0732499999999</v>
      </c>
      <c r="H467" s="89">
        <v>1200</v>
      </c>
      <c r="I467" s="87">
        <v>2370084</v>
      </c>
      <c r="J467" s="54" t="s">
        <v>116</v>
      </c>
      <c r="K467" s="89" t="s">
        <v>129</v>
      </c>
      <c r="L467" s="45" t="s">
        <v>105</v>
      </c>
    </row>
    <row r="468" spans="1:12" s="53" customFormat="1" ht="20.149999999999999" customHeight="1">
      <c r="A468" s="44">
        <v>42522</v>
      </c>
      <c r="B468" s="49"/>
      <c r="C468" s="45" t="s">
        <v>20</v>
      </c>
      <c r="D468" s="89">
        <v>0.65100000000000002</v>
      </c>
      <c r="E468" s="89">
        <v>463.34140000000002</v>
      </c>
      <c r="F468" s="90">
        <v>7.5</v>
      </c>
      <c r="G468" s="89">
        <v>3475.0605</v>
      </c>
      <c r="H468" s="89">
        <v>1200</v>
      </c>
      <c r="I468" s="87">
        <v>4170072</v>
      </c>
      <c r="J468" s="54" t="s">
        <v>116</v>
      </c>
      <c r="K468" s="89" t="s">
        <v>130</v>
      </c>
      <c r="L468" s="45" t="s">
        <v>105</v>
      </c>
    </row>
    <row r="469" spans="1:12" s="53" customFormat="1" ht="20.149999999999999" customHeight="1">
      <c r="A469" s="44">
        <v>42522</v>
      </c>
      <c r="B469" s="49"/>
      <c r="C469" s="45" t="s">
        <v>20</v>
      </c>
      <c r="D469" s="89">
        <v>16.038</v>
      </c>
      <c r="E469" s="89">
        <v>11414.853999999999</v>
      </c>
      <c r="F469" s="90">
        <v>7.5</v>
      </c>
      <c r="G469" s="89">
        <v>85611.404999999999</v>
      </c>
      <c r="H469" s="89">
        <v>1200</v>
      </c>
      <c r="I469" s="87">
        <v>102733692</v>
      </c>
      <c r="J469" s="54" t="s">
        <v>116</v>
      </c>
      <c r="K469" s="89" t="s">
        <v>132</v>
      </c>
      <c r="L469" s="45" t="s">
        <v>105</v>
      </c>
    </row>
    <row r="470" spans="1:12" s="53" customFormat="1" ht="20.149999999999999" customHeight="1">
      <c r="A470" s="44">
        <v>42522</v>
      </c>
      <c r="B470" s="49"/>
      <c r="C470" s="45" t="s">
        <v>20</v>
      </c>
      <c r="D470" s="89">
        <v>2.9729999999999999</v>
      </c>
      <c r="E470" s="89">
        <v>2115.9971</v>
      </c>
      <c r="F470" s="90">
        <v>7.5</v>
      </c>
      <c r="G470" s="89">
        <v>15869.97825</v>
      </c>
      <c r="H470" s="89">
        <v>1200</v>
      </c>
      <c r="I470" s="87">
        <v>19043976</v>
      </c>
      <c r="J470" s="54" t="s">
        <v>116</v>
      </c>
      <c r="K470" s="89" t="s">
        <v>133</v>
      </c>
      <c r="L470" s="45" t="s">
        <v>105</v>
      </c>
    </row>
    <row r="471" spans="1:12" s="53" customFormat="1" ht="20.149999999999999" customHeight="1">
      <c r="A471" s="44">
        <v>42522</v>
      </c>
      <c r="B471" s="49"/>
      <c r="C471" s="45" t="s">
        <v>20</v>
      </c>
      <c r="D471" s="89">
        <v>2.0920000000000001</v>
      </c>
      <c r="E471" s="89">
        <v>1488.9558999999999</v>
      </c>
      <c r="F471" s="90">
        <v>7.5</v>
      </c>
      <c r="G471" s="89">
        <v>11167.169249999999</v>
      </c>
      <c r="H471" s="89">
        <v>1200</v>
      </c>
      <c r="I471" s="87">
        <v>13400604</v>
      </c>
      <c r="J471" s="54" t="s">
        <v>116</v>
      </c>
      <c r="K471" s="89" t="s">
        <v>134</v>
      </c>
      <c r="L471" s="45" t="s">
        <v>105</v>
      </c>
    </row>
    <row r="472" spans="1:12" s="53" customFormat="1" ht="20.149999999999999" customHeight="1">
      <c r="A472" s="44">
        <v>42522</v>
      </c>
      <c r="B472" s="49"/>
      <c r="C472" s="45" t="s">
        <v>20</v>
      </c>
      <c r="D472" s="89">
        <v>1.069</v>
      </c>
      <c r="E472" s="89">
        <v>760.84789999999998</v>
      </c>
      <c r="F472" s="90">
        <v>7.5</v>
      </c>
      <c r="G472" s="89">
        <v>5706.3592499999995</v>
      </c>
      <c r="H472" s="89">
        <v>1200</v>
      </c>
      <c r="I472" s="87">
        <v>6847632</v>
      </c>
      <c r="J472" s="54" t="s">
        <v>116</v>
      </c>
      <c r="K472" s="89" t="s">
        <v>135</v>
      </c>
      <c r="L472" s="45" t="s">
        <v>105</v>
      </c>
    </row>
    <row r="473" spans="1:12" s="53" customFormat="1" ht="20.149999999999999" customHeight="1">
      <c r="A473" s="44">
        <v>42522</v>
      </c>
      <c r="B473" s="49"/>
      <c r="C473" s="45" t="s">
        <v>20</v>
      </c>
      <c r="D473" s="89">
        <v>176.81200000000001</v>
      </c>
      <c r="E473" s="89">
        <v>125843.8193</v>
      </c>
      <c r="F473" s="90">
        <v>7.5</v>
      </c>
      <c r="G473" s="89">
        <v>943828.64474999998</v>
      </c>
      <c r="H473" s="89">
        <v>1200</v>
      </c>
      <c r="I473" s="87">
        <v>1132594368</v>
      </c>
      <c r="J473" s="54" t="s">
        <v>116</v>
      </c>
      <c r="K473" s="89" t="s">
        <v>136</v>
      </c>
      <c r="L473" s="45" t="s">
        <v>105</v>
      </c>
    </row>
    <row r="474" spans="1:12" s="53" customFormat="1" ht="20.149999999999999" customHeight="1">
      <c r="A474" s="44">
        <v>42522</v>
      </c>
      <c r="B474" s="49"/>
      <c r="C474" s="45" t="s">
        <v>20</v>
      </c>
      <c r="D474" s="89">
        <v>0.57899999999999996</v>
      </c>
      <c r="E474" s="89">
        <v>412.09629999999999</v>
      </c>
      <c r="F474" s="90">
        <v>7.5</v>
      </c>
      <c r="G474" s="89">
        <v>3090.7222499999998</v>
      </c>
      <c r="H474" s="89">
        <v>1200</v>
      </c>
      <c r="I474" s="87">
        <v>3708863.9999999995</v>
      </c>
      <c r="J474" s="54" t="s">
        <v>116</v>
      </c>
      <c r="K474" s="89" t="s">
        <v>146</v>
      </c>
      <c r="L474" s="45" t="s">
        <v>105</v>
      </c>
    </row>
    <row r="475" spans="1:12" s="53" customFormat="1" ht="20.149999999999999" customHeight="1">
      <c r="A475" s="44">
        <v>42522</v>
      </c>
      <c r="B475" s="49"/>
      <c r="C475" s="45" t="s">
        <v>20</v>
      </c>
      <c r="D475" s="89">
        <v>8.7349999999999994</v>
      </c>
      <c r="E475" s="89">
        <v>6217.0313999999998</v>
      </c>
      <c r="F475" s="90">
        <v>7.5</v>
      </c>
      <c r="G475" s="89">
        <v>46627.735499999995</v>
      </c>
      <c r="H475" s="89">
        <v>1200</v>
      </c>
      <c r="I475" s="87">
        <v>55953288</v>
      </c>
      <c r="J475" s="54" t="s">
        <v>116</v>
      </c>
      <c r="K475" s="89" t="s">
        <v>161</v>
      </c>
      <c r="L475" s="45" t="s">
        <v>105</v>
      </c>
    </row>
    <row r="476" spans="1:12" s="53" customFormat="1" ht="20.149999999999999" customHeight="1">
      <c r="A476" s="44">
        <v>42522</v>
      </c>
      <c r="B476" s="49"/>
      <c r="C476" s="45" t="s">
        <v>20</v>
      </c>
      <c r="D476" s="89">
        <v>52.402999999999999</v>
      </c>
      <c r="E476" s="89">
        <v>37297.206400000003</v>
      </c>
      <c r="F476" s="90">
        <v>7.5</v>
      </c>
      <c r="G476" s="89">
        <v>279729.04800000001</v>
      </c>
      <c r="H476" s="89">
        <v>1200</v>
      </c>
      <c r="I476" s="87">
        <v>335674860</v>
      </c>
      <c r="J476" s="54" t="s">
        <v>116</v>
      </c>
      <c r="K476" s="89" t="s">
        <v>137</v>
      </c>
      <c r="L476" s="45" t="s">
        <v>105</v>
      </c>
    </row>
    <row r="477" spans="1:12" s="53" customFormat="1" ht="20.149999999999999" customHeight="1">
      <c r="A477" s="44">
        <v>42522</v>
      </c>
      <c r="B477" s="49"/>
      <c r="C477" s="45" t="s">
        <v>20</v>
      </c>
      <c r="D477" s="89">
        <v>0.77200000000000002</v>
      </c>
      <c r="E477" s="89">
        <v>549.46169999999995</v>
      </c>
      <c r="F477" s="90">
        <v>7.5</v>
      </c>
      <c r="G477" s="89">
        <v>4120.9627499999997</v>
      </c>
      <c r="H477" s="89">
        <v>1200</v>
      </c>
      <c r="I477" s="87">
        <v>4945152</v>
      </c>
      <c r="J477" s="54" t="s">
        <v>116</v>
      </c>
      <c r="K477" s="89" t="s">
        <v>138</v>
      </c>
      <c r="L477" s="45" t="s">
        <v>105</v>
      </c>
    </row>
    <row r="478" spans="1:12" s="53" customFormat="1" ht="20.149999999999999" customHeight="1">
      <c r="A478" s="44">
        <v>42522</v>
      </c>
      <c r="B478" s="49"/>
      <c r="C478" s="45" t="s">
        <v>20</v>
      </c>
      <c r="D478" s="89">
        <v>309.88799999999998</v>
      </c>
      <c r="E478" s="89">
        <v>220559.06529999999</v>
      </c>
      <c r="F478" s="90">
        <v>7.5</v>
      </c>
      <c r="G478" s="89">
        <v>1654192.9897499999</v>
      </c>
      <c r="H478" s="89">
        <v>1200</v>
      </c>
      <c r="I478" s="87">
        <v>1985031588</v>
      </c>
      <c r="J478" s="54" t="s">
        <v>116</v>
      </c>
      <c r="K478" s="89" t="s">
        <v>139</v>
      </c>
      <c r="L478" s="45" t="s">
        <v>105</v>
      </c>
    </row>
    <row r="479" spans="1:12" s="53" customFormat="1" ht="20.149999999999999" customHeight="1">
      <c r="A479" s="44">
        <v>42522</v>
      </c>
      <c r="B479" s="49"/>
      <c r="C479" s="45" t="s">
        <v>20</v>
      </c>
      <c r="D479" s="89">
        <v>0.34499999999999997</v>
      </c>
      <c r="E479" s="89">
        <v>245.5496</v>
      </c>
      <c r="F479" s="90">
        <v>7.5</v>
      </c>
      <c r="G479" s="89">
        <v>1841.6220000000001</v>
      </c>
      <c r="H479" s="89">
        <v>1200</v>
      </c>
      <c r="I479" s="87">
        <v>2209944</v>
      </c>
      <c r="J479" s="54" t="s">
        <v>116</v>
      </c>
      <c r="K479" s="89" t="s">
        <v>140</v>
      </c>
      <c r="L479" s="45" t="s">
        <v>105</v>
      </c>
    </row>
    <row r="480" spans="1:12" s="53" customFormat="1" ht="20.149999999999999" customHeight="1">
      <c r="A480" s="44">
        <v>42522</v>
      </c>
      <c r="B480" s="49"/>
      <c r="C480" s="45" t="s">
        <v>20</v>
      </c>
      <c r="D480" s="89">
        <v>917.43799999999999</v>
      </c>
      <c r="E480" s="89">
        <v>652975.48719999997</v>
      </c>
      <c r="F480" s="90">
        <v>7.5</v>
      </c>
      <c r="G480" s="89">
        <v>4897316.1540000001</v>
      </c>
      <c r="H480" s="89">
        <v>1200</v>
      </c>
      <c r="I480" s="87">
        <v>5876779380</v>
      </c>
      <c r="J480" s="54" t="s">
        <v>116</v>
      </c>
      <c r="K480" s="89" t="s">
        <v>141</v>
      </c>
      <c r="L480" s="45" t="s">
        <v>105</v>
      </c>
    </row>
    <row r="481" spans="1:12" s="53" customFormat="1" ht="20.149999999999999" customHeight="1">
      <c r="A481" s="44">
        <v>42522</v>
      </c>
      <c r="B481" s="49"/>
      <c r="C481" s="45" t="s">
        <v>20</v>
      </c>
      <c r="D481" s="89">
        <v>1242.134</v>
      </c>
      <c r="E481" s="89">
        <v>884073.96889999998</v>
      </c>
      <c r="F481" s="90">
        <v>7.5</v>
      </c>
      <c r="G481" s="89">
        <v>6630554.7667499995</v>
      </c>
      <c r="H481" s="89">
        <v>1200</v>
      </c>
      <c r="I481" s="87">
        <v>7956665723.999999</v>
      </c>
      <c r="J481" s="54" t="s">
        <v>116</v>
      </c>
      <c r="K481" s="89" t="s">
        <v>142</v>
      </c>
      <c r="L481" s="45" t="s">
        <v>105</v>
      </c>
    </row>
    <row r="482" spans="1:12" s="53" customFormat="1" ht="20.149999999999999" customHeight="1">
      <c r="A482" s="44">
        <v>42522</v>
      </c>
      <c r="B482" s="49"/>
      <c r="C482" s="45" t="s">
        <v>20</v>
      </c>
      <c r="D482" s="89">
        <v>1217.8720000000001</v>
      </c>
      <c r="E482" s="89">
        <v>866805.78150000004</v>
      </c>
      <c r="F482" s="90">
        <v>7.5</v>
      </c>
      <c r="G482" s="89">
        <v>6501043.3612500001</v>
      </c>
      <c r="H482" s="89">
        <v>1200</v>
      </c>
      <c r="I482" s="87">
        <v>7801252032</v>
      </c>
      <c r="J482" s="54" t="s">
        <v>116</v>
      </c>
      <c r="K482" s="89" t="s">
        <v>143</v>
      </c>
      <c r="L482" s="45" t="s">
        <v>105</v>
      </c>
    </row>
    <row r="483" spans="1:12" s="53" customFormat="1" ht="20.149999999999999" customHeight="1">
      <c r="A483" s="44">
        <v>42522</v>
      </c>
      <c r="B483" s="49"/>
      <c r="C483" s="45" t="s">
        <v>20</v>
      </c>
      <c r="D483" s="89">
        <v>557.27499999999998</v>
      </c>
      <c r="E483" s="89">
        <v>396633.79399999999</v>
      </c>
      <c r="F483" s="90">
        <v>7.5</v>
      </c>
      <c r="G483" s="89">
        <v>2974753.4550000001</v>
      </c>
      <c r="H483" s="89">
        <v>1200</v>
      </c>
      <c r="I483" s="87">
        <v>3569704152</v>
      </c>
      <c r="J483" s="54" t="s">
        <v>116</v>
      </c>
      <c r="K483" s="89" t="s">
        <v>144</v>
      </c>
      <c r="L483" s="45" t="s">
        <v>105</v>
      </c>
    </row>
    <row r="484" spans="1:12" s="53" customFormat="1" ht="20.149999999999999" customHeight="1">
      <c r="A484" s="44">
        <v>42522</v>
      </c>
      <c r="B484" s="49"/>
      <c r="C484" s="45" t="s">
        <v>20</v>
      </c>
      <c r="D484" s="89">
        <v>0.40100000000000002</v>
      </c>
      <c r="E484" s="89">
        <v>285.40690000000001</v>
      </c>
      <c r="F484" s="90">
        <v>2.6877</v>
      </c>
      <c r="G484" s="89">
        <v>1077.7677000000001</v>
      </c>
      <c r="H484" s="89">
        <v>1200</v>
      </c>
      <c r="I484" s="87">
        <v>1293324</v>
      </c>
      <c r="J484" s="54" t="s">
        <v>116</v>
      </c>
      <c r="K484" s="89" t="s">
        <v>147</v>
      </c>
      <c r="L484" s="45" t="s">
        <v>105</v>
      </c>
    </row>
    <row r="485" spans="1:12" s="53" customFormat="1" ht="20.149999999999999" customHeight="1">
      <c r="A485" s="44">
        <v>42522</v>
      </c>
      <c r="B485" s="49"/>
      <c r="C485" s="45" t="s">
        <v>20</v>
      </c>
      <c r="D485" s="89">
        <v>2.42</v>
      </c>
      <c r="E485" s="89">
        <v>1722.4059999999999</v>
      </c>
      <c r="F485" s="90">
        <v>2.6877</v>
      </c>
      <c r="G485" s="89">
        <v>6504.2439999999997</v>
      </c>
      <c r="H485" s="89">
        <v>1200</v>
      </c>
      <c r="I485" s="87">
        <v>7805088</v>
      </c>
      <c r="J485" s="54" t="s">
        <v>116</v>
      </c>
      <c r="K485" s="89" t="s">
        <v>148</v>
      </c>
      <c r="L485" s="45" t="s">
        <v>105</v>
      </c>
    </row>
    <row r="486" spans="1:12" s="53" customFormat="1" ht="20.149999999999999" customHeight="1">
      <c r="A486" s="44">
        <v>42522</v>
      </c>
      <c r="B486" s="49"/>
      <c r="C486" s="45" t="s">
        <v>20</v>
      </c>
      <c r="D486" s="89">
        <v>0.502</v>
      </c>
      <c r="E486" s="89">
        <v>357.29250000000002</v>
      </c>
      <c r="F486" s="90">
        <v>2.6877</v>
      </c>
      <c r="G486" s="89">
        <v>1349.2153999999998</v>
      </c>
      <c r="H486" s="89">
        <v>1200</v>
      </c>
      <c r="I486" s="87">
        <v>1619064</v>
      </c>
      <c r="J486" s="54" t="s">
        <v>116</v>
      </c>
      <c r="K486" s="89" t="s">
        <v>149</v>
      </c>
      <c r="L486" s="45" t="s">
        <v>105</v>
      </c>
    </row>
    <row r="487" spans="1:12" s="53" customFormat="1" ht="20.149999999999999" customHeight="1">
      <c r="A487" s="44">
        <v>42522</v>
      </c>
      <c r="B487" s="49"/>
      <c r="C487" s="45" t="s">
        <v>20</v>
      </c>
      <c r="D487" s="89">
        <v>0.27700000000000002</v>
      </c>
      <c r="E487" s="89">
        <v>197.1514</v>
      </c>
      <c r="F487" s="90">
        <v>2.6877</v>
      </c>
      <c r="G487" s="89">
        <v>744.50289999999995</v>
      </c>
      <c r="H487" s="89">
        <v>1200</v>
      </c>
      <c r="I487" s="87">
        <v>893400</v>
      </c>
      <c r="J487" s="54" t="s">
        <v>116</v>
      </c>
      <c r="K487" s="89" t="s">
        <v>150</v>
      </c>
      <c r="L487" s="45" t="s">
        <v>105</v>
      </c>
    </row>
    <row r="488" spans="1:12" s="53" customFormat="1" ht="20.149999999999999" customHeight="1">
      <c r="A488" s="44">
        <v>42522</v>
      </c>
      <c r="B488" s="49"/>
      <c r="C488" s="45" t="s">
        <v>20</v>
      </c>
      <c r="D488" s="89">
        <v>8.2000000000000003E-2</v>
      </c>
      <c r="E488" s="89">
        <v>58.362499999999997</v>
      </c>
      <c r="F488" s="90">
        <v>2.6877</v>
      </c>
      <c r="G488" s="89">
        <v>220.3914</v>
      </c>
      <c r="H488" s="89">
        <v>1200</v>
      </c>
      <c r="I488" s="87">
        <v>264468</v>
      </c>
      <c r="J488" s="54" t="s">
        <v>116</v>
      </c>
      <c r="K488" s="89" t="s">
        <v>151</v>
      </c>
      <c r="L488" s="45" t="s">
        <v>105</v>
      </c>
    </row>
    <row r="489" spans="1:12" s="53" customFormat="1" ht="20.149999999999999" customHeight="1">
      <c r="A489" s="44">
        <v>42522</v>
      </c>
      <c r="B489" s="49"/>
      <c r="C489" s="45" t="s">
        <v>20</v>
      </c>
      <c r="D489" s="89">
        <v>0.88700000000000001</v>
      </c>
      <c r="E489" s="89">
        <v>631.3116</v>
      </c>
      <c r="F489" s="90">
        <v>2.6877</v>
      </c>
      <c r="G489" s="89">
        <v>2383.9899</v>
      </c>
      <c r="H489" s="89">
        <v>1200</v>
      </c>
      <c r="I489" s="87">
        <v>2860787.9999999995</v>
      </c>
      <c r="J489" s="54" t="s">
        <v>116</v>
      </c>
      <c r="K489" s="89" t="s">
        <v>152</v>
      </c>
      <c r="L489" s="45" t="s">
        <v>105</v>
      </c>
    </row>
    <row r="490" spans="1:12" s="53" customFormat="1" ht="20.149999999999999" customHeight="1">
      <c r="A490" s="44">
        <v>42522</v>
      </c>
      <c r="B490" s="49"/>
      <c r="C490" s="45" t="s">
        <v>20</v>
      </c>
      <c r="D490" s="89">
        <v>4.6959999999999997</v>
      </c>
      <c r="E490" s="89">
        <v>3342.3216000000002</v>
      </c>
      <c r="F490" s="90">
        <v>2.6877</v>
      </c>
      <c r="G490" s="89">
        <v>12621.439199999999</v>
      </c>
      <c r="H490" s="89">
        <v>1200</v>
      </c>
      <c r="I490" s="87">
        <v>15145728</v>
      </c>
      <c r="J490" s="54" t="s">
        <v>116</v>
      </c>
      <c r="K490" s="89" t="s">
        <v>159</v>
      </c>
      <c r="L490" s="45" t="s">
        <v>105</v>
      </c>
    </row>
    <row r="491" spans="1:12" s="53" customFormat="1" ht="20.149999999999999" customHeight="1">
      <c r="A491" s="44">
        <v>42522</v>
      </c>
      <c r="B491" s="49"/>
      <c r="C491" s="45" t="s">
        <v>20</v>
      </c>
      <c r="D491" s="89">
        <v>5.6150000000000002</v>
      </c>
      <c r="E491" s="89">
        <v>3996.4088999999999</v>
      </c>
      <c r="F491" s="90">
        <v>2.6877</v>
      </c>
      <c r="G491" s="89">
        <v>15091.425500000001</v>
      </c>
      <c r="H491" s="89">
        <v>1200</v>
      </c>
      <c r="I491" s="87">
        <v>18109716</v>
      </c>
      <c r="J491" s="54" t="s">
        <v>116</v>
      </c>
      <c r="K491" s="89" t="s">
        <v>153</v>
      </c>
      <c r="L491" s="45" t="s">
        <v>105</v>
      </c>
    </row>
    <row r="492" spans="1:12" s="53" customFormat="1" ht="20.149999999999999" customHeight="1">
      <c r="A492" s="44">
        <v>42522</v>
      </c>
      <c r="B492" s="49"/>
      <c r="C492" s="45" t="s">
        <v>20</v>
      </c>
      <c r="D492" s="89">
        <v>0.78100000000000003</v>
      </c>
      <c r="E492" s="89">
        <v>555.86739999999998</v>
      </c>
      <c r="F492" s="90">
        <v>2.6877</v>
      </c>
      <c r="G492" s="89">
        <v>2099.1037000000001</v>
      </c>
      <c r="H492" s="89">
        <v>1200</v>
      </c>
      <c r="I492" s="87">
        <v>2518920</v>
      </c>
      <c r="J492" s="54" t="s">
        <v>116</v>
      </c>
      <c r="K492" s="89" t="s">
        <v>154</v>
      </c>
      <c r="L492" s="45" t="s">
        <v>105</v>
      </c>
    </row>
    <row r="493" spans="1:12" s="53" customFormat="1" ht="20.149999999999999" customHeight="1">
      <c r="A493" s="44">
        <v>42522</v>
      </c>
      <c r="B493" s="49"/>
      <c r="C493" s="45" t="s">
        <v>20</v>
      </c>
      <c r="D493" s="89">
        <v>6.35</v>
      </c>
      <c r="E493" s="89">
        <v>4519.5362999999998</v>
      </c>
      <c r="F493" s="90">
        <v>2.6877</v>
      </c>
      <c r="G493" s="89">
        <v>17066.885000000002</v>
      </c>
      <c r="H493" s="89">
        <v>1200</v>
      </c>
      <c r="I493" s="87">
        <v>20480268</v>
      </c>
      <c r="J493" s="54" t="s">
        <v>116</v>
      </c>
      <c r="K493" s="89" t="s">
        <v>155</v>
      </c>
      <c r="L493" s="45" t="s">
        <v>105</v>
      </c>
    </row>
    <row r="494" spans="1:12" s="53" customFormat="1" ht="20.149999999999999" customHeight="1">
      <c r="A494" s="44">
        <v>42522</v>
      </c>
      <c r="B494" s="49"/>
      <c r="C494" s="45" t="s">
        <v>20</v>
      </c>
      <c r="D494" s="89">
        <v>1.631</v>
      </c>
      <c r="E494" s="89">
        <v>1160.8447000000001</v>
      </c>
      <c r="F494" s="90">
        <v>2.6877</v>
      </c>
      <c r="G494" s="89">
        <v>4383.6386999999995</v>
      </c>
      <c r="H494" s="89">
        <v>1200</v>
      </c>
      <c r="I494" s="87">
        <v>5260368</v>
      </c>
      <c r="J494" s="54" t="s">
        <v>116</v>
      </c>
      <c r="K494" s="89" t="s">
        <v>160</v>
      </c>
      <c r="L494" s="45" t="s">
        <v>105</v>
      </c>
    </row>
    <row r="495" spans="1:12" s="53" customFormat="1" ht="20.149999999999999" customHeight="1">
      <c r="A495" s="44">
        <v>42522</v>
      </c>
      <c r="B495" s="49"/>
      <c r="C495" s="45" t="s">
        <v>20</v>
      </c>
      <c r="D495" s="89">
        <v>0.29299999999999998</v>
      </c>
      <c r="E495" s="89">
        <v>208.53919999999999</v>
      </c>
      <c r="F495" s="90">
        <v>2.6877</v>
      </c>
      <c r="G495" s="89">
        <v>787.48609999999996</v>
      </c>
      <c r="H495" s="89">
        <v>1200</v>
      </c>
      <c r="I495" s="87">
        <v>944988</v>
      </c>
      <c r="J495" s="54" t="s">
        <v>116</v>
      </c>
      <c r="K495" s="89" t="s">
        <v>156</v>
      </c>
      <c r="L495" s="45" t="s">
        <v>105</v>
      </c>
    </row>
    <row r="496" spans="1:12" s="53" customFormat="1" ht="20.149999999999999" customHeight="1">
      <c r="A496" s="44">
        <v>42522</v>
      </c>
      <c r="B496" s="49"/>
      <c r="C496" s="45" t="s">
        <v>20</v>
      </c>
      <c r="D496" s="89">
        <v>0.193</v>
      </c>
      <c r="E496" s="89">
        <v>137.36539999999999</v>
      </c>
      <c r="F496" s="90">
        <v>2.6877</v>
      </c>
      <c r="G496" s="89">
        <v>518.71609999999998</v>
      </c>
      <c r="H496" s="89">
        <v>1200</v>
      </c>
      <c r="I496" s="87">
        <v>622464</v>
      </c>
      <c r="J496" s="54" t="s">
        <v>116</v>
      </c>
      <c r="K496" s="89" t="s">
        <v>157</v>
      </c>
      <c r="L496" s="45" t="s">
        <v>105</v>
      </c>
    </row>
    <row r="497" spans="1:12" s="53" customFormat="1" ht="20.149999999999999" customHeight="1">
      <c r="A497" s="44"/>
      <c r="B497" s="49"/>
      <c r="C497" s="45"/>
      <c r="D497" s="89"/>
      <c r="E497" s="89"/>
      <c r="F497" s="90"/>
      <c r="G497" s="89"/>
      <c r="H497" s="89"/>
      <c r="I497" s="88"/>
      <c r="J497" s="54"/>
      <c r="K497" s="89"/>
      <c r="L497" s="45"/>
    </row>
    <row r="498" spans="1:12" s="53" customFormat="1" ht="20.149999999999999" customHeight="1">
      <c r="A498" s="44">
        <v>42552</v>
      </c>
      <c r="B498" s="49"/>
      <c r="C498" s="45" t="s">
        <v>20</v>
      </c>
      <c r="D498" s="89">
        <v>1.8109999999999999</v>
      </c>
      <c r="E498" s="89">
        <v>1289.5497</v>
      </c>
      <c r="F498" s="90">
        <v>7.5</v>
      </c>
      <c r="G498" s="89">
        <v>9671.6227500000005</v>
      </c>
      <c r="H498" s="89">
        <v>1200</v>
      </c>
      <c r="I498" s="87">
        <v>11605944.000000002</v>
      </c>
      <c r="J498" s="54" t="s">
        <v>116</v>
      </c>
      <c r="K498" s="89" t="s">
        <v>117</v>
      </c>
      <c r="L498" s="45" t="s">
        <v>105</v>
      </c>
    </row>
    <row r="499" spans="1:12" s="53" customFormat="1" ht="20.149999999999999" customHeight="1">
      <c r="A499" s="44">
        <v>42552</v>
      </c>
      <c r="B499" s="49"/>
      <c r="C499" s="45" t="s">
        <v>20</v>
      </c>
      <c r="D499" s="89">
        <v>1.3140000000000001</v>
      </c>
      <c r="E499" s="89">
        <v>935.65340000000003</v>
      </c>
      <c r="F499" s="90">
        <v>7.5</v>
      </c>
      <c r="G499" s="89">
        <v>7017.4005000000006</v>
      </c>
      <c r="H499" s="89">
        <v>1200</v>
      </c>
      <c r="I499" s="87">
        <v>8420880</v>
      </c>
      <c r="J499" s="54" t="s">
        <v>116</v>
      </c>
      <c r="K499" s="89" t="s">
        <v>118</v>
      </c>
      <c r="L499" s="45" t="s">
        <v>105</v>
      </c>
    </row>
    <row r="500" spans="1:12" s="53" customFormat="1" ht="20.149999999999999" customHeight="1">
      <c r="A500" s="44">
        <v>42552</v>
      </c>
      <c r="B500" s="49"/>
      <c r="C500" s="45" t="s">
        <v>20</v>
      </c>
      <c r="D500" s="89">
        <v>8.3610000000000007</v>
      </c>
      <c r="E500" s="89">
        <v>5953.5754999999999</v>
      </c>
      <c r="F500" s="90">
        <v>7.5</v>
      </c>
      <c r="G500" s="89">
        <v>44651.816249999996</v>
      </c>
      <c r="H500" s="89">
        <v>1200</v>
      </c>
      <c r="I500" s="87">
        <v>53582184</v>
      </c>
      <c r="J500" s="54" t="s">
        <v>116</v>
      </c>
      <c r="K500" s="89" t="s">
        <v>119</v>
      </c>
      <c r="L500" s="45" t="s">
        <v>105</v>
      </c>
    </row>
    <row r="501" spans="1:12" s="53" customFormat="1" ht="20.149999999999999" customHeight="1">
      <c r="A501" s="44">
        <v>42552</v>
      </c>
      <c r="B501" s="49"/>
      <c r="C501" s="45" t="s">
        <v>20</v>
      </c>
      <c r="D501" s="89">
        <v>8.0609999999999999</v>
      </c>
      <c r="E501" s="89">
        <v>5739.9560000000001</v>
      </c>
      <c r="F501" s="90">
        <v>7.5</v>
      </c>
      <c r="G501" s="89">
        <v>43049.67</v>
      </c>
      <c r="H501" s="89">
        <v>1200</v>
      </c>
      <c r="I501" s="87">
        <v>51659604</v>
      </c>
      <c r="J501" s="54" t="s">
        <v>116</v>
      </c>
      <c r="K501" s="89" t="s">
        <v>120</v>
      </c>
      <c r="L501" s="45" t="s">
        <v>105</v>
      </c>
    </row>
    <row r="502" spans="1:12" s="53" customFormat="1" ht="20.149999999999999" customHeight="1">
      <c r="A502" s="44">
        <v>42552</v>
      </c>
      <c r="B502" s="49"/>
      <c r="C502" s="45" t="s">
        <v>20</v>
      </c>
      <c r="D502" s="89">
        <v>0.192</v>
      </c>
      <c r="E502" s="89">
        <v>136.7165</v>
      </c>
      <c r="F502" s="90">
        <v>7.5</v>
      </c>
      <c r="G502" s="89">
        <v>1025.37375</v>
      </c>
      <c r="H502" s="89">
        <v>1200</v>
      </c>
      <c r="I502" s="87">
        <v>1230443.9999999998</v>
      </c>
      <c r="J502" s="54" t="s">
        <v>116</v>
      </c>
      <c r="K502" s="89" t="s">
        <v>121</v>
      </c>
      <c r="L502" s="45" t="s">
        <v>105</v>
      </c>
    </row>
    <row r="503" spans="1:12" s="53" customFormat="1" ht="20.149999999999999" customHeight="1">
      <c r="A503" s="44">
        <v>42552</v>
      </c>
      <c r="B503" s="49"/>
      <c r="C503" s="45" t="s">
        <v>20</v>
      </c>
      <c r="D503" s="89">
        <v>1.7230000000000001</v>
      </c>
      <c r="E503" s="89">
        <v>1226.8879999999999</v>
      </c>
      <c r="F503" s="90">
        <v>7.5</v>
      </c>
      <c r="G503" s="89">
        <v>9201.66</v>
      </c>
      <c r="H503" s="89">
        <v>1200</v>
      </c>
      <c r="I503" s="87">
        <v>11041992</v>
      </c>
      <c r="J503" s="54" t="s">
        <v>116</v>
      </c>
      <c r="K503" s="89" t="s">
        <v>122</v>
      </c>
      <c r="L503" s="45" t="s">
        <v>105</v>
      </c>
    </row>
    <row r="504" spans="1:12" s="53" customFormat="1" ht="20.149999999999999" customHeight="1">
      <c r="A504" s="44">
        <v>42552</v>
      </c>
      <c r="B504" s="49"/>
      <c r="C504" s="45" t="s">
        <v>20</v>
      </c>
      <c r="D504" s="89">
        <v>11.134</v>
      </c>
      <c r="E504" s="89">
        <v>7928.1316999999999</v>
      </c>
      <c r="F504" s="90">
        <v>7.5</v>
      </c>
      <c r="G504" s="89">
        <v>59460.98775</v>
      </c>
      <c r="H504" s="89">
        <v>1200</v>
      </c>
      <c r="I504" s="87">
        <v>71353188</v>
      </c>
      <c r="J504" s="54" t="s">
        <v>116</v>
      </c>
      <c r="K504" s="89" t="s">
        <v>123</v>
      </c>
      <c r="L504" s="45" t="s">
        <v>105</v>
      </c>
    </row>
    <row r="505" spans="1:12" s="53" customFormat="1" ht="20.149999999999999" customHeight="1">
      <c r="A505" s="44">
        <v>42552</v>
      </c>
      <c r="B505" s="49"/>
      <c r="C505" s="45" t="s">
        <v>20</v>
      </c>
      <c r="D505" s="89">
        <v>1.139</v>
      </c>
      <c r="E505" s="89">
        <v>811.04200000000003</v>
      </c>
      <c r="F505" s="90">
        <v>7.5</v>
      </c>
      <c r="G505" s="89">
        <v>6082.8150000000005</v>
      </c>
      <c r="H505" s="89">
        <v>1200</v>
      </c>
      <c r="I505" s="87">
        <v>7299384</v>
      </c>
      <c r="J505" s="54" t="s">
        <v>116</v>
      </c>
      <c r="K505" s="89" t="s">
        <v>124</v>
      </c>
      <c r="L505" s="45" t="s">
        <v>105</v>
      </c>
    </row>
    <row r="506" spans="1:12" s="53" customFormat="1" ht="20.149999999999999" customHeight="1">
      <c r="A506" s="44">
        <v>42552</v>
      </c>
      <c r="B506" s="49"/>
      <c r="C506" s="45" t="s">
        <v>20</v>
      </c>
      <c r="D506" s="89">
        <v>2.5999999999999999E-2</v>
      </c>
      <c r="E506" s="89">
        <v>18.5137</v>
      </c>
      <c r="F506" s="90">
        <v>7.5</v>
      </c>
      <c r="G506" s="89">
        <v>138.85275000000001</v>
      </c>
      <c r="H506" s="89">
        <v>1200</v>
      </c>
      <c r="I506" s="87">
        <v>166620</v>
      </c>
      <c r="J506" s="54" t="s">
        <v>116</v>
      </c>
      <c r="K506" s="89" t="s">
        <v>125</v>
      </c>
      <c r="L506" s="45" t="s">
        <v>105</v>
      </c>
    </row>
    <row r="507" spans="1:12" s="53" customFormat="1" ht="20.149999999999999" customHeight="1">
      <c r="A507" s="44">
        <v>42552</v>
      </c>
      <c r="B507" s="49"/>
      <c r="C507" s="45" t="s">
        <v>20</v>
      </c>
      <c r="D507" s="89">
        <v>1.6E-2</v>
      </c>
      <c r="E507" s="89">
        <v>11.393000000000001</v>
      </c>
      <c r="F507" s="90">
        <v>7.5</v>
      </c>
      <c r="G507" s="89">
        <v>85.447500000000005</v>
      </c>
      <c r="H507" s="89">
        <v>1200</v>
      </c>
      <c r="I507" s="87">
        <v>102540</v>
      </c>
      <c r="J507" s="54" t="s">
        <v>116</v>
      </c>
      <c r="K507" s="89" t="s">
        <v>131</v>
      </c>
      <c r="L507" s="45" t="s">
        <v>105</v>
      </c>
    </row>
    <row r="508" spans="1:12" s="53" customFormat="1" ht="20.149999999999999" customHeight="1">
      <c r="A508" s="44">
        <v>42552</v>
      </c>
      <c r="B508" s="49"/>
      <c r="C508" s="45" t="s">
        <v>20</v>
      </c>
      <c r="D508" s="89">
        <v>1.147</v>
      </c>
      <c r="E508" s="89">
        <v>816.73860000000002</v>
      </c>
      <c r="F508" s="90">
        <v>7.5</v>
      </c>
      <c r="G508" s="89">
        <v>6125.5394999999999</v>
      </c>
      <c r="H508" s="89">
        <v>1200</v>
      </c>
      <c r="I508" s="87">
        <v>7350648</v>
      </c>
      <c r="J508" s="54" t="s">
        <v>116</v>
      </c>
      <c r="K508" s="89" t="s">
        <v>126</v>
      </c>
      <c r="L508" s="45" t="s">
        <v>105</v>
      </c>
    </row>
    <row r="509" spans="1:12" s="53" customFormat="1" ht="20.149999999999999" customHeight="1">
      <c r="A509" s="44">
        <v>42552</v>
      </c>
      <c r="B509" s="49"/>
      <c r="C509" s="45" t="s">
        <v>20</v>
      </c>
      <c r="D509" s="89">
        <v>0.88</v>
      </c>
      <c r="E509" s="89">
        <v>626.61720000000003</v>
      </c>
      <c r="F509" s="90">
        <v>7.5</v>
      </c>
      <c r="G509" s="89">
        <v>4699.6289999999999</v>
      </c>
      <c r="H509" s="89">
        <v>1200</v>
      </c>
      <c r="I509" s="87">
        <v>5639556</v>
      </c>
      <c r="J509" s="54" t="s">
        <v>116</v>
      </c>
      <c r="K509" s="89" t="s">
        <v>158</v>
      </c>
      <c r="L509" s="45" t="s">
        <v>105</v>
      </c>
    </row>
    <row r="510" spans="1:12" s="53" customFormat="1" ht="20.149999999999999" customHeight="1">
      <c r="A510" s="44">
        <v>42552</v>
      </c>
      <c r="B510" s="49"/>
      <c r="C510" s="45" t="s">
        <v>20</v>
      </c>
      <c r="D510" s="89">
        <v>1.036</v>
      </c>
      <c r="E510" s="89">
        <v>737.69929999999999</v>
      </c>
      <c r="F510" s="90">
        <v>7.5</v>
      </c>
      <c r="G510" s="89">
        <v>5532.7447499999998</v>
      </c>
      <c r="H510" s="89">
        <v>1200</v>
      </c>
      <c r="I510" s="87">
        <v>6639288</v>
      </c>
      <c r="J510" s="54" t="s">
        <v>116</v>
      </c>
      <c r="K510" s="89" t="s">
        <v>127</v>
      </c>
      <c r="L510" s="45" t="s">
        <v>105</v>
      </c>
    </row>
    <row r="511" spans="1:12" s="53" customFormat="1" ht="20.149999999999999" customHeight="1">
      <c r="A511" s="44">
        <v>42552</v>
      </c>
      <c r="B511" s="49"/>
      <c r="C511" s="45" t="s">
        <v>20</v>
      </c>
      <c r="D511" s="89">
        <v>3.9E-2</v>
      </c>
      <c r="E511" s="89">
        <v>27.770499999999998</v>
      </c>
      <c r="F511" s="90">
        <v>7.5</v>
      </c>
      <c r="G511" s="89">
        <v>208.27875</v>
      </c>
      <c r="H511" s="89">
        <v>1200</v>
      </c>
      <c r="I511" s="87">
        <v>249936</v>
      </c>
      <c r="J511" s="54" t="s">
        <v>116</v>
      </c>
      <c r="K511" s="89" t="s">
        <v>128</v>
      </c>
      <c r="L511" s="45" t="s">
        <v>105</v>
      </c>
    </row>
    <row r="512" spans="1:12" s="53" customFormat="1" ht="20.149999999999999" customHeight="1">
      <c r="A512" s="44">
        <v>42552</v>
      </c>
      <c r="B512" s="49"/>
      <c r="C512" s="45" t="s">
        <v>20</v>
      </c>
      <c r="D512" s="89">
        <v>0.25800000000000001</v>
      </c>
      <c r="E512" s="89">
        <v>183.71279999999999</v>
      </c>
      <c r="F512" s="90">
        <v>7.5</v>
      </c>
      <c r="G512" s="89">
        <v>1377.846</v>
      </c>
      <c r="H512" s="89">
        <v>1200</v>
      </c>
      <c r="I512" s="87">
        <v>1653420</v>
      </c>
      <c r="J512" s="54" t="s">
        <v>116</v>
      </c>
      <c r="K512" s="89" t="s">
        <v>129</v>
      </c>
      <c r="L512" s="45" t="s">
        <v>105</v>
      </c>
    </row>
    <row r="513" spans="1:12" s="53" customFormat="1" ht="20.149999999999999" customHeight="1">
      <c r="A513" s="44">
        <v>42552</v>
      </c>
      <c r="B513" s="49"/>
      <c r="C513" s="45" t="s">
        <v>20</v>
      </c>
      <c r="D513" s="89">
        <v>1.7999999999999999E-2</v>
      </c>
      <c r="E513" s="89">
        <v>12.8172</v>
      </c>
      <c r="F513" s="90">
        <v>7.5</v>
      </c>
      <c r="G513" s="89">
        <v>96.128999999999991</v>
      </c>
      <c r="H513" s="89">
        <v>1200</v>
      </c>
      <c r="I513" s="87">
        <v>115356</v>
      </c>
      <c r="J513" s="54" t="s">
        <v>116</v>
      </c>
      <c r="K513" s="89" t="s">
        <v>130</v>
      </c>
      <c r="L513" s="45" t="s">
        <v>105</v>
      </c>
    </row>
    <row r="514" spans="1:12" s="53" customFormat="1" ht="20.149999999999999" customHeight="1">
      <c r="A514" s="44">
        <v>42552</v>
      </c>
      <c r="B514" s="49"/>
      <c r="C514" s="45" t="s">
        <v>20</v>
      </c>
      <c r="D514" s="89">
        <v>4.6360000000000001</v>
      </c>
      <c r="E514" s="89">
        <v>3301.1333</v>
      </c>
      <c r="F514" s="90">
        <v>7.5</v>
      </c>
      <c r="G514" s="89">
        <v>24758.499749999999</v>
      </c>
      <c r="H514" s="89">
        <v>1200</v>
      </c>
      <c r="I514" s="87">
        <v>29710200</v>
      </c>
      <c r="J514" s="54" t="s">
        <v>116</v>
      </c>
      <c r="K514" s="89" t="s">
        <v>132</v>
      </c>
      <c r="L514" s="45" t="s">
        <v>105</v>
      </c>
    </row>
    <row r="515" spans="1:12" s="53" customFormat="1" ht="20.149999999999999" customHeight="1">
      <c r="A515" s="44">
        <v>42552</v>
      </c>
      <c r="B515" s="49"/>
      <c r="C515" s="45" t="s">
        <v>20</v>
      </c>
      <c r="D515" s="89">
        <v>2.34</v>
      </c>
      <c r="E515" s="89">
        <v>1666.2320999999999</v>
      </c>
      <c r="F515" s="90">
        <v>7.5</v>
      </c>
      <c r="G515" s="89">
        <v>12496.740749999999</v>
      </c>
      <c r="H515" s="89">
        <v>1200</v>
      </c>
      <c r="I515" s="87">
        <v>14996088</v>
      </c>
      <c r="J515" s="54" t="s">
        <v>116</v>
      </c>
      <c r="K515" s="89" t="s">
        <v>133</v>
      </c>
      <c r="L515" s="45" t="s">
        <v>105</v>
      </c>
    </row>
    <row r="516" spans="1:12" s="53" customFormat="1" ht="20.149999999999999" customHeight="1">
      <c r="A516" s="44">
        <v>42552</v>
      </c>
      <c r="B516" s="49"/>
      <c r="C516" s="45" t="s">
        <v>20</v>
      </c>
      <c r="D516" s="89">
        <v>94.156999999999996</v>
      </c>
      <c r="E516" s="89">
        <v>67045.904200000004</v>
      </c>
      <c r="F516" s="90">
        <v>7.5</v>
      </c>
      <c r="G516" s="89">
        <v>502844.28150000004</v>
      </c>
      <c r="H516" s="89">
        <v>1200</v>
      </c>
      <c r="I516" s="87">
        <v>603413136</v>
      </c>
      <c r="J516" s="54" t="s">
        <v>116</v>
      </c>
      <c r="K516" s="89" t="s">
        <v>162</v>
      </c>
      <c r="L516" s="45" t="s">
        <v>105</v>
      </c>
    </row>
    <row r="517" spans="1:12" s="53" customFormat="1" ht="20.149999999999999" customHeight="1">
      <c r="A517" s="44">
        <v>42552</v>
      </c>
      <c r="B517" s="49"/>
      <c r="C517" s="45" t="s">
        <v>20</v>
      </c>
      <c r="D517" s="89">
        <v>1.857</v>
      </c>
      <c r="E517" s="89">
        <v>1322.3046999999999</v>
      </c>
      <c r="F517" s="90">
        <v>7.5</v>
      </c>
      <c r="G517" s="89">
        <v>9917.285249999999</v>
      </c>
      <c r="H517" s="89">
        <v>1200</v>
      </c>
      <c r="I517" s="87">
        <v>11900748.000000002</v>
      </c>
      <c r="J517" s="54" t="s">
        <v>116</v>
      </c>
      <c r="K517" s="89" t="s">
        <v>134</v>
      </c>
      <c r="L517" s="45" t="s">
        <v>105</v>
      </c>
    </row>
    <row r="518" spans="1:12" s="53" customFormat="1" ht="20.149999999999999" customHeight="1">
      <c r="A518" s="44">
        <v>42552</v>
      </c>
      <c r="B518" s="49"/>
      <c r="C518" s="45" t="s">
        <v>20</v>
      </c>
      <c r="D518" s="89">
        <v>1.6850000000000001</v>
      </c>
      <c r="E518" s="89">
        <v>1199.8295000000001</v>
      </c>
      <c r="F518" s="90">
        <v>7.5</v>
      </c>
      <c r="G518" s="89">
        <v>8998.7212500000005</v>
      </c>
      <c r="H518" s="89">
        <v>1200</v>
      </c>
      <c r="I518" s="87">
        <v>10798464</v>
      </c>
      <c r="J518" s="54" t="s">
        <v>116</v>
      </c>
      <c r="K518" s="89" t="s">
        <v>135</v>
      </c>
      <c r="L518" s="45" t="s">
        <v>105</v>
      </c>
    </row>
    <row r="519" spans="1:12" s="53" customFormat="1" ht="20.149999999999999" customHeight="1">
      <c r="A519" s="44">
        <v>42552</v>
      </c>
      <c r="B519" s="49"/>
      <c r="C519" s="45" t="s">
        <v>20</v>
      </c>
      <c r="D519" s="89">
        <v>198.75700000000001</v>
      </c>
      <c r="E519" s="89">
        <v>141527.9032</v>
      </c>
      <c r="F519" s="90">
        <v>7.5</v>
      </c>
      <c r="G519" s="89">
        <v>1061459.274</v>
      </c>
      <c r="H519" s="89">
        <v>1200</v>
      </c>
      <c r="I519" s="87">
        <v>1273751124</v>
      </c>
      <c r="J519" s="54" t="s">
        <v>116</v>
      </c>
      <c r="K519" s="89" t="s">
        <v>136</v>
      </c>
      <c r="L519" s="45" t="s">
        <v>105</v>
      </c>
    </row>
    <row r="520" spans="1:12" s="53" customFormat="1" ht="20.149999999999999" customHeight="1">
      <c r="A520" s="44">
        <v>42552</v>
      </c>
      <c r="B520" s="49"/>
      <c r="C520" s="45" t="s">
        <v>20</v>
      </c>
      <c r="D520" s="89">
        <v>0.64400000000000002</v>
      </c>
      <c r="E520" s="89">
        <v>458.56990000000002</v>
      </c>
      <c r="F520" s="90">
        <v>7.5</v>
      </c>
      <c r="G520" s="89">
        <v>3439.2742499999999</v>
      </c>
      <c r="H520" s="89">
        <v>1200</v>
      </c>
      <c r="I520" s="87">
        <v>4127124</v>
      </c>
      <c r="J520" s="54" t="s">
        <v>116</v>
      </c>
      <c r="K520" s="89" t="s">
        <v>146</v>
      </c>
      <c r="L520" s="45" t="s">
        <v>105</v>
      </c>
    </row>
    <row r="521" spans="1:12" s="53" customFormat="1" ht="20.149999999999999" customHeight="1">
      <c r="A521" s="44">
        <v>42552</v>
      </c>
      <c r="B521" s="49"/>
      <c r="C521" s="45" t="s">
        <v>20</v>
      </c>
      <c r="D521" s="89">
        <v>34.003999999999998</v>
      </c>
      <c r="E521" s="89">
        <v>24213.058300000001</v>
      </c>
      <c r="F521" s="90">
        <v>7.5</v>
      </c>
      <c r="G521" s="89">
        <v>181597.93725000002</v>
      </c>
      <c r="H521" s="89">
        <v>1200</v>
      </c>
      <c r="I521" s="87">
        <v>217917528</v>
      </c>
      <c r="J521" s="54" t="s">
        <v>116</v>
      </c>
      <c r="K521" s="89" t="s">
        <v>161</v>
      </c>
      <c r="L521" s="45" t="s">
        <v>105</v>
      </c>
    </row>
    <row r="522" spans="1:12" s="53" customFormat="1" ht="20.149999999999999" customHeight="1">
      <c r="A522" s="44">
        <v>42552</v>
      </c>
      <c r="B522" s="49"/>
      <c r="C522" s="45" t="s">
        <v>20</v>
      </c>
      <c r="D522" s="89">
        <v>0.49099999999999999</v>
      </c>
      <c r="E522" s="89">
        <v>349.62389999999999</v>
      </c>
      <c r="F522" s="90">
        <v>7.5</v>
      </c>
      <c r="G522" s="89">
        <v>2622.1792500000001</v>
      </c>
      <c r="H522" s="89">
        <v>1200</v>
      </c>
      <c r="I522" s="87">
        <v>3146616</v>
      </c>
      <c r="J522" s="54" t="s">
        <v>116</v>
      </c>
      <c r="K522" s="89" t="s">
        <v>138</v>
      </c>
      <c r="L522" s="45" t="s">
        <v>105</v>
      </c>
    </row>
    <row r="523" spans="1:12" s="53" customFormat="1" ht="20.149999999999999" customHeight="1">
      <c r="A523" s="44">
        <v>42552</v>
      </c>
      <c r="B523" s="49"/>
      <c r="C523" s="45" t="s">
        <v>20</v>
      </c>
      <c r="D523" s="89">
        <v>271.03199999999998</v>
      </c>
      <c r="E523" s="89">
        <v>192992.40109999999</v>
      </c>
      <c r="F523" s="90">
        <v>7.5</v>
      </c>
      <c r="G523" s="89">
        <v>1447443.00825</v>
      </c>
      <c r="H523" s="89">
        <v>1200</v>
      </c>
      <c r="I523" s="87">
        <v>1736931612</v>
      </c>
      <c r="J523" s="54" t="s">
        <v>116</v>
      </c>
      <c r="K523" s="89" t="s">
        <v>139</v>
      </c>
      <c r="L523" s="45" t="s">
        <v>105</v>
      </c>
    </row>
    <row r="524" spans="1:12" s="53" customFormat="1" ht="20.149999999999999" customHeight="1">
      <c r="A524" s="44">
        <v>42552</v>
      </c>
      <c r="B524" s="49"/>
      <c r="C524" s="45" t="s">
        <v>20</v>
      </c>
      <c r="D524" s="89">
        <v>0.35699999999999998</v>
      </c>
      <c r="E524" s="89">
        <v>254.2072</v>
      </c>
      <c r="F524" s="90">
        <v>7.5</v>
      </c>
      <c r="G524" s="89">
        <v>1906.5540000000001</v>
      </c>
      <c r="H524" s="89">
        <v>1200</v>
      </c>
      <c r="I524" s="87">
        <v>2287860</v>
      </c>
      <c r="J524" s="54" t="s">
        <v>116</v>
      </c>
      <c r="K524" s="89" t="s">
        <v>140</v>
      </c>
      <c r="L524" s="45" t="s">
        <v>105</v>
      </c>
    </row>
    <row r="525" spans="1:12" s="53" customFormat="1" ht="20.149999999999999" customHeight="1">
      <c r="A525" s="44">
        <v>42552</v>
      </c>
      <c r="B525" s="49"/>
      <c r="C525" s="45" t="s">
        <v>20</v>
      </c>
      <c r="D525" s="89">
        <v>978.51800000000003</v>
      </c>
      <c r="E525" s="89">
        <v>696768.41969999997</v>
      </c>
      <c r="F525" s="90">
        <v>7.5</v>
      </c>
      <c r="G525" s="89">
        <v>5225763.1477499995</v>
      </c>
      <c r="H525" s="89">
        <v>1200</v>
      </c>
      <c r="I525" s="87">
        <v>6270915780</v>
      </c>
      <c r="J525" s="54" t="s">
        <v>116</v>
      </c>
      <c r="K525" s="89" t="s">
        <v>141</v>
      </c>
      <c r="L525" s="45" t="s">
        <v>105</v>
      </c>
    </row>
    <row r="526" spans="1:12" s="53" customFormat="1" ht="20.149999999999999" customHeight="1">
      <c r="A526" s="44">
        <v>42552</v>
      </c>
      <c r="B526" s="49"/>
      <c r="C526" s="45" t="s">
        <v>20</v>
      </c>
      <c r="D526" s="89">
        <v>1224.5640000000001</v>
      </c>
      <c r="E526" s="89">
        <v>871969.16469999996</v>
      </c>
      <c r="F526" s="90">
        <v>7.5</v>
      </c>
      <c r="G526" s="89">
        <v>6539768.7352499999</v>
      </c>
      <c r="H526" s="89">
        <v>1200</v>
      </c>
      <c r="I526" s="87">
        <v>7847722488</v>
      </c>
      <c r="J526" s="54" t="s">
        <v>116</v>
      </c>
      <c r="K526" s="89" t="s">
        <v>142</v>
      </c>
      <c r="L526" s="45" t="s">
        <v>105</v>
      </c>
    </row>
    <row r="527" spans="1:12" s="53" customFormat="1" ht="20.149999999999999" customHeight="1">
      <c r="A527" s="44">
        <v>42552</v>
      </c>
      <c r="B527" s="49"/>
      <c r="C527" s="45" t="s">
        <v>20</v>
      </c>
      <c r="D527" s="89">
        <v>1466.0609999999999</v>
      </c>
      <c r="E527" s="89">
        <v>1043930.726</v>
      </c>
      <c r="F527" s="90">
        <v>7.5</v>
      </c>
      <c r="G527" s="89">
        <v>7829480.4450000003</v>
      </c>
      <c r="H527" s="89">
        <v>1200</v>
      </c>
      <c r="I527" s="87">
        <v>9395376540</v>
      </c>
      <c r="J527" s="54" t="s">
        <v>116</v>
      </c>
      <c r="K527" s="89" t="s">
        <v>143</v>
      </c>
      <c r="L527" s="45" t="s">
        <v>105</v>
      </c>
    </row>
    <row r="528" spans="1:12" s="53" customFormat="1" ht="20.149999999999999" customHeight="1">
      <c r="A528" s="44">
        <v>42552</v>
      </c>
      <c r="B528" s="49"/>
      <c r="C528" s="45" t="s">
        <v>20</v>
      </c>
      <c r="D528" s="89">
        <v>621.45899999999995</v>
      </c>
      <c r="E528" s="89">
        <v>442519.20280000003</v>
      </c>
      <c r="F528" s="90">
        <v>7.5</v>
      </c>
      <c r="G528" s="89">
        <v>3318894.0210000002</v>
      </c>
      <c r="H528" s="89">
        <v>1200</v>
      </c>
      <c r="I528" s="87">
        <v>3982672824</v>
      </c>
      <c r="J528" s="54" t="s">
        <v>116</v>
      </c>
      <c r="K528" s="89" t="s">
        <v>144</v>
      </c>
      <c r="L528" s="45" t="s">
        <v>105</v>
      </c>
    </row>
    <row r="529" spans="1:12" s="53" customFormat="1" ht="20.149999999999999" customHeight="1">
      <c r="A529" s="44">
        <v>42552</v>
      </c>
      <c r="B529" s="49"/>
      <c r="C529" s="45" t="s">
        <v>20</v>
      </c>
      <c r="D529" s="89">
        <v>7.0000000000000007E-2</v>
      </c>
      <c r="E529" s="89">
        <v>49.8446</v>
      </c>
      <c r="F529" s="90">
        <v>7.5</v>
      </c>
      <c r="G529" s="89">
        <v>373.83449999999999</v>
      </c>
      <c r="H529" s="89">
        <v>1200</v>
      </c>
      <c r="I529" s="87">
        <v>448596</v>
      </c>
      <c r="J529" s="54" t="s">
        <v>116</v>
      </c>
      <c r="K529" s="89" t="s">
        <v>163</v>
      </c>
      <c r="L529" s="45" t="s">
        <v>105</v>
      </c>
    </row>
    <row r="530" spans="1:12" s="53" customFormat="1" ht="20.149999999999999" customHeight="1">
      <c r="A530" s="44">
        <v>42552</v>
      </c>
      <c r="B530" s="49"/>
      <c r="C530" s="45" t="s">
        <v>20</v>
      </c>
      <c r="D530" s="89">
        <v>0.35799999999999998</v>
      </c>
      <c r="E530" s="89">
        <v>254.91929999999999</v>
      </c>
      <c r="F530" s="90">
        <v>2.4371999999999998</v>
      </c>
      <c r="G530" s="89">
        <v>872.5175999999999</v>
      </c>
      <c r="H530" s="89">
        <v>1200</v>
      </c>
      <c r="I530" s="87">
        <v>1047024</v>
      </c>
      <c r="J530" s="54" t="s">
        <v>116</v>
      </c>
      <c r="K530" s="89" t="s">
        <v>147</v>
      </c>
      <c r="L530" s="45" t="s">
        <v>105</v>
      </c>
    </row>
    <row r="531" spans="1:12" s="53" customFormat="1" ht="20.149999999999999" customHeight="1">
      <c r="A531" s="44">
        <v>42552</v>
      </c>
      <c r="B531" s="49"/>
      <c r="C531" s="45" t="s">
        <v>20</v>
      </c>
      <c r="D531" s="89">
        <v>2.0099999999999998</v>
      </c>
      <c r="E531" s="89">
        <v>1431.2507000000001</v>
      </c>
      <c r="F531" s="90">
        <v>2.4371999999999998</v>
      </c>
      <c r="G531" s="89">
        <v>4898.771999999999</v>
      </c>
      <c r="H531" s="89">
        <v>1200</v>
      </c>
      <c r="I531" s="87">
        <v>5878524.0000000009</v>
      </c>
      <c r="J531" s="54" t="s">
        <v>116</v>
      </c>
      <c r="K531" s="89" t="s">
        <v>148</v>
      </c>
      <c r="L531" s="45" t="s">
        <v>105</v>
      </c>
    </row>
    <row r="532" spans="1:12" s="53" customFormat="1" ht="20.149999999999999" customHeight="1">
      <c r="A532" s="44">
        <v>42552</v>
      </c>
      <c r="B532" s="49"/>
      <c r="C532" s="45" t="s">
        <v>20</v>
      </c>
      <c r="D532" s="89">
        <v>0.3</v>
      </c>
      <c r="E532" s="89">
        <v>213.61949999999999</v>
      </c>
      <c r="F532" s="90">
        <v>2.4371999999999998</v>
      </c>
      <c r="G532" s="89">
        <v>731.16</v>
      </c>
      <c r="H532" s="89">
        <v>1200</v>
      </c>
      <c r="I532" s="87">
        <v>877392</v>
      </c>
      <c r="J532" s="54" t="s">
        <v>116</v>
      </c>
      <c r="K532" s="89" t="s">
        <v>149</v>
      </c>
      <c r="L532" s="45" t="s">
        <v>105</v>
      </c>
    </row>
    <row r="533" spans="1:12" s="53" customFormat="1" ht="20.149999999999999" customHeight="1">
      <c r="A533" s="44">
        <v>42552</v>
      </c>
      <c r="B533" s="49"/>
      <c r="C533" s="45" t="s">
        <v>20</v>
      </c>
      <c r="D533" s="89">
        <v>0.28699999999999998</v>
      </c>
      <c r="E533" s="89">
        <v>204.36269999999999</v>
      </c>
      <c r="F533" s="90">
        <v>2.4371999999999998</v>
      </c>
      <c r="G533" s="89">
        <v>699.46639999999991</v>
      </c>
      <c r="H533" s="89">
        <v>1200</v>
      </c>
      <c r="I533" s="87">
        <v>839364</v>
      </c>
      <c r="J533" s="54" t="s">
        <v>116</v>
      </c>
      <c r="K533" s="89" t="s">
        <v>150</v>
      </c>
      <c r="L533" s="45" t="s">
        <v>105</v>
      </c>
    </row>
    <row r="534" spans="1:12" s="53" customFormat="1" ht="20.149999999999999" customHeight="1">
      <c r="A534" s="44">
        <v>42552</v>
      </c>
      <c r="B534" s="49"/>
      <c r="C534" s="45" t="s">
        <v>20</v>
      </c>
      <c r="D534" s="89">
        <v>7.8E-2</v>
      </c>
      <c r="E534" s="89">
        <v>55.5411</v>
      </c>
      <c r="F534" s="90">
        <v>2.4371999999999998</v>
      </c>
      <c r="G534" s="89">
        <v>190.10159999999999</v>
      </c>
      <c r="H534" s="89">
        <v>1200</v>
      </c>
      <c r="I534" s="87">
        <v>228120</v>
      </c>
      <c r="J534" s="54" t="s">
        <v>116</v>
      </c>
      <c r="K534" s="89" t="s">
        <v>151</v>
      </c>
      <c r="L534" s="45" t="s">
        <v>105</v>
      </c>
    </row>
    <row r="535" spans="1:12" s="53" customFormat="1" ht="20.149999999999999" customHeight="1">
      <c r="A535" s="44">
        <v>42552</v>
      </c>
      <c r="B535" s="49"/>
      <c r="C535" s="45" t="s">
        <v>20</v>
      </c>
      <c r="D535" s="89">
        <v>1.264</v>
      </c>
      <c r="E535" s="89">
        <v>900.05020000000002</v>
      </c>
      <c r="F535" s="90">
        <v>2.4371999999999998</v>
      </c>
      <c r="G535" s="89">
        <v>3080.6207999999997</v>
      </c>
      <c r="H535" s="89">
        <v>1200</v>
      </c>
      <c r="I535" s="87">
        <v>3696744</v>
      </c>
      <c r="J535" s="54" t="s">
        <v>116</v>
      </c>
      <c r="K535" s="89" t="s">
        <v>152</v>
      </c>
      <c r="L535" s="45" t="s">
        <v>105</v>
      </c>
    </row>
    <row r="536" spans="1:12" s="53" customFormat="1" ht="20.149999999999999" customHeight="1">
      <c r="A536" s="44">
        <v>42552</v>
      </c>
      <c r="B536" s="49"/>
      <c r="C536" s="45" t="s">
        <v>20</v>
      </c>
      <c r="D536" s="89">
        <v>4.0229999999999997</v>
      </c>
      <c r="E536" s="89">
        <v>2864.6374999999998</v>
      </c>
      <c r="F536" s="90">
        <v>2.4371999999999998</v>
      </c>
      <c r="G536" s="89">
        <v>9804.8555999999971</v>
      </c>
      <c r="H536" s="89">
        <v>1200</v>
      </c>
      <c r="I536" s="87">
        <v>11765832</v>
      </c>
      <c r="J536" s="54" t="s">
        <v>116</v>
      </c>
      <c r="K536" s="89" t="s">
        <v>159</v>
      </c>
      <c r="L536" s="45" t="s">
        <v>105</v>
      </c>
    </row>
    <row r="537" spans="1:12" s="53" customFormat="1" ht="20.149999999999999" customHeight="1">
      <c r="A537" s="44">
        <v>42552</v>
      </c>
      <c r="B537" s="49"/>
      <c r="C537" s="45" t="s">
        <v>20</v>
      </c>
      <c r="D537" s="89">
        <v>6.0469999999999997</v>
      </c>
      <c r="E537" s="89">
        <v>4305.8571000000002</v>
      </c>
      <c r="F537" s="90">
        <v>2.4371999999999998</v>
      </c>
      <c r="G537" s="89">
        <v>14737.748399999997</v>
      </c>
      <c r="H537" s="89">
        <v>1200</v>
      </c>
      <c r="I537" s="87">
        <v>17685300</v>
      </c>
      <c r="J537" s="54" t="s">
        <v>116</v>
      </c>
      <c r="K537" s="89" t="s">
        <v>153</v>
      </c>
      <c r="L537" s="45" t="s">
        <v>105</v>
      </c>
    </row>
    <row r="538" spans="1:12" s="53" customFormat="1" ht="20.149999999999999" customHeight="1">
      <c r="A538" s="44">
        <v>42552</v>
      </c>
      <c r="B538" s="49"/>
      <c r="C538" s="45" t="s">
        <v>20</v>
      </c>
      <c r="D538" s="89">
        <v>0.82399999999999995</v>
      </c>
      <c r="E538" s="89">
        <v>586.74159999999995</v>
      </c>
      <c r="F538" s="90">
        <v>2.4371999999999998</v>
      </c>
      <c r="G538" s="89">
        <v>2008.2527999999998</v>
      </c>
      <c r="H538" s="89">
        <v>1200</v>
      </c>
      <c r="I538" s="87">
        <v>2409900</v>
      </c>
      <c r="J538" s="54" t="s">
        <v>116</v>
      </c>
      <c r="K538" s="89" t="s">
        <v>154</v>
      </c>
      <c r="L538" s="45" t="s">
        <v>105</v>
      </c>
    </row>
    <row r="539" spans="1:12" s="53" customFormat="1" ht="20.149999999999999" customHeight="1">
      <c r="A539" s="44">
        <v>42552</v>
      </c>
      <c r="B539" s="49"/>
      <c r="C539" s="45" t="s">
        <v>20</v>
      </c>
      <c r="D539" s="89">
        <v>3.8639999999999999</v>
      </c>
      <c r="E539" s="89">
        <v>2751.4191999999998</v>
      </c>
      <c r="F539" s="90">
        <v>2.4371999999999998</v>
      </c>
      <c r="G539" s="89">
        <v>9417.3407999999999</v>
      </c>
      <c r="H539" s="89">
        <v>1200</v>
      </c>
      <c r="I539" s="87">
        <v>11300808</v>
      </c>
      <c r="J539" s="54" t="s">
        <v>116</v>
      </c>
      <c r="K539" s="89" t="s">
        <v>155</v>
      </c>
      <c r="L539" s="45" t="s">
        <v>105</v>
      </c>
    </row>
    <row r="540" spans="1:12" s="53" customFormat="1" ht="20.149999999999999" customHeight="1">
      <c r="A540" s="44">
        <v>42552</v>
      </c>
      <c r="B540" s="49"/>
      <c r="C540" s="45" t="s">
        <v>20</v>
      </c>
      <c r="D540" s="89">
        <v>1.538</v>
      </c>
      <c r="E540" s="89">
        <v>1095.1559999999999</v>
      </c>
      <c r="F540" s="90">
        <v>2.4371999999999998</v>
      </c>
      <c r="G540" s="89">
        <v>3748.4236000000001</v>
      </c>
      <c r="H540" s="89">
        <v>1200</v>
      </c>
      <c r="I540" s="87">
        <v>4498104</v>
      </c>
      <c r="J540" s="54" t="s">
        <v>116</v>
      </c>
      <c r="K540" s="89" t="s">
        <v>160</v>
      </c>
      <c r="L540" s="45" t="s">
        <v>105</v>
      </c>
    </row>
    <row r="541" spans="1:12" s="53" customFormat="1" ht="20.149999999999999" customHeight="1">
      <c r="A541" s="44">
        <v>42552</v>
      </c>
      <c r="B541" s="49"/>
      <c r="C541" s="45" t="s">
        <v>20</v>
      </c>
      <c r="D541" s="89">
        <v>0.255</v>
      </c>
      <c r="E541" s="89">
        <v>181.57660000000001</v>
      </c>
      <c r="F541" s="90">
        <v>2.4371999999999998</v>
      </c>
      <c r="G541" s="89">
        <v>621.48599999999999</v>
      </c>
      <c r="H541" s="89">
        <v>1200</v>
      </c>
      <c r="I541" s="87">
        <v>745788</v>
      </c>
      <c r="J541" s="54" t="s">
        <v>116</v>
      </c>
      <c r="K541" s="89" t="s">
        <v>156</v>
      </c>
      <c r="L541" s="45" t="s">
        <v>105</v>
      </c>
    </row>
    <row r="542" spans="1:12" s="53" customFormat="1" ht="20.149999999999999" customHeight="1">
      <c r="A542" s="44">
        <v>42552</v>
      </c>
      <c r="B542" s="49"/>
      <c r="C542" s="45" t="s">
        <v>20</v>
      </c>
      <c r="D542" s="89">
        <v>0.19700000000000001</v>
      </c>
      <c r="E542" s="89">
        <v>140.27680000000001</v>
      </c>
      <c r="F542" s="90">
        <v>2.4371999999999998</v>
      </c>
      <c r="G542" s="89">
        <v>480.1284</v>
      </c>
      <c r="H542" s="89">
        <v>1200</v>
      </c>
      <c r="I542" s="87">
        <v>576156</v>
      </c>
      <c r="J542" s="54" t="s">
        <v>116</v>
      </c>
      <c r="K542" s="89" t="s">
        <v>157</v>
      </c>
      <c r="L542" s="45" t="s">
        <v>105</v>
      </c>
    </row>
    <row r="543" spans="1:12" s="53" customFormat="1" ht="20.149999999999999" customHeight="1">
      <c r="A543" s="44"/>
      <c r="B543" s="49"/>
      <c r="C543" s="45"/>
      <c r="D543" s="89"/>
      <c r="E543" s="89"/>
      <c r="F543" s="90"/>
      <c r="G543" s="89"/>
      <c r="H543" s="89"/>
      <c r="I543" s="88"/>
      <c r="J543" s="54"/>
      <c r="K543" s="89"/>
      <c r="L543" s="45"/>
    </row>
    <row r="544" spans="1:12" s="53" customFormat="1" ht="20.149999999999999" customHeight="1">
      <c r="A544" s="44">
        <v>42583</v>
      </c>
      <c r="B544" s="49"/>
      <c r="C544" s="45" t="s">
        <v>20</v>
      </c>
      <c r="D544" s="89">
        <v>1.474</v>
      </c>
      <c r="E544" s="89">
        <v>1049.7135000000001</v>
      </c>
      <c r="F544" s="90">
        <v>7.5</v>
      </c>
      <c r="G544" s="89">
        <v>7872.8512500000006</v>
      </c>
      <c r="H544" s="89">
        <v>1200</v>
      </c>
      <c r="I544" s="87">
        <v>9447420</v>
      </c>
      <c r="J544" s="54" t="s">
        <v>116</v>
      </c>
      <c r="K544" s="89" t="s">
        <v>117</v>
      </c>
      <c r="L544" s="45" t="s">
        <v>105</v>
      </c>
    </row>
    <row r="545" spans="1:12" s="53" customFormat="1" ht="20.149999999999999" customHeight="1">
      <c r="A545" s="44">
        <v>42583</v>
      </c>
      <c r="B545" s="49"/>
      <c r="C545" s="45" t="s">
        <v>20</v>
      </c>
      <c r="D545" s="89">
        <v>0.59299999999999997</v>
      </c>
      <c r="E545" s="89">
        <v>422.30672900000002</v>
      </c>
      <c r="F545" s="90">
        <v>7.5</v>
      </c>
      <c r="G545" s="89">
        <v>3167.3004675000002</v>
      </c>
      <c r="H545" s="89">
        <v>1200</v>
      </c>
      <c r="I545" s="87">
        <v>3800760</v>
      </c>
      <c r="J545" s="54" t="s">
        <v>116</v>
      </c>
      <c r="K545" s="89" t="s">
        <v>118</v>
      </c>
      <c r="L545" s="45" t="s">
        <v>105</v>
      </c>
    </row>
    <row r="546" spans="1:12" s="53" customFormat="1" ht="20.149999999999999" customHeight="1">
      <c r="A546" s="44">
        <v>42583</v>
      </c>
      <c r="B546" s="49"/>
      <c r="C546" s="45" t="s">
        <v>20</v>
      </c>
      <c r="D546" s="89">
        <v>10.742000000000001</v>
      </c>
      <c r="E546" s="89">
        <v>7649.9475260000008</v>
      </c>
      <c r="F546" s="90">
        <v>7.5</v>
      </c>
      <c r="G546" s="89">
        <v>57374.606445000005</v>
      </c>
      <c r="H546" s="89">
        <v>1200</v>
      </c>
      <c r="I546" s="87">
        <v>68849532</v>
      </c>
      <c r="J546" s="54" t="s">
        <v>116</v>
      </c>
      <c r="K546" s="89" t="s">
        <v>119</v>
      </c>
      <c r="L546" s="45" t="s">
        <v>105</v>
      </c>
    </row>
    <row r="547" spans="1:12" s="53" customFormat="1" ht="20.149999999999999" customHeight="1">
      <c r="A547" s="44">
        <v>42583</v>
      </c>
      <c r="B547" s="49"/>
      <c r="C547" s="45" t="s">
        <v>20</v>
      </c>
      <c r="D547" s="89">
        <v>2.6970000000000001</v>
      </c>
      <c r="E547" s="89">
        <v>1920.676641</v>
      </c>
      <c r="F547" s="90">
        <v>7.5</v>
      </c>
      <c r="G547" s="89">
        <v>14405.074807500001</v>
      </c>
      <c r="H547" s="89">
        <v>1200</v>
      </c>
      <c r="I547" s="87">
        <v>17286084</v>
      </c>
      <c r="J547" s="54" t="s">
        <v>116</v>
      </c>
      <c r="K547" s="89" t="s">
        <v>120</v>
      </c>
      <c r="L547" s="45" t="s">
        <v>105</v>
      </c>
    </row>
    <row r="548" spans="1:12" s="53" customFormat="1" ht="20.149999999999999" customHeight="1">
      <c r="A548" s="44">
        <v>42583</v>
      </c>
      <c r="B548" s="49"/>
      <c r="C548" s="45" t="s">
        <v>20</v>
      </c>
      <c r="D548" s="89">
        <v>0.27900000000000003</v>
      </c>
      <c r="E548" s="89">
        <v>198.69068700000003</v>
      </c>
      <c r="F548" s="90">
        <v>7.5</v>
      </c>
      <c r="G548" s="89">
        <v>1490.1801525000001</v>
      </c>
      <c r="H548" s="89">
        <v>1200</v>
      </c>
      <c r="I548" s="87">
        <v>1788216</v>
      </c>
      <c r="J548" s="54" t="s">
        <v>116</v>
      </c>
      <c r="K548" s="89" t="s">
        <v>121</v>
      </c>
      <c r="L548" s="45" t="s">
        <v>105</v>
      </c>
    </row>
    <row r="549" spans="1:12" s="53" customFormat="1" ht="20.149999999999999" customHeight="1">
      <c r="A549" s="44">
        <v>42583</v>
      </c>
      <c r="B549" s="49"/>
      <c r="C549" s="45" t="s">
        <v>20</v>
      </c>
      <c r="D549" s="89">
        <v>0.63</v>
      </c>
      <c r="E549" s="89">
        <v>448.65638999999999</v>
      </c>
      <c r="F549" s="90">
        <v>7.5</v>
      </c>
      <c r="G549" s="89">
        <v>3364.9229249999999</v>
      </c>
      <c r="H549" s="89">
        <v>1200</v>
      </c>
      <c r="I549" s="87">
        <v>4037904</v>
      </c>
      <c r="J549" s="54" t="s">
        <v>116</v>
      </c>
      <c r="K549" s="89" t="s">
        <v>122</v>
      </c>
      <c r="L549" s="45" t="s">
        <v>105</v>
      </c>
    </row>
    <row r="550" spans="1:12" s="53" customFormat="1" ht="20.149999999999999" customHeight="1">
      <c r="A550" s="44">
        <v>42583</v>
      </c>
      <c r="B550" s="49"/>
      <c r="C550" s="45" t="s">
        <v>20</v>
      </c>
      <c r="D550" s="89">
        <v>13.384</v>
      </c>
      <c r="E550" s="89">
        <v>9531.4557519999998</v>
      </c>
      <c r="F550" s="90">
        <v>7.5</v>
      </c>
      <c r="G550" s="89">
        <v>71485.918139999994</v>
      </c>
      <c r="H550" s="89">
        <v>1200</v>
      </c>
      <c r="I550" s="87">
        <v>85783104</v>
      </c>
      <c r="J550" s="54" t="s">
        <v>116</v>
      </c>
      <c r="K550" s="89" t="s">
        <v>123</v>
      </c>
      <c r="L550" s="45" t="s">
        <v>105</v>
      </c>
    </row>
    <row r="551" spans="1:12" s="53" customFormat="1" ht="20.149999999999999" customHeight="1">
      <c r="A551" s="44">
        <v>42583</v>
      </c>
      <c r="B551" s="49"/>
      <c r="C551" s="45" t="s">
        <v>20</v>
      </c>
      <c r="D551" s="89">
        <v>1.4430000000000001</v>
      </c>
      <c r="E551" s="89">
        <v>1027.6367790000002</v>
      </c>
      <c r="F551" s="90">
        <v>7.5</v>
      </c>
      <c r="G551" s="89">
        <v>7707.2758425000011</v>
      </c>
      <c r="H551" s="89">
        <v>1200</v>
      </c>
      <c r="I551" s="87">
        <v>9248736</v>
      </c>
      <c r="J551" s="54" t="s">
        <v>116</v>
      </c>
      <c r="K551" s="89" t="s">
        <v>124</v>
      </c>
      <c r="L551" s="45" t="s">
        <v>105</v>
      </c>
    </row>
    <row r="552" spans="1:12" s="53" customFormat="1" ht="20.149999999999999" customHeight="1">
      <c r="A552" s="44">
        <v>42583</v>
      </c>
      <c r="B552" s="49"/>
      <c r="C552" s="45" t="s">
        <v>20</v>
      </c>
      <c r="D552" s="89">
        <v>2.8000000000000001E-2</v>
      </c>
      <c r="E552" s="89">
        <v>19.940284000000002</v>
      </c>
      <c r="F552" s="90">
        <v>7.5</v>
      </c>
      <c r="G552" s="89">
        <v>149.55213000000001</v>
      </c>
      <c r="H552" s="89">
        <v>1200</v>
      </c>
      <c r="I552" s="87">
        <v>179460</v>
      </c>
      <c r="J552" s="54" t="s">
        <v>116</v>
      </c>
      <c r="K552" s="89" t="s">
        <v>125</v>
      </c>
      <c r="L552" s="45" t="s">
        <v>105</v>
      </c>
    </row>
    <row r="553" spans="1:12" s="53" customFormat="1" ht="20.149999999999999" customHeight="1">
      <c r="A553" s="44">
        <v>42583</v>
      </c>
      <c r="B553" s="49"/>
      <c r="C553" s="45" t="s">
        <v>20</v>
      </c>
      <c r="D553" s="89">
        <v>0.02</v>
      </c>
      <c r="E553" s="89">
        <v>14.24306</v>
      </c>
      <c r="F553" s="90">
        <v>7.5</v>
      </c>
      <c r="G553" s="89">
        <v>106.82294999999999</v>
      </c>
      <c r="H553" s="89">
        <v>1200</v>
      </c>
      <c r="I553" s="87">
        <v>128183.99999999999</v>
      </c>
      <c r="J553" s="54" t="s">
        <v>116</v>
      </c>
      <c r="K553" s="89" t="s">
        <v>131</v>
      </c>
      <c r="L553" s="45" t="s">
        <v>105</v>
      </c>
    </row>
    <row r="554" spans="1:12" s="53" customFormat="1" ht="20.149999999999999" customHeight="1">
      <c r="A554" s="44">
        <v>42583</v>
      </c>
      <c r="B554" s="49"/>
      <c r="C554" s="45" t="s">
        <v>20</v>
      </c>
      <c r="D554" s="89">
        <v>1.258</v>
      </c>
      <c r="E554" s="89">
        <v>895.88847399999997</v>
      </c>
      <c r="F554" s="90">
        <v>7.5</v>
      </c>
      <c r="G554" s="89">
        <v>6719.1635550000001</v>
      </c>
      <c r="H554" s="89">
        <v>1200</v>
      </c>
      <c r="I554" s="87">
        <v>8062992</v>
      </c>
      <c r="J554" s="54" t="s">
        <v>116</v>
      </c>
      <c r="K554" s="89" t="s">
        <v>126</v>
      </c>
      <c r="L554" s="45" t="s">
        <v>105</v>
      </c>
    </row>
    <row r="555" spans="1:12" s="53" customFormat="1" ht="20.149999999999999" customHeight="1">
      <c r="A555" s="44">
        <v>42583</v>
      </c>
      <c r="B555" s="49"/>
      <c r="C555" s="45" t="s">
        <v>20</v>
      </c>
      <c r="D555" s="89">
        <v>1.609</v>
      </c>
      <c r="E555" s="89">
        <v>1145.8541769999999</v>
      </c>
      <c r="F555" s="90">
        <v>7.5</v>
      </c>
      <c r="G555" s="89">
        <v>8593.906327499999</v>
      </c>
      <c r="H555" s="89">
        <v>1200</v>
      </c>
      <c r="I555" s="87">
        <v>10312692</v>
      </c>
      <c r="J555" s="54" t="s">
        <v>116</v>
      </c>
      <c r="K555" s="89" t="s">
        <v>158</v>
      </c>
      <c r="L555" s="45" t="s">
        <v>105</v>
      </c>
    </row>
    <row r="556" spans="1:12" s="53" customFormat="1" ht="20.149999999999999" customHeight="1">
      <c r="A556" s="44">
        <v>42583</v>
      </c>
      <c r="B556" s="49"/>
      <c r="C556" s="45" t="s">
        <v>20</v>
      </c>
      <c r="D556" s="89">
        <v>1.552</v>
      </c>
      <c r="E556" s="89">
        <v>1105.261456</v>
      </c>
      <c r="F556" s="90">
        <v>7.5</v>
      </c>
      <c r="G556" s="89">
        <v>8289.4609199999995</v>
      </c>
      <c r="H556" s="89">
        <v>1200</v>
      </c>
      <c r="I556" s="87">
        <v>9947351.9999999981</v>
      </c>
      <c r="J556" s="54" t="s">
        <v>116</v>
      </c>
      <c r="K556" s="89" t="s">
        <v>127</v>
      </c>
      <c r="L556" s="45" t="s">
        <v>105</v>
      </c>
    </row>
    <row r="557" spans="1:12" s="53" customFormat="1" ht="20.149999999999999" customHeight="1">
      <c r="A557" s="44">
        <v>42583</v>
      </c>
      <c r="B557" s="49"/>
      <c r="C557" s="45" t="s">
        <v>20</v>
      </c>
      <c r="D557" s="89">
        <v>7.1999999999999995E-2</v>
      </c>
      <c r="E557" s="89">
        <v>51.275016000000001</v>
      </c>
      <c r="F557" s="90">
        <v>7.5</v>
      </c>
      <c r="G557" s="89">
        <v>384.56261999999998</v>
      </c>
      <c r="H557" s="89">
        <v>1200</v>
      </c>
      <c r="I557" s="87">
        <v>461472</v>
      </c>
      <c r="J557" s="54" t="s">
        <v>116</v>
      </c>
      <c r="K557" s="89" t="s">
        <v>128</v>
      </c>
      <c r="L557" s="45" t="s">
        <v>105</v>
      </c>
    </row>
    <row r="558" spans="1:12" s="53" customFormat="1" ht="20.149999999999999" customHeight="1">
      <c r="A558" s="44">
        <v>42583</v>
      </c>
      <c r="B558" s="49"/>
      <c r="C558" s="45" t="s">
        <v>20</v>
      </c>
      <c r="D558" s="89">
        <v>0.23300000000000001</v>
      </c>
      <c r="E558" s="89">
        <v>165.93164900000002</v>
      </c>
      <c r="F558" s="90">
        <v>7.5</v>
      </c>
      <c r="G558" s="89">
        <v>1244.4873675000001</v>
      </c>
      <c r="H558" s="89">
        <v>1200</v>
      </c>
      <c r="I558" s="87">
        <v>1493388</v>
      </c>
      <c r="J558" s="54" t="s">
        <v>116</v>
      </c>
      <c r="K558" s="89" t="s">
        <v>164</v>
      </c>
      <c r="L558" s="45" t="s">
        <v>105</v>
      </c>
    </row>
    <row r="559" spans="1:12" s="53" customFormat="1" ht="20.149999999999999" customHeight="1">
      <c r="A559" s="44">
        <v>42583</v>
      </c>
      <c r="B559" s="49"/>
      <c r="C559" s="45" t="s">
        <v>20</v>
      </c>
      <c r="D559" s="89">
        <v>0.17899999999999999</v>
      </c>
      <c r="E559" s="89">
        <v>127.475387</v>
      </c>
      <c r="F559" s="90">
        <v>7.5</v>
      </c>
      <c r="G559" s="89">
        <v>956.0654025</v>
      </c>
      <c r="H559" s="89">
        <v>1200</v>
      </c>
      <c r="I559" s="87">
        <v>1147284</v>
      </c>
      <c r="J559" s="54" t="s">
        <v>116</v>
      </c>
      <c r="K559" s="89" t="s">
        <v>129</v>
      </c>
      <c r="L559" s="45" t="s">
        <v>105</v>
      </c>
    </row>
    <row r="560" spans="1:12" s="53" customFormat="1" ht="20.149999999999999" customHeight="1">
      <c r="A560" s="44">
        <v>42583</v>
      </c>
      <c r="B560" s="49"/>
      <c r="C560" s="45" t="s">
        <v>20</v>
      </c>
      <c r="D560" s="89">
        <v>0.13100000000000001</v>
      </c>
      <c r="E560" s="89">
        <v>93.292043000000007</v>
      </c>
      <c r="F560" s="90">
        <v>7.5</v>
      </c>
      <c r="G560" s="89">
        <v>699.69032250000009</v>
      </c>
      <c r="H560" s="89">
        <v>1200</v>
      </c>
      <c r="I560" s="87">
        <v>839628.00000000012</v>
      </c>
      <c r="J560" s="54" t="s">
        <v>116</v>
      </c>
      <c r="K560" s="89" t="s">
        <v>130</v>
      </c>
      <c r="L560" s="45" t="s">
        <v>105</v>
      </c>
    </row>
    <row r="561" spans="1:12" s="53" customFormat="1" ht="20.149999999999999" customHeight="1">
      <c r="A561" s="44">
        <v>42583</v>
      </c>
      <c r="B561" s="49"/>
      <c r="C561" s="45" t="s">
        <v>20</v>
      </c>
      <c r="D561" s="89">
        <v>5.3010000000000002</v>
      </c>
      <c r="E561" s="89">
        <v>3775.1230530000003</v>
      </c>
      <c r="F561" s="90">
        <v>7.5</v>
      </c>
      <c r="G561" s="89">
        <v>28313.422897500001</v>
      </c>
      <c r="H561" s="89">
        <v>1200</v>
      </c>
      <c r="I561" s="87">
        <v>33976104</v>
      </c>
      <c r="J561" s="54" t="s">
        <v>116</v>
      </c>
      <c r="K561" s="89" t="s">
        <v>132</v>
      </c>
      <c r="L561" s="45" t="s">
        <v>105</v>
      </c>
    </row>
    <row r="562" spans="1:12" s="53" customFormat="1" ht="20.149999999999999" customHeight="1">
      <c r="A562" s="44">
        <v>42583</v>
      </c>
      <c r="B562" s="49"/>
      <c r="C562" s="45" t="s">
        <v>20</v>
      </c>
      <c r="D562" s="89">
        <v>2.48</v>
      </c>
      <c r="E562" s="89">
        <v>1766.1394400000001</v>
      </c>
      <c r="F562" s="90">
        <v>7.5</v>
      </c>
      <c r="G562" s="89">
        <v>13246.045800000002</v>
      </c>
      <c r="H562" s="89">
        <v>1200</v>
      </c>
      <c r="I562" s="87">
        <v>15895260</v>
      </c>
      <c r="J562" s="54" t="s">
        <v>116</v>
      </c>
      <c r="K562" s="89" t="s">
        <v>133</v>
      </c>
      <c r="L562" s="45" t="s">
        <v>105</v>
      </c>
    </row>
    <row r="563" spans="1:12" s="53" customFormat="1" ht="20.149999999999999" customHeight="1">
      <c r="A563" s="44">
        <v>42583</v>
      </c>
      <c r="B563" s="49"/>
      <c r="C563" s="45" t="s">
        <v>20</v>
      </c>
      <c r="D563" s="89">
        <v>93.182000000000002</v>
      </c>
      <c r="E563" s="89">
        <v>66359.840846000006</v>
      </c>
      <c r="F563" s="90">
        <v>7.5</v>
      </c>
      <c r="G563" s="89">
        <v>497698.80634500005</v>
      </c>
      <c r="H563" s="89">
        <v>1200</v>
      </c>
      <c r="I563" s="87">
        <v>597238572</v>
      </c>
      <c r="J563" s="54" t="s">
        <v>116</v>
      </c>
      <c r="K563" s="89" t="s">
        <v>162</v>
      </c>
      <c r="L563" s="45" t="s">
        <v>105</v>
      </c>
    </row>
    <row r="564" spans="1:12" s="53" customFormat="1" ht="20.149999999999999" customHeight="1">
      <c r="A564" s="44">
        <v>42583</v>
      </c>
      <c r="B564" s="49"/>
      <c r="C564" s="45" t="s">
        <v>20</v>
      </c>
      <c r="D564" s="89">
        <v>2.87</v>
      </c>
      <c r="E564" s="89">
        <v>2043.8791100000001</v>
      </c>
      <c r="F564" s="90">
        <v>7.5</v>
      </c>
      <c r="G564" s="89">
        <v>15329.093325</v>
      </c>
      <c r="H564" s="89">
        <v>1200</v>
      </c>
      <c r="I564" s="87">
        <v>18394908</v>
      </c>
      <c r="J564" s="54" t="s">
        <v>116</v>
      </c>
      <c r="K564" s="89" t="s">
        <v>134</v>
      </c>
      <c r="L564" s="45" t="s">
        <v>105</v>
      </c>
    </row>
    <row r="565" spans="1:12" s="53" customFormat="1" ht="20.149999999999999" customHeight="1">
      <c r="A565" s="44">
        <v>42583</v>
      </c>
      <c r="B565" s="49"/>
      <c r="C565" s="45" t="s">
        <v>20</v>
      </c>
      <c r="D565" s="89">
        <v>0.79100000000000004</v>
      </c>
      <c r="E565" s="89">
        <v>563.31302300000004</v>
      </c>
      <c r="F565" s="90">
        <v>7.5</v>
      </c>
      <c r="G565" s="89">
        <v>4224.8476725</v>
      </c>
      <c r="H565" s="89">
        <v>1200</v>
      </c>
      <c r="I565" s="87">
        <v>5069820</v>
      </c>
      <c r="J565" s="54" t="s">
        <v>116</v>
      </c>
      <c r="K565" s="89" t="s">
        <v>138</v>
      </c>
      <c r="L565" s="45" t="s">
        <v>105</v>
      </c>
    </row>
    <row r="566" spans="1:12" s="53" customFormat="1" ht="20.149999999999999" customHeight="1">
      <c r="A566" s="44">
        <v>42583</v>
      </c>
      <c r="B566" s="49"/>
      <c r="C566" s="45" t="s">
        <v>20</v>
      </c>
      <c r="D566" s="89">
        <v>0.41899999999999998</v>
      </c>
      <c r="E566" s="89">
        <v>298.39210700000001</v>
      </c>
      <c r="F566" s="90">
        <v>7.5</v>
      </c>
      <c r="G566" s="89">
        <v>2237.9408025000002</v>
      </c>
      <c r="H566" s="89">
        <v>1200</v>
      </c>
      <c r="I566" s="87">
        <v>2685528</v>
      </c>
      <c r="J566" s="54" t="s">
        <v>116</v>
      </c>
      <c r="K566" s="89" t="s">
        <v>135</v>
      </c>
      <c r="L566" s="45" t="s">
        <v>105</v>
      </c>
    </row>
    <row r="567" spans="1:12" s="53" customFormat="1" ht="20.149999999999999" customHeight="1">
      <c r="A567" s="44">
        <v>42583</v>
      </c>
      <c r="B567" s="49"/>
      <c r="C567" s="45" t="s">
        <v>20</v>
      </c>
      <c r="D567" s="89">
        <v>203.34899999999999</v>
      </c>
      <c r="E567" s="89">
        <v>144815.600397</v>
      </c>
      <c r="F567" s="90">
        <v>7.5</v>
      </c>
      <c r="G567" s="89">
        <v>1086117.0029775</v>
      </c>
      <c r="H567" s="89">
        <v>1200</v>
      </c>
      <c r="I567" s="87">
        <v>1303340400</v>
      </c>
      <c r="J567" s="54" t="s">
        <v>116</v>
      </c>
      <c r="K567" s="89" t="s">
        <v>136</v>
      </c>
      <c r="L567" s="45" t="s">
        <v>105</v>
      </c>
    </row>
    <row r="568" spans="1:12" s="53" customFormat="1" ht="20.149999999999999" customHeight="1">
      <c r="A568" s="44">
        <v>42583</v>
      </c>
      <c r="B568" s="49"/>
      <c r="C568" s="45" t="s">
        <v>20</v>
      </c>
      <c r="D568" s="89">
        <v>0.62</v>
      </c>
      <c r="E568" s="89">
        <v>441.53486000000004</v>
      </c>
      <c r="F568" s="90">
        <v>7.5</v>
      </c>
      <c r="G568" s="89">
        <v>3311.5114500000004</v>
      </c>
      <c r="H568" s="89">
        <v>1200</v>
      </c>
      <c r="I568" s="87">
        <v>3973812.0000000005</v>
      </c>
      <c r="J568" s="54" t="s">
        <v>116</v>
      </c>
      <c r="K568" s="89" t="s">
        <v>146</v>
      </c>
      <c r="L568" s="45" t="s">
        <v>105</v>
      </c>
    </row>
    <row r="569" spans="1:12" s="53" customFormat="1" ht="20.149999999999999" customHeight="1">
      <c r="A569" s="44">
        <v>42583</v>
      </c>
      <c r="B569" s="49"/>
      <c r="C569" s="45" t="s">
        <v>20</v>
      </c>
      <c r="D569" s="89">
        <v>13.542999999999999</v>
      </c>
      <c r="E569" s="89">
        <v>9644.6880789999996</v>
      </c>
      <c r="F569" s="90">
        <v>7.5</v>
      </c>
      <c r="G569" s="89">
        <v>72335.160592500004</v>
      </c>
      <c r="H569" s="89">
        <v>1200</v>
      </c>
      <c r="I569" s="87">
        <v>86802192</v>
      </c>
      <c r="J569" s="54" t="s">
        <v>116</v>
      </c>
      <c r="K569" s="89" t="s">
        <v>161</v>
      </c>
      <c r="L569" s="45" t="s">
        <v>105</v>
      </c>
    </row>
    <row r="570" spans="1:12" s="53" customFormat="1" ht="20.149999999999999" customHeight="1">
      <c r="A570" s="44">
        <v>42583</v>
      </c>
      <c r="B570" s="49"/>
      <c r="C570" s="45" t="s">
        <v>20</v>
      </c>
      <c r="D570" s="89">
        <v>274.99400000000003</v>
      </c>
      <c r="E570" s="89">
        <v>195837.80208200004</v>
      </c>
      <c r="F570" s="90">
        <v>7.5</v>
      </c>
      <c r="G570" s="89">
        <v>1468783.5156150004</v>
      </c>
      <c r="H570" s="89">
        <v>1200</v>
      </c>
      <c r="I570" s="87">
        <v>1762540224</v>
      </c>
      <c r="J570" s="54" t="s">
        <v>116</v>
      </c>
      <c r="K570" s="89" t="s">
        <v>139</v>
      </c>
      <c r="L570" s="45" t="s">
        <v>105</v>
      </c>
    </row>
    <row r="571" spans="1:12" s="53" customFormat="1" ht="20.149999999999999" customHeight="1">
      <c r="A571" s="44">
        <v>42583</v>
      </c>
      <c r="B571" s="49"/>
      <c r="C571" s="45" t="s">
        <v>20</v>
      </c>
      <c r="D571" s="89">
        <v>0.35599999999999998</v>
      </c>
      <c r="E571" s="89">
        <v>253.52646799999999</v>
      </c>
      <c r="F571" s="90">
        <v>7.5</v>
      </c>
      <c r="G571" s="89">
        <v>1901.4485099999999</v>
      </c>
      <c r="H571" s="89">
        <v>1200</v>
      </c>
      <c r="I571" s="87">
        <v>2281740</v>
      </c>
      <c r="J571" s="54" t="s">
        <v>116</v>
      </c>
      <c r="K571" s="89" t="s">
        <v>140</v>
      </c>
      <c r="L571" s="45" t="s">
        <v>105</v>
      </c>
    </row>
    <row r="572" spans="1:12" s="53" customFormat="1" ht="20.149999999999999" customHeight="1">
      <c r="A572" s="44">
        <v>42583</v>
      </c>
      <c r="B572" s="49"/>
      <c r="C572" s="45" t="s">
        <v>20</v>
      </c>
      <c r="D572" s="89">
        <v>899.24199999999996</v>
      </c>
      <c r="E572" s="89">
        <v>640397.888026</v>
      </c>
      <c r="F572" s="90">
        <v>7.5</v>
      </c>
      <c r="G572" s="89">
        <v>4802984.1601950005</v>
      </c>
      <c r="H572" s="89">
        <v>1200</v>
      </c>
      <c r="I572" s="87">
        <v>5763580992</v>
      </c>
      <c r="J572" s="54" t="s">
        <v>116</v>
      </c>
      <c r="K572" s="89" t="s">
        <v>141</v>
      </c>
      <c r="L572" s="45" t="s">
        <v>105</v>
      </c>
    </row>
    <row r="573" spans="1:12" s="53" customFormat="1" ht="20.149999999999999" customHeight="1">
      <c r="A573" s="44">
        <v>42583</v>
      </c>
      <c r="B573" s="49"/>
      <c r="C573" s="45" t="s">
        <v>20</v>
      </c>
      <c r="D573" s="89">
        <v>1266.4059999999999</v>
      </c>
      <c r="E573" s="89">
        <v>901874.83211800002</v>
      </c>
      <c r="F573" s="90">
        <v>7.5</v>
      </c>
      <c r="G573" s="89">
        <v>6764061.2408849997</v>
      </c>
      <c r="H573" s="89">
        <v>1200</v>
      </c>
      <c r="I573" s="87">
        <v>8116873488</v>
      </c>
      <c r="J573" s="54" t="s">
        <v>116</v>
      </c>
      <c r="K573" s="89" t="s">
        <v>142</v>
      </c>
      <c r="L573" s="45" t="s">
        <v>105</v>
      </c>
    </row>
    <row r="574" spans="1:12" s="53" customFormat="1" ht="20.149999999999999" customHeight="1">
      <c r="A574" s="44">
        <v>42583</v>
      </c>
      <c r="B574" s="49"/>
      <c r="C574" s="45" t="s">
        <v>20</v>
      </c>
      <c r="D574" s="89">
        <v>1474.5920000000001</v>
      </c>
      <c r="E574" s="89">
        <v>1050135.1165760001</v>
      </c>
      <c r="F574" s="90">
        <v>7.5</v>
      </c>
      <c r="G574" s="89">
        <v>7876013.3743200004</v>
      </c>
      <c r="H574" s="89">
        <v>1200</v>
      </c>
      <c r="I574" s="87">
        <v>9451216044</v>
      </c>
      <c r="J574" s="54" t="s">
        <v>116</v>
      </c>
      <c r="K574" s="89" t="s">
        <v>143</v>
      </c>
      <c r="L574" s="45" t="s">
        <v>105</v>
      </c>
    </row>
    <row r="575" spans="1:12" s="53" customFormat="1" ht="20.149999999999999" customHeight="1">
      <c r="A575" s="44">
        <v>42583</v>
      </c>
      <c r="B575" s="49"/>
      <c r="C575" s="45" t="s">
        <v>20</v>
      </c>
      <c r="D575" s="89">
        <v>551.64300000000003</v>
      </c>
      <c r="E575" s="89">
        <v>392854.21737900004</v>
      </c>
      <c r="F575" s="90">
        <v>7.5</v>
      </c>
      <c r="G575" s="89">
        <v>2946406.6303425003</v>
      </c>
      <c r="H575" s="89">
        <v>1200</v>
      </c>
      <c r="I575" s="87">
        <v>3535687956</v>
      </c>
      <c r="J575" s="54" t="s">
        <v>116</v>
      </c>
      <c r="K575" s="89" t="s">
        <v>144</v>
      </c>
      <c r="L575" s="45" t="s">
        <v>105</v>
      </c>
    </row>
    <row r="576" spans="1:12" s="53" customFormat="1" ht="20.149999999999999" customHeight="1">
      <c r="A576" s="44">
        <v>42583</v>
      </c>
      <c r="B576" s="49"/>
      <c r="C576" s="45" t="s">
        <v>20</v>
      </c>
      <c r="D576" s="89">
        <v>0.46</v>
      </c>
      <c r="E576" s="89">
        <v>327.59038000000004</v>
      </c>
      <c r="F576" s="90">
        <v>2.4375</v>
      </c>
      <c r="G576" s="89">
        <v>1121.25</v>
      </c>
      <c r="H576" s="89">
        <v>1200</v>
      </c>
      <c r="I576" s="87">
        <v>1345500</v>
      </c>
      <c r="J576" s="54" t="s">
        <v>116</v>
      </c>
      <c r="K576" s="89" t="s">
        <v>147</v>
      </c>
      <c r="L576" s="45" t="s">
        <v>105</v>
      </c>
    </row>
    <row r="577" spans="1:12" s="53" customFormat="1" ht="20.149999999999999" customHeight="1">
      <c r="A577" s="44">
        <v>42583</v>
      </c>
      <c r="B577" s="49"/>
      <c r="C577" s="45" t="s">
        <v>20</v>
      </c>
      <c r="D577" s="89">
        <v>2.415</v>
      </c>
      <c r="E577" s="89">
        <v>1719.8494950000002</v>
      </c>
      <c r="F577" s="90">
        <v>2.4375</v>
      </c>
      <c r="G577" s="89">
        <v>5886.5625</v>
      </c>
      <c r="H577" s="89">
        <v>1200</v>
      </c>
      <c r="I577" s="87">
        <v>7063872.0000000009</v>
      </c>
      <c r="J577" s="54" t="s">
        <v>116</v>
      </c>
      <c r="K577" s="89" t="s">
        <v>148</v>
      </c>
      <c r="L577" s="45" t="s">
        <v>105</v>
      </c>
    </row>
    <row r="578" spans="1:12" s="53" customFormat="1" ht="20.149999999999999" customHeight="1">
      <c r="A578" s="44">
        <v>42583</v>
      </c>
      <c r="B578" s="49"/>
      <c r="C578" s="45" t="s">
        <v>20</v>
      </c>
      <c r="D578" s="89">
        <v>0.23799999999999999</v>
      </c>
      <c r="E578" s="89">
        <v>169.492414</v>
      </c>
      <c r="F578" s="90">
        <v>2.4375</v>
      </c>
      <c r="G578" s="89">
        <v>580.11500000000001</v>
      </c>
      <c r="H578" s="89">
        <v>1200</v>
      </c>
      <c r="I578" s="87">
        <v>696144</v>
      </c>
      <c r="J578" s="54" t="s">
        <v>116</v>
      </c>
      <c r="K578" s="89" t="s">
        <v>149</v>
      </c>
      <c r="L578" s="45" t="s">
        <v>105</v>
      </c>
    </row>
    <row r="579" spans="1:12" s="53" customFormat="1" ht="20.149999999999999" customHeight="1">
      <c r="A579" s="44">
        <v>42583</v>
      </c>
      <c r="B579" s="49"/>
      <c r="C579" s="45" t="s">
        <v>20</v>
      </c>
      <c r="D579" s="89">
        <v>0.28299999999999997</v>
      </c>
      <c r="E579" s="89">
        <v>201.539299</v>
      </c>
      <c r="F579" s="90">
        <v>2.4375</v>
      </c>
      <c r="G579" s="89">
        <v>689.81249999999989</v>
      </c>
      <c r="H579" s="89">
        <v>1200</v>
      </c>
      <c r="I579" s="87">
        <v>827771.99999999988</v>
      </c>
      <c r="J579" s="54" t="s">
        <v>116</v>
      </c>
      <c r="K579" s="89" t="s">
        <v>150</v>
      </c>
      <c r="L579" s="45" t="s">
        <v>105</v>
      </c>
    </row>
    <row r="580" spans="1:12" s="53" customFormat="1" ht="20.149999999999999" customHeight="1">
      <c r="A580" s="44">
        <v>42583</v>
      </c>
      <c r="B580" s="49"/>
      <c r="C580" s="45" t="s">
        <v>20</v>
      </c>
      <c r="D580" s="89">
        <v>7.3999999999999996E-2</v>
      </c>
      <c r="E580" s="89">
        <v>52.699322000000002</v>
      </c>
      <c r="F580" s="90">
        <v>2.4375</v>
      </c>
      <c r="G580" s="89">
        <v>180.37499999999997</v>
      </c>
      <c r="H580" s="89">
        <v>1200</v>
      </c>
      <c r="I580" s="87">
        <v>216456</v>
      </c>
      <c r="J580" s="54" t="s">
        <v>116</v>
      </c>
      <c r="K580" s="89" t="s">
        <v>151</v>
      </c>
      <c r="L580" s="45" t="s">
        <v>105</v>
      </c>
    </row>
    <row r="581" spans="1:12" s="53" customFormat="1" ht="20.149999999999999" customHeight="1">
      <c r="A581" s="44">
        <v>42583</v>
      </c>
      <c r="B581" s="49"/>
      <c r="C581" s="45" t="s">
        <v>20</v>
      </c>
      <c r="D581" s="89">
        <v>1.5049999999999999</v>
      </c>
      <c r="E581" s="89">
        <v>1071.7902649999999</v>
      </c>
      <c r="F581" s="90">
        <v>2.4375</v>
      </c>
      <c r="G581" s="89">
        <v>3668.4274999999993</v>
      </c>
      <c r="H581" s="89">
        <v>1200</v>
      </c>
      <c r="I581" s="87">
        <v>4402116</v>
      </c>
      <c r="J581" s="54" t="s">
        <v>116</v>
      </c>
      <c r="K581" s="89" t="s">
        <v>152</v>
      </c>
      <c r="L581" s="45" t="s">
        <v>105</v>
      </c>
    </row>
    <row r="582" spans="1:12" s="53" customFormat="1" ht="20.149999999999999" customHeight="1">
      <c r="A582" s="44">
        <v>42583</v>
      </c>
      <c r="B582" s="49"/>
      <c r="C582" s="45" t="s">
        <v>20</v>
      </c>
      <c r="D582" s="89">
        <v>4.6520000000000001</v>
      </c>
      <c r="E582" s="89">
        <v>3312.9357560000003</v>
      </c>
      <c r="F582" s="90">
        <v>2.4375</v>
      </c>
      <c r="G582" s="89">
        <v>11339.25</v>
      </c>
      <c r="H582" s="89">
        <v>1200</v>
      </c>
      <c r="I582" s="87">
        <v>13607100</v>
      </c>
      <c r="J582" s="54" t="s">
        <v>116</v>
      </c>
      <c r="K582" s="89" t="s">
        <v>159</v>
      </c>
      <c r="L582" s="45" t="s">
        <v>105</v>
      </c>
    </row>
    <row r="583" spans="1:12" s="53" customFormat="1" ht="20.149999999999999" customHeight="1">
      <c r="A583" s="44">
        <v>42583</v>
      </c>
      <c r="B583" s="49"/>
      <c r="C583" s="45" t="s">
        <v>20</v>
      </c>
      <c r="D583" s="89">
        <v>6.5519999999999996</v>
      </c>
      <c r="E583" s="89">
        <v>4666.0264559999996</v>
      </c>
      <c r="F583" s="90">
        <v>2.4375</v>
      </c>
      <c r="G583" s="89">
        <v>15970.5</v>
      </c>
      <c r="H583" s="89">
        <v>1200</v>
      </c>
      <c r="I583" s="87">
        <v>19164600</v>
      </c>
      <c r="J583" s="54" t="s">
        <v>116</v>
      </c>
      <c r="K583" s="89" t="s">
        <v>153</v>
      </c>
      <c r="L583" s="45" t="s">
        <v>105</v>
      </c>
    </row>
    <row r="584" spans="1:12" s="53" customFormat="1" ht="20.149999999999999" customHeight="1">
      <c r="A584" s="44">
        <v>42583</v>
      </c>
      <c r="B584" s="49"/>
      <c r="C584" s="45" t="s">
        <v>20</v>
      </c>
      <c r="D584" s="89">
        <v>0.84099999999999997</v>
      </c>
      <c r="E584" s="89">
        <v>598.92067299999997</v>
      </c>
      <c r="F584" s="90">
        <v>2.4375</v>
      </c>
      <c r="G584" s="89">
        <v>2049.9375</v>
      </c>
      <c r="H584" s="89">
        <v>1200</v>
      </c>
      <c r="I584" s="87">
        <v>2459928</v>
      </c>
      <c r="J584" s="54" t="s">
        <v>116</v>
      </c>
      <c r="K584" s="89" t="s">
        <v>154</v>
      </c>
      <c r="L584" s="45" t="s">
        <v>105</v>
      </c>
    </row>
    <row r="585" spans="1:12" s="53" customFormat="1" ht="20.149999999999999" customHeight="1">
      <c r="A585" s="44">
        <v>42583</v>
      </c>
      <c r="B585" s="49"/>
      <c r="C585" s="45" t="s">
        <v>20</v>
      </c>
      <c r="D585" s="89">
        <v>6.0739999999999998</v>
      </c>
      <c r="E585" s="89">
        <v>4325.6173220000001</v>
      </c>
      <c r="F585" s="90">
        <v>2.4375</v>
      </c>
      <c r="G585" s="89">
        <v>14805.375</v>
      </c>
      <c r="H585" s="89">
        <v>1200</v>
      </c>
      <c r="I585" s="87">
        <v>17766456</v>
      </c>
      <c r="J585" s="54" t="s">
        <v>116</v>
      </c>
      <c r="K585" s="89" t="s">
        <v>155</v>
      </c>
      <c r="L585" s="45" t="s">
        <v>105</v>
      </c>
    </row>
    <row r="586" spans="1:12" s="53" customFormat="1" ht="20.149999999999999" customHeight="1">
      <c r="A586" s="44">
        <v>42583</v>
      </c>
      <c r="B586" s="49"/>
      <c r="C586" s="45" t="s">
        <v>20</v>
      </c>
      <c r="D586" s="89">
        <v>0.98899999999999999</v>
      </c>
      <c r="E586" s="89">
        <v>704.31931700000007</v>
      </c>
      <c r="F586" s="90">
        <v>2.4375</v>
      </c>
      <c r="G586" s="89">
        <v>2410.6875</v>
      </c>
      <c r="H586" s="89">
        <v>1200</v>
      </c>
      <c r="I586" s="87">
        <v>2892828</v>
      </c>
      <c r="J586" s="54" t="s">
        <v>116</v>
      </c>
      <c r="K586" s="89" t="s">
        <v>160</v>
      </c>
      <c r="L586" s="45" t="s">
        <v>105</v>
      </c>
    </row>
    <row r="587" spans="1:12" s="53" customFormat="1" ht="20.149999999999999" customHeight="1">
      <c r="A587" s="44">
        <v>42583</v>
      </c>
      <c r="B587" s="49"/>
      <c r="C587" s="45" t="s">
        <v>20</v>
      </c>
      <c r="D587" s="89">
        <v>0.308</v>
      </c>
      <c r="E587" s="89">
        <v>219.34312400000002</v>
      </c>
      <c r="F587" s="90">
        <v>2.4375</v>
      </c>
      <c r="G587" s="89">
        <v>750.75</v>
      </c>
      <c r="H587" s="89">
        <v>1200</v>
      </c>
      <c r="I587" s="87">
        <v>900900</v>
      </c>
      <c r="J587" s="54" t="s">
        <v>116</v>
      </c>
      <c r="K587" s="89" t="s">
        <v>156</v>
      </c>
      <c r="L587" s="45" t="s">
        <v>105</v>
      </c>
    </row>
    <row r="588" spans="1:12" s="53" customFormat="1" ht="20.149999999999999" customHeight="1">
      <c r="A588" s="44">
        <v>42583</v>
      </c>
      <c r="B588" s="49"/>
      <c r="C588" s="45" t="s">
        <v>20</v>
      </c>
      <c r="D588" s="89">
        <v>0.17699999999999999</v>
      </c>
      <c r="E588" s="89">
        <v>126.051081</v>
      </c>
      <c r="F588" s="90">
        <v>2.4375</v>
      </c>
      <c r="G588" s="89">
        <v>431.4375</v>
      </c>
      <c r="H588" s="89">
        <v>1200</v>
      </c>
      <c r="I588" s="87">
        <v>517728</v>
      </c>
      <c r="J588" s="54" t="s">
        <v>116</v>
      </c>
      <c r="K588" s="89" t="s">
        <v>157</v>
      </c>
      <c r="L588" s="45" t="s">
        <v>105</v>
      </c>
    </row>
    <row r="589" spans="1:12" s="53" customFormat="1" ht="20.149999999999999" customHeight="1">
      <c r="A589" s="44"/>
      <c r="B589" s="49"/>
      <c r="C589" s="45"/>
      <c r="D589" s="89"/>
      <c r="E589" s="89"/>
      <c r="F589" s="90"/>
      <c r="G589" s="89"/>
      <c r="H589" s="89"/>
      <c r="I589" s="88"/>
      <c r="J589" s="54"/>
      <c r="K589" s="89"/>
      <c r="L589" s="45"/>
    </row>
    <row r="590" spans="1:12" s="53" customFormat="1" ht="20.149999999999999" customHeight="1">
      <c r="A590" s="44">
        <v>42614</v>
      </c>
      <c r="B590" s="49"/>
      <c r="C590" s="45" t="s">
        <v>20</v>
      </c>
      <c r="D590" s="89">
        <v>1.8620000000000001</v>
      </c>
      <c r="E590" s="89">
        <v>1325.6565000000001</v>
      </c>
      <c r="F590" s="90">
        <v>7.5</v>
      </c>
      <c r="G590" s="89">
        <v>9942.4237499999999</v>
      </c>
      <c r="H590" s="89">
        <v>1200</v>
      </c>
      <c r="I590" s="87">
        <v>11930904</v>
      </c>
      <c r="J590" s="54" t="s">
        <v>116</v>
      </c>
      <c r="K590" s="89" t="s">
        <v>117</v>
      </c>
      <c r="L590" s="45" t="s">
        <v>105</v>
      </c>
    </row>
    <row r="591" spans="1:12" s="53" customFormat="1" ht="20.149999999999999" customHeight="1">
      <c r="A591" s="44">
        <v>42614</v>
      </c>
      <c r="B591" s="49"/>
      <c r="C591" s="45" t="s">
        <v>20</v>
      </c>
      <c r="D591" s="89">
        <v>1.0620000000000001</v>
      </c>
      <c r="E591" s="89">
        <v>756.09408600000006</v>
      </c>
      <c r="F591" s="90">
        <v>7.5</v>
      </c>
      <c r="G591" s="89">
        <v>5670.705645</v>
      </c>
      <c r="H591" s="89">
        <v>1200</v>
      </c>
      <c r="I591" s="87">
        <v>6804852</v>
      </c>
      <c r="J591" s="54" t="s">
        <v>116</v>
      </c>
      <c r="K591" s="89" t="s">
        <v>118</v>
      </c>
      <c r="L591" s="45" t="s">
        <v>105</v>
      </c>
    </row>
    <row r="592" spans="1:12" s="53" customFormat="1" ht="20.149999999999999" customHeight="1">
      <c r="A592" s="44">
        <v>42614</v>
      </c>
      <c r="B592" s="49"/>
      <c r="C592" s="45" t="s">
        <v>20</v>
      </c>
      <c r="D592" s="89">
        <v>10.29</v>
      </c>
      <c r="E592" s="89">
        <v>7325.9963699999989</v>
      </c>
      <c r="F592" s="90">
        <v>7.5</v>
      </c>
      <c r="G592" s="89">
        <v>54944.972774999995</v>
      </c>
      <c r="H592" s="89">
        <v>1200</v>
      </c>
      <c r="I592" s="87">
        <v>65933964</v>
      </c>
      <c r="J592" s="54" t="s">
        <v>116</v>
      </c>
      <c r="K592" s="89" t="s">
        <v>119</v>
      </c>
      <c r="L592" s="45" t="s">
        <v>105</v>
      </c>
    </row>
    <row r="593" spans="1:12" s="53" customFormat="1" ht="20.149999999999999" customHeight="1">
      <c r="A593" s="44">
        <v>42614</v>
      </c>
      <c r="B593" s="49"/>
      <c r="C593" s="45" t="s">
        <v>20</v>
      </c>
      <c r="D593" s="89">
        <v>12.023</v>
      </c>
      <c r="E593" s="89">
        <v>8559.8109189999996</v>
      </c>
      <c r="F593" s="90">
        <v>7.5</v>
      </c>
      <c r="G593" s="89">
        <v>64198.581892499999</v>
      </c>
      <c r="H593" s="89">
        <v>1200</v>
      </c>
      <c r="I593" s="87">
        <v>77038296</v>
      </c>
      <c r="J593" s="54" t="s">
        <v>116</v>
      </c>
      <c r="K593" s="89" t="s">
        <v>120</v>
      </c>
      <c r="L593" s="45" t="s">
        <v>105</v>
      </c>
    </row>
    <row r="594" spans="1:12" s="53" customFormat="1" ht="20.149999999999999" customHeight="1">
      <c r="A594" s="44">
        <v>42614</v>
      </c>
      <c r="B594" s="49"/>
      <c r="C594" s="45" t="s">
        <v>20</v>
      </c>
      <c r="D594" s="89">
        <v>0.22900000000000001</v>
      </c>
      <c r="E594" s="89">
        <v>163.037237</v>
      </c>
      <c r="F594" s="90">
        <v>7.5</v>
      </c>
      <c r="G594" s="89">
        <v>1222.7792775</v>
      </c>
      <c r="H594" s="89">
        <v>1200</v>
      </c>
      <c r="I594" s="87">
        <v>1467336</v>
      </c>
      <c r="J594" s="54" t="s">
        <v>116</v>
      </c>
      <c r="K594" s="89" t="s">
        <v>121</v>
      </c>
      <c r="L594" s="45" t="s">
        <v>105</v>
      </c>
    </row>
    <row r="595" spans="1:12" s="53" customFormat="1" ht="20.149999999999999" customHeight="1">
      <c r="A595" s="44">
        <v>42614</v>
      </c>
      <c r="B595" s="49"/>
      <c r="C595" s="45" t="s">
        <v>20</v>
      </c>
      <c r="D595" s="89">
        <v>4.274</v>
      </c>
      <c r="E595" s="89">
        <v>3042.8871220000001</v>
      </c>
      <c r="F595" s="90">
        <v>7.5</v>
      </c>
      <c r="G595" s="89">
        <v>22821.653415000001</v>
      </c>
      <c r="H595" s="89">
        <v>1200</v>
      </c>
      <c r="I595" s="87">
        <v>27385980</v>
      </c>
      <c r="J595" s="54" t="s">
        <v>116</v>
      </c>
      <c r="K595" s="89" t="s">
        <v>122</v>
      </c>
      <c r="L595" s="45" t="s">
        <v>105</v>
      </c>
    </row>
    <row r="596" spans="1:12" s="53" customFormat="1" ht="20.149999999999999" customHeight="1">
      <c r="A596" s="44">
        <v>42614</v>
      </c>
      <c r="B596" s="49"/>
      <c r="C596" s="45" t="s">
        <v>20</v>
      </c>
      <c r="D596" s="89">
        <v>11.801</v>
      </c>
      <c r="E596" s="89">
        <v>8401.7573529999991</v>
      </c>
      <c r="F596" s="90">
        <v>7.5</v>
      </c>
      <c r="G596" s="89">
        <v>63013.180147499996</v>
      </c>
      <c r="H596" s="89">
        <v>1200</v>
      </c>
      <c r="I596" s="87">
        <v>75615816</v>
      </c>
      <c r="J596" s="54" t="s">
        <v>116</v>
      </c>
      <c r="K596" s="89" t="s">
        <v>123</v>
      </c>
      <c r="L596" s="45" t="s">
        <v>105</v>
      </c>
    </row>
    <row r="597" spans="1:12" s="53" customFormat="1" ht="20.149999999999999" customHeight="1">
      <c r="A597" s="44">
        <v>42614</v>
      </c>
      <c r="B597" s="49"/>
      <c r="C597" s="45" t="s">
        <v>20</v>
      </c>
      <c r="D597" s="89">
        <v>0.66900000000000004</v>
      </c>
      <c r="E597" s="89">
        <v>476.29655700000001</v>
      </c>
      <c r="F597" s="90">
        <v>7.5</v>
      </c>
      <c r="G597" s="89">
        <v>3572.2241775000002</v>
      </c>
      <c r="H597" s="89">
        <v>1200</v>
      </c>
      <c r="I597" s="87">
        <v>4286664</v>
      </c>
      <c r="J597" s="54" t="s">
        <v>116</v>
      </c>
      <c r="K597" s="89" t="s">
        <v>124</v>
      </c>
      <c r="L597" s="45" t="s">
        <v>105</v>
      </c>
    </row>
    <row r="598" spans="1:12" s="53" customFormat="1" ht="20.149999999999999" customHeight="1">
      <c r="A598" s="44">
        <v>42614</v>
      </c>
      <c r="B598" s="49"/>
      <c r="C598" s="45" t="s">
        <v>20</v>
      </c>
      <c r="D598" s="89">
        <v>2.4E-2</v>
      </c>
      <c r="E598" s="89">
        <v>17.086872</v>
      </c>
      <c r="F598" s="90">
        <v>7.5</v>
      </c>
      <c r="G598" s="89">
        <v>128.15154000000001</v>
      </c>
      <c r="H598" s="89">
        <v>1200</v>
      </c>
      <c r="I598" s="87">
        <v>153780</v>
      </c>
      <c r="J598" s="54" t="s">
        <v>116</v>
      </c>
      <c r="K598" s="89" t="s">
        <v>125</v>
      </c>
      <c r="L598" s="45" t="s">
        <v>105</v>
      </c>
    </row>
    <row r="599" spans="1:12" s="53" customFormat="1" ht="20.149999999999999" customHeight="1">
      <c r="A599" s="44">
        <v>42614</v>
      </c>
      <c r="B599" s="49"/>
      <c r="C599" s="45" t="s">
        <v>20</v>
      </c>
      <c r="D599" s="89">
        <v>1.6E-2</v>
      </c>
      <c r="E599" s="89">
        <v>11.391247999999999</v>
      </c>
      <c r="F599" s="90">
        <v>7.5</v>
      </c>
      <c r="G599" s="89">
        <v>85.434359999999998</v>
      </c>
      <c r="H599" s="89">
        <v>1200</v>
      </c>
      <c r="I599" s="87">
        <v>102516.00000000001</v>
      </c>
      <c r="J599" s="54" t="s">
        <v>116</v>
      </c>
      <c r="K599" s="89" t="s">
        <v>131</v>
      </c>
      <c r="L599" s="45" t="s">
        <v>105</v>
      </c>
    </row>
    <row r="600" spans="1:12" s="53" customFormat="1" ht="20.149999999999999" customHeight="1">
      <c r="A600" s="44">
        <v>42614</v>
      </c>
      <c r="B600" s="49"/>
      <c r="C600" s="45" t="s">
        <v>20</v>
      </c>
      <c r="D600" s="89">
        <v>1.0589999999999999</v>
      </c>
      <c r="E600" s="89">
        <v>753.95822699999997</v>
      </c>
      <c r="F600" s="90">
        <v>7.5</v>
      </c>
      <c r="G600" s="89">
        <v>5654.6867025000001</v>
      </c>
      <c r="H600" s="89">
        <v>1200</v>
      </c>
      <c r="I600" s="87">
        <v>6785627.9999999991</v>
      </c>
      <c r="J600" s="54" t="s">
        <v>116</v>
      </c>
      <c r="K600" s="89" t="s">
        <v>126</v>
      </c>
      <c r="L600" s="45" t="s">
        <v>105</v>
      </c>
    </row>
    <row r="601" spans="1:12" s="53" customFormat="1" ht="20.149999999999999" customHeight="1">
      <c r="A601" s="44">
        <v>42614</v>
      </c>
      <c r="B601" s="49"/>
      <c r="C601" s="45" t="s">
        <v>20</v>
      </c>
      <c r="D601" s="89">
        <v>5.907</v>
      </c>
      <c r="E601" s="89">
        <v>4205.5063709999995</v>
      </c>
      <c r="F601" s="90">
        <v>7.5</v>
      </c>
      <c r="G601" s="89">
        <v>31541.297782499998</v>
      </c>
      <c r="H601" s="89">
        <v>1200</v>
      </c>
      <c r="I601" s="87">
        <v>37849560</v>
      </c>
      <c r="J601" s="54" t="s">
        <v>116</v>
      </c>
      <c r="K601" s="89" t="s">
        <v>158</v>
      </c>
      <c r="L601" s="45" t="s">
        <v>105</v>
      </c>
    </row>
    <row r="602" spans="1:12" s="53" customFormat="1" ht="20.149999999999999" customHeight="1">
      <c r="A602" s="44">
        <v>42614</v>
      </c>
      <c r="B602" s="49"/>
      <c r="C602" s="45" t="s">
        <v>20</v>
      </c>
      <c r="D602" s="89">
        <v>1.657</v>
      </c>
      <c r="E602" s="89">
        <v>1179.7061209999999</v>
      </c>
      <c r="F602" s="90">
        <v>7.5</v>
      </c>
      <c r="G602" s="89">
        <v>8847.7959074999999</v>
      </c>
      <c r="H602" s="89">
        <v>1200</v>
      </c>
      <c r="I602" s="87">
        <v>10617360</v>
      </c>
      <c r="J602" s="54" t="s">
        <v>116</v>
      </c>
      <c r="K602" s="89" t="s">
        <v>127</v>
      </c>
      <c r="L602" s="45" t="s">
        <v>105</v>
      </c>
    </row>
    <row r="603" spans="1:12" s="53" customFormat="1" ht="20.149999999999999" customHeight="1">
      <c r="A603" s="44">
        <v>42614</v>
      </c>
      <c r="B603" s="49"/>
      <c r="C603" s="45" t="s">
        <v>20</v>
      </c>
      <c r="D603" s="89">
        <v>5.8999999999999997E-2</v>
      </c>
      <c r="E603" s="89">
        <v>42.005226999999998</v>
      </c>
      <c r="F603" s="90">
        <v>7.5</v>
      </c>
      <c r="G603" s="89">
        <v>315.03920249999999</v>
      </c>
      <c r="H603" s="89">
        <v>1200</v>
      </c>
      <c r="I603" s="87">
        <v>378048</v>
      </c>
      <c r="J603" s="54" t="s">
        <v>116</v>
      </c>
      <c r="K603" s="89" t="s">
        <v>128</v>
      </c>
      <c r="L603" s="45" t="s">
        <v>105</v>
      </c>
    </row>
    <row r="604" spans="1:12" s="53" customFormat="1" ht="20.149999999999999" customHeight="1">
      <c r="A604" s="44">
        <v>42614</v>
      </c>
      <c r="B604" s="49"/>
      <c r="C604" s="45" t="s">
        <v>20</v>
      </c>
      <c r="D604" s="89">
        <v>0.41399999999999998</v>
      </c>
      <c r="E604" s="89">
        <v>294.74854199999999</v>
      </c>
      <c r="F604" s="90">
        <v>7.5</v>
      </c>
      <c r="G604" s="89">
        <v>2210.6140649999998</v>
      </c>
      <c r="H604" s="89">
        <v>1200</v>
      </c>
      <c r="I604" s="87">
        <v>2652732</v>
      </c>
      <c r="J604" s="54" t="s">
        <v>116</v>
      </c>
      <c r="K604" s="89" t="s">
        <v>164</v>
      </c>
      <c r="L604" s="45" t="s">
        <v>105</v>
      </c>
    </row>
    <row r="605" spans="1:12" s="53" customFormat="1" ht="20.149999999999999" customHeight="1">
      <c r="A605" s="44">
        <v>42614</v>
      </c>
      <c r="B605" s="49"/>
      <c r="C605" s="45" t="s">
        <v>20</v>
      </c>
      <c r="D605" s="89">
        <v>1.9E-2</v>
      </c>
      <c r="E605" s="89">
        <v>13.527106999999999</v>
      </c>
      <c r="F605" s="90">
        <v>7.5</v>
      </c>
      <c r="G605" s="89">
        <v>101.45330249999999</v>
      </c>
      <c r="H605" s="89">
        <v>1200</v>
      </c>
      <c r="I605" s="87">
        <v>121740</v>
      </c>
      <c r="J605" s="54" t="s">
        <v>116</v>
      </c>
      <c r="K605" s="89" t="s">
        <v>129</v>
      </c>
      <c r="L605" s="45" t="s">
        <v>105</v>
      </c>
    </row>
    <row r="606" spans="1:12" s="53" customFormat="1" ht="20.149999999999999" customHeight="1">
      <c r="A606" s="44">
        <v>42614</v>
      </c>
      <c r="B606" s="49"/>
      <c r="C606" s="45" t="s">
        <v>20</v>
      </c>
      <c r="D606" s="89">
        <v>9.4E-2</v>
      </c>
      <c r="E606" s="89">
        <v>66.923581999999996</v>
      </c>
      <c r="F606" s="90">
        <v>7.5</v>
      </c>
      <c r="G606" s="89">
        <v>501.92686499999996</v>
      </c>
      <c r="H606" s="89">
        <v>1200</v>
      </c>
      <c r="I606" s="87">
        <v>602316</v>
      </c>
      <c r="J606" s="54" t="s">
        <v>116</v>
      </c>
      <c r="K606" s="89" t="s">
        <v>130</v>
      </c>
      <c r="L606" s="45" t="s">
        <v>105</v>
      </c>
    </row>
    <row r="607" spans="1:12" s="53" customFormat="1" ht="20.149999999999999" customHeight="1">
      <c r="A607" s="44">
        <v>42614</v>
      </c>
      <c r="B607" s="49"/>
      <c r="C607" s="45" t="s">
        <v>20</v>
      </c>
      <c r="D607" s="89">
        <v>13.348000000000001</v>
      </c>
      <c r="E607" s="89">
        <v>9503.1486440000008</v>
      </c>
      <c r="F607" s="90">
        <v>7.5</v>
      </c>
      <c r="G607" s="89">
        <v>71273.614830000006</v>
      </c>
      <c r="H607" s="89">
        <v>1200</v>
      </c>
      <c r="I607" s="87">
        <v>85528332</v>
      </c>
      <c r="J607" s="54" t="s">
        <v>116</v>
      </c>
      <c r="K607" s="89" t="s">
        <v>132</v>
      </c>
      <c r="L607" s="45" t="s">
        <v>105</v>
      </c>
    </row>
    <row r="608" spans="1:12" s="53" customFormat="1" ht="20.149999999999999" customHeight="1">
      <c r="A608" s="44">
        <v>42614</v>
      </c>
      <c r="B608" s="49"/>
      <c r="C608" s="45" t="s">
        <v>20</v>
      </c>
      <c r="D608" s="89">
        <v>2.3570000000000002</v>
      </c>
      <c r="E608" s="89">
        <v>1678.0732210000001</v>
      </c>
      <c r="F608" s="90">
        <v>7.5</v>
      </c>
      <c r="G608" s="89">
        <v>12585.549157500001</v>
      </c>
      <c r="H608" s="89">
        <v>1200</v>
      </c>
      <c r="I608" s="87">
        <v>15102660</v>
      </c>
      <c r="J608" s="54" t="s">
        <v>116</v>
      </c>
      <c r="K608" s="89" t="s">
        <v>133</v>
      </c>
      <c r="L608" s="45" t="s">
        <v>105</v>
      </c>
    </row>
    <row r="609" spans="1:12" s="53" customFormat="1" ht="20.149999999999999" customHeight="1">
      <c r="A609" s="44">
        <v>42614</v>
      </c>
      <c r="B609" s="49"/>
      <c r="C609" s="45" t="s">
        <v>20</v>
      </c>
      <c r="D609" s="89">
        <v>80.796000000000006</v>
      </c>
      <c r="E609" s="89">
        <v>57522.954588000001</v>
      </c>
      <c r="F609" s="90">
        <v>7.5</v>
      </c>
      <c r="G609" s="89">
        <v>431422.15941000002</v>
      </c>
      <c r="H609" s="89">
        <v>1200</v>
      </c>
      <c r="I609" s="87">
        <v>517706591.99999994</v>
      </c>
      <c r="J609" s="54" t="s">
        <v>116</v>
      </c>
      <c r="K609" s="89" t="s">
        <v>162</v>
      </c>
      <c r="L609" s="45" t="s">
        <v>105</v>
      </c>
    </row>
    <row r="610" spans="1:12" s="53" customFormat="1" ht="20.149999999999999" customHeight="1">
      <c r="A610" s="44">
        <v>42614</v>
      </c>
      <c r="B610" s="49"/>
      <c r="C610" s="45" t="s">
        <v>20</v>
      </c>
      <c r="D610" s="89">
        <v>1.073</v>
      </c>
      <c r="E610" s="89">
        <v>763.925569</v>
      </c>
      <c r="F610" s="90">
        <v>7.5</v>
      </c>
      <c r="G610" s="89">
        <v>5729.4417675000004</v>
      </c>
      <c r="H610" s="89">
        <v>1200</v>
      </c>
      <c r="I610" s="87">
        <v>6875327.9999999991</v>
      </c>
      <c r="J610" s="54" t="s">
        <v>116</v>
      </c>
      <c r="K610" s="89" t="s">
        <v>134</v>
      </c>
      <c r="L610" s="45" t="s">
        <v>105</v>
      </c>
    </row>
    <row r="611" spans="1:12" s="53" customFormat="1" ht="20.149999999999999" customHeight="1">
      <c r="A611" s="44">
        <v>42614</v>
      </c>
      <c r="B611" s="49"/>
      <c r="C611" s="45" t="s">
        <v>20</v>
      </c>
      <c r="D611" s="89">
        <v>0.625</v>
      </c>
      <c r="E611" s="89">
        <v>444.97062499999998</v>
      </c>
      <c r="F611" s="90">
        <v>7.5</v>
      </c>
      <c r="G611" s="89">
        <v>3337.2796874999999</v>
      </c>
      <c r="H611" s="89">
        <v>1200</v>
      </c>
      <c r="I611" s="87">
        <v>4004736.0000000005</v>
      </c>
      <c r="J611" s="54" t="s">
        <v>116</v>
      </c>
      <c r="K611" s="89" t="s">
        <v>138</v>
      </c>
      <c r="L611" s="45" t="s">
        <v>105</v>
      </c>
    </row>
    <row r="612" spans="1:12" s="53" customFormat="1" ht="20.149999999999999" customHeight="1">
      <c r="A612" s="44">
        <v>42614</v>
      </c>
      <c r="B612" s="49"/>
      <c r="C612" s="45" t="s">
        <v>20</v>
      </c>
      <c r="D612" s="89">
        <v>6.2E-2</v>
      </c>
      <c r="E612" s="89">
        <v>44.141086000000001</v>
      </c>
      <c r="F612" s="90">
        <v>7.5</v>
      </c>
      <c r="G612" s="89">
        <v>331.05814500000002</v>
      </c>
      <c r="H612" s="89">
        <v>1200</v>
      </c>
      <c r="I612" s="87">
        <v>397272</v>
      </c>
      <c r="J612" s="54" t="s">
        <v>116</v>
      </c>
      <c r="K612" s="89" t="s">
        <v>135</v>
      </c>
      <c r="L612" s="45" t="s">
        <v>105</v>
      </c>
    </row>
    <row r="613" spans="1:12" s="53" customFormat="1" ht="20.149999999999999" customHeight="1">
      <c r="A613" s="44">
        <v>42614</v>
      </c>
      <c r="B613" s="49"/>
      <c r="C613" s="45" t="s">
        <v>20</v>
      </c>
      <c r="D613" s="89">
        <v>192.327</v>
      </c>
      <c r="E613" s="89">
        <v>136927.78463099999</v>
      </c>
      <c r="F613" s="90">
        <v>7.5</v>
      </c>
      <c r="G613" s="89">
        <v>1026958.3847325</v>
      </c>
      <c r="H613" s="89">
        <v>1200</v>
      </c>
      <c r="I613" s="87">
        <v>1232350056</v>
      </c>
      <c r="J613" s="54" t="s">
        <v>116</v>
      </c>
      <c r="K613" s="89" t="s">
        <v>136</v>
      </c>
      <c r="L613" s="45" t="s">
        <v>105</v>
      </c>
    </row>
    <row r="614" spans="1:12" s="53" customFormat="1" ht="20.149999999999999" customHeight="1">
      <c r="A614" s="44">
        <v>42614</v>
      </c>
      <c r="B614" s="49"/>
      <c r="C614" s="45" t="s">
        <v>20</v>
      </c>
      <c r="D614" s="89">
        <v>0.59299999999999997</v>
      </c>
      <c r="E614" s="89">
        <v>422.18812899999995</v>
      </c>
      <c r="F614" s="90">
        <v>7.5</v>
      </c>
      <c r="G614" s="89">
        <v>3166.4109674999995</v>
      </c>
      <c r="H614" s="89">
        <v>1200</v>
      </c>
      <c r="I614" s="87">
        <v>3799692</v>
      </c>
      <c r="J614" s="54" t="s">
        <v>116</v>
      </c>
      <c r="K614" s="89" t="s">
        <v>146</v>
      </c>
      <c r="L614" s="45" t="s">
        <v>105</v>
      </c>
    </row>
    <row r="615" spans="1:12" s="53" customFormat="1" ht="20.149999999999999" customHeight="1">
      <c r="A615" s="44">
        <v>42614</v>
      </c>
      <c r="B615" s="49"/>
      <c r="C615" s="45" t="s">
        <v>20</v>
      </c>
      <c r="D615" s="89">
        <v>235.68799999999999</v>
      </c>
      <c r="E615" s="89">
        <v>167798.77866399998</v>
      </c>
      <c r="F615" s="90">
        <v>7.5</v>
      </c>
      <c r="G615" s="89">
        <v>1258490.8399799999</v>
      </c>
      <c r="H615" s="89">
        <v>1200</v>
      </c>
      <c r="I615" s="87">
        <v>1510189008</v>
      </c>
      <c r="J615" s="54" t="s">
        <v>116</v>
      </c>
      <c r="K615" s="89" t="s">
        <v>161</v>
      </c>
      <c r="L615" s="45" t="s">
        <v>105</v>
      </c>
    </row>
    <row r="616" spans="1:12" s="53" customFormat="1" ht="20.149999999999999" customHeight="1">
      <c r="A616" s="44">
        <v>42614</v>
      </c>
      <c r="B616" s="49"/>
      <c r="C616" s="45" t="s">
        <v>20</v>
      </c>
      <c r="D616" s="89">
        <v>0.34499999999999997</v>
      </c>
      <c r="E616" s="89">
        <v>245.62378499999997</v>
      </c>
      <c r="F616" s="90">
        <v>7.5</v>
      </c>
      <c r="G616" s="89">
        <v>1842.1783874999999</v>
      </c>
      <c r="H616" s="89">
        <v>1200</v>
      </c>
      <c r="I616" s="87">
        <v>2210616</v>
      </c>
      <c r="J616" s="54" t="s">
        <v>116</v>
      </c>
      <c r="K616" s="89" t="s">
        <v>139</v>
      </c>
      <c r="L616" s="45" t="s">
        <v>105</v>
      </c>
    </row>
    <row r="617" spans="1:12" s="53" customFormat="1" ht="20.149999999999999" customHeight="1">
      <c r="A617" s="44">
        <v>42614</v>
      </c>
      <c r="B617" s="49"/>
      <c r="C617" s="45" t="s">
        <v>20</v>
      </c>
      <c r="D617" s="89">
        <v>955.70500000000004</v>
      </c>
      <c r="E617" s="89">
        <v>680417.04186500004</v>
      </c>
      <c r="F617" s="90">
        <v>7.5</v>
      </c>
      <c r="G617" s="89">
        <v>5103127.8139875</v>
      </c>
      <c r="H617" s="89">
        <v>1200</v>
      </c>
      <c r="I617" s="87">
        <v>6123753371.999999</v>
      </c>
      <c r="J617" s="54" t="s">
        <v>116</v>
      </c>
      <c r="K617" s="89" t="s">
        <v>140</v>
      </c>
      <c r="L617" s="45" t="s">
        <v>105</v>
      </c>
    </row>
    <row r="618" spans="1:12" s="53" customFormat="1" ht="20.149999999999999" customHeight="1">
      <c r="A618" s="44">
        <v>42614</v>
      </c>
      <c r="B618" s="49"/>
      <c r="C618" s="45" t="s">
        <v>20</v>
      </c>
      <c r="D618" s="89">
        <v>1108.375</v>
      </c>
      <c r="E618" s="89">
        <v>789110.90637500002</v>
      </c>
      <c r="F618" s="90">
        <v>7.5</v>
      </c>
      <c r="G618" s="89">
        <v>5918331.7978125</v>
      </c>
      <c r="H618" s="89">
        <v>1200</v>
      </c>
      <c r="I618" s="87">
        <v>7101998160</v>
      </c>
      <c r="J618" s="54" t="s">
        <v>116</v>
      </c>
      <c r="K618" s="89" t="s">
        <v>141</v>
      </c>
      <c r="L618" s="45" t="s">
        <v>105</v>
      </c>
    </row>
    <row r="619" spans="1:12" s="53" customFormat="1" ht="20.149999999999999" customHeight="1">
      <c r="A619" s="44">
        <v>42614</v>
      </c>
      <c r="B619" s="49"/>
      <c r="C619" s="45" t="s">
        <v>20</v>
      </c>
      <c r="D619" s="89">
        <v>27.068000000000001</v>
      </c>
      <c r="E619" s="89">
        <v>19271.143803999999</v>
      </c>
      <c r="F619" s="90">
        <v>7.5</v>
      </c>
      <c r="G619" s="89">
        <v>144533.57853</v>
      </c>
      <c r="H619" s="89">
        <v>1200</v>
      </c>
      <c r="I619" s="87">
        <v>173440295.99999997</v>
      </c>
      <c r="J619" s="54" t="s">
        <v>116</v>
      </c>
      <c r="K619" s="89" t="s">
        <v>142</v>
      </c>
      <c r="L619" s="45" t="s">
        <v>105</v>
      </c>
    </row>
    <row r="620" spans="1:12" s="53" customFormat="1" ht="20.149999999999999" customHeight="1">
      <c r="A620" s="44">
        <v>42614</v>
      </c>
      <c r="B620" s="49"/>
      <c r="C620" s="45" t="s">
        <v>20</v>
      </c>
      <c r="D620" s="89">
        <v>1466.865</v>
      </c>
      <c r="E620" s="89">
        <v>1044338.937345</v>
      </c>
      <c r="F620" s="90">
        <v>7.5</v>
      </c>
      <c r="G620" s="89">
        <v>7832542.0300874999</v>
      </c>
      <c r="H620" s="89">
        <v>1200</v>
      </c>
      <c r="I620" s="87">
        <v>9399050436</v>
      </c>
      <c r="J620" s="54" t="s">
        <v>116</v>
      </c>
      <c r="K620" s="89" t="s">
        <v>143</v>
      </c>
      <c r="L620" s="45" t="s">
        <v>105</v>
      </c>
    </row>
    <row r="621" spans="1:12" s="53" customFormat="1" ht="20.149999999999999" customHeight="1">
      <c r="A621" s="44">
        <v>42614</v>
      </c>
      <c r="B621" s="49"/>
      <c r="C621" s="45" t="s">
        <v>20</v>
      </c>
      <c r="D621" s="89">
        <v>1097.482</v>
      </c>
      <c r="E621" s="89">
        <v>781355.60234599991</v>
      </c>
      <c r="F621" s="90">
        <v>7.5</v>
      </c>
      <c r="G621" s="89">
        <v>5860167.0175949996</v>
      </c>
      <c r="H621" s="89">
        <v>1200</v>
      </c>
      <c r="I621" s="87">
        <v>7032200423.999999</v>
      </c>
      <c r="J621" s="54" t="s">
        <v>116</v>
      </c>
      <c r="K621" s="89" t="s">
        <v>144</v>
      </c>
      <c r="L621" s="45" t="s">
        <v>105</v>
      </c>
    </row>
    <row r="622" spans="1:12" s="53" customFormat="1" ht="20.149999999999999" customHeight="1">
      <c r="A622" s="44">
        <v>42614</v>
      </c>
      <c r="B622" s="49"/>
      <c r="C622" s="45" t="s">
        <v>20</v>
      </c>
      <c r="D622" s="89">
        <v>0.81</v>
      </c>
      <c r="E622" s="89">
        <v>576.68192999999997</v>
      </c>
      <c r="F622" s="90">
        <v>2.4367000000000001</v>
      </c>
      <c r="G622" s="89">
        <v>1973.7170000000003</v>
      </c>
      <c r="H622" s="89">
        <v>1200</v>
      </c>
      <c r="I622" s="87">
        <v>2368464</v>
      </c>
      <c r="J622" s="54" t="s">
        <v>116</v>
      </c>
      <c r="K622" s="89" t="s">
        <v>147</v>
      </c>
      <c r="L622" s="45" t="s">
        <v>105</v>
      </c>
    </row>
    <row r="623" spans="1:12" s="53" customFormat="1" ht="20.149999999999999" customHeight="1">
      <c r="A623" s="44">
        <v>42614</v>
      </c>
      <c r="B623" s="49"/>
      <c r="C623" s="45" t="s">
        <v>20</v>
      </c>
      <c r="D623" s="89">
        <v>2.181</v>
      </c>
      <c r="E623" s="89">
        <v>1552.769493</v>
      </c>
      <c r="F623" s="90">
        <v>2.4367000000000001</v>
      </c>
      <c r="G623" s="89">
        <v>5314.4427000000005</v>
      </c>
      <c r="H623" s="89">
        <v>1200</v>
      </c>
      <c r="I623" s="87">
        <v>6377327.9999999991</v>
      </c>
      <c r="J623" s="54" t="s">
        <v>116</v>
      </c>
      <c r="K623" s="89" t="s">
        <v>148</v>
      </c>
      <c r="L623" s="45" t="s">
        <v>105</v>
      </c>
    </row>
    <row r="624" spans="1:12" s="53" customFormat="1" ht="20.149999999999999" customHeight="1">
      <c r="A624" s="44">
        <v>42614</v>
      </c>
      <c r="B624" s="49"/>
      <c r="C624" s="45" t="s">
        <v>20</v>
      </c>
      <c r="D624" s="89">
        <v>0.33200000000000002</v>
      </c>
      <c r="E624" s="89">
        <v>236.36839599999999</v>
      </c>
      <c r="F624" s="90">
        <v>2.4367000000000001</v>
      </c>
      <c r="G624" s="89">
        <v>808.99440000000004</v>
      </c>
      <c r="H624" s="89">
        <v>1200</v>
      </c>
      <c r="I624" s="87">
        <v>970788</v>
      </c>
      <c r="J624" s="54" t="s">
        <v>116</v>
      </c>
      <c r="K624" s="89" t="s">
        <v>149</v>
      </c>
      <c r="L624" s="45" t="s">
        <v>105</v>
      </c>
    </row>
    <row r="625" spans="1:12" s="53" customFormat="1" ht="20.149999999999999" customHeight="1">
      <c r="A625" s="44">
        <v>42614</v>
      </c>
      <c r="B625" s="49"/>
      <c r="C625" s="45" t="s">
        <v>20</v>
      </c>
      <c r="D625" s="89">
        <v>0.27500000000000002</v>
      </c>
      <c r="E625" s="89">
        <v>195.78707500000002</v>
      </c>
      <c r="F625" s="90">
        <v>2.4367000000000001</v>
      </c>
      <c r="G625" s="89">
        <v>670.09250000000009</v>
      </c>
      <c r="H625" s="89">
        <v>1200</v>
      </c>
      <c r="I625" s="87">
        <v>804108</v>
      </c>
      <c r="J625" s="54" t="s">
        <v>116</v>
      </c>
      <c r="K625" s="89" t="s">
        <v>150</v>
      </c>
      <c r="L625" s="45" t="s">
        <v>105</v>
      </c>
    </row>
    <row r="626" spans="1:12" s="53" customFormat="1" ht="20.149999999999999" customHeight="1">
      <c r="A626" s="44">
        <v>42614</v>
      </c>
      <c r="B626" s="49"/>
      <c r="C626" s="45" t="s">
        <v>20</v>
      </c>
      <c r="D626" s="89">
        <v>7.5999999999999998E-2</v>
      </c>
      <c r="E626" s="89">
        <v>54.108427999999996</v>
      </c>
      <c r="F626" s="90">
        <v>2.4367000000000001</v>
      </c>
      <c r="G626" s="89">
        <v>185.1892</v>
      </c>
      <c r="H626" s="89">
        <v>1200</v>
      </c>
      <c r="I626" s="87">
        <v>222228</v>
      </c>
      <c r="J626" s="54" t="s">
        <v>116</v>
      </c>
      <c r="K626" s="89" t="s">
        <v>151</v>
      </c>
      <c r="L626" s="45" t="s">
        <v>105</v>
      </c>
    </row>
    <row r="627" spans="1:12" s="53" customFormat="1" ht="20.149999999999999" customHeight="1">
      <c r="A627" s="44">
        <v>42614</v>
      </c>
      <c r="B627" s="49"/>
      <c r="C627" s="45" t="s">
        <v>20</v>
      </c>
      <c r="D627" s="89">
        <v>1.262</v>
      </c>
      <c r="E627" s="89">
        <v>898.48468600000001</v>
      </c>
      <c r="F627" s="90">
        <v>2.4367000000000001</v>
      </c>
      <c r="G627" s="89">
        <v>3075.1053999999999</v>
      </c>
      <c r="H627" s="89">
        <v>1200</v>
      </c>
      <c r="I627" s="87">
        <v>3690132</v>
      </c>
      <c r="J627" s="54" t="s">
        <v>116</v>
      </c>
      <c r="K627" s="89" t="s">
        <v>152</v>
      </c>
      <c r="L627" s="45" t="s">
        <v>105</v>
      </c>
    </row>
    <row r="628" spans="1:12" s="53" customFormat="1" ht="20.149999999999999" customHeight="1">
      <c r="A628" s="44">
        <v>42614</v>
      </c>
      <c r="B628" s="49"/>
      <c r="C628" s="45" t="s">
        <v>20</v>
      </c>
      <c r="D628" s="89">
        <v>4.0750000000000002</v>
      </c>
      <c r="E628" s="89">
        <v>2901.2084749999999</v>
      </c>
      <c r="F628" s="90">
        <v>2.4367000000000001</v>
      </c>
      <c r="G628" s="89">
        <v>9929.5525000000016</v>
      </c>
      <c r="H628" s="89">
        <v>1200</v>
      </c>
      <c r="I628" s="87">
        <v>11915460</v>
      </c>
      <c r="J628" s="54" t="s">
        <v>116</v>
      </c>
      <c r="K628" s="89" t="s">
        <v>159</v>
      </c>
      <c r="L628" s="45" t="s">
        <v>105</v>
      </c>
    </row>
    <row r="629" spans="1:12" s="53" customFormat="1" ht="20.149999999999999" customHeight="1">
      <c r="A629" s="44">
        <v>42614</v>
      </c>
      <c r="B629" s="49"/>
      <c r="C629" s="45" t="s">
        <v>20</v>
      </c>
      <c r="D629" s="89">
        <v>4.5199999999999996</v>
      </c>
      <c r="E629" s="89">
        <v>3218.0275599999995</v>
      </c>
      <c r="F629" s="90">
        <v>2.4367000000000001</v>
      </c>
      <c r="G629" s="89">
        <v>11013.884</v>
      </c>
      <c r="H629" s="89">
        <v>1200</v>
      </c>
      <c r="I629" s="87">
        <v>13216655.999999998</v>
      </c>
      <c r="J629" s="54" t="s">
        <v>116</v>
      </c>
      <c r="K629" s="89" t="s">
        <v>153</v>
      </c>
      <c r="L629" s="45" t="s">
        <v>105</v>
      </c>
    </row>
    <row r="630" spans="1:12" s="53" customFormat="1" ht="20.149999999999999" customHeight="1">
      <c r="A630" s="44">
        <v>42614</v>
      </c>
      <c r="B630" s="49"/>
      <c r="C630" s="45" t="s">
        <v>20</v>
      </c>
      <c r="D630" s="89">
        <v>0.81599999999999995</v>
      </c>
      <c r="E630" s="89">
        <v>580.95364799999993</v>
      </c>
      <c r="F630" s="90">
        <v>2.4367000000000001</v>
      </c>
      <c r="G630" s="89">
        <v>1988.3371999999999</v>
      </c>
      <c r="H630" s="89">
        <v>1200</v>
      </c>
      <c r="I630" s="87">
        <v>2386008</v>
      </c>
      <c r="J630" s="54" t="s">
        <v>116</v>
      </c>
      <c r="K630" s="89" t="s">
        <v>154</v>
      </c>
      <c r="L630" s="45" t="s">
        <v>105</v>
      </c>
    </row>
    <row r="631" spans="1:12" s="53" customFormat="1" ht="20.149999999999999" customHeight="1">
      <c r="A631" s="44">
        <v>42614</v>
      </c>
      <c r="B631" s="49"/>
      <c r="C631" s="45" t="s">
        <v>20</v>
      </c>
      <c r="D631" s="89">
        <v>4.0780000000000003</v>
      </c>
      <c r="E631" s="89">
        <v>2903.3443339999999</v>
      </c>
      <c r="F631" s="90">
        <v>2.4367000000000001</v>
      </c>
      <c r="G631" s="89">
        <v>9936.8726000000024</v>
      </c>
      <c r="H631" s="89">
        <v>1200</v>
      </c>
      <c r="I631" s="87">
        <v>11924244.000000002</v>
      </c>
      <c r="J631" s="54" t="s">
        <v>116</v>
      </c>
      <c r="K631" s="89" t="s">
        <v>155</v>
      </c>
      <c r="L631" s="45" t="s">
        <v>105</v>
      </c>
    </row>
    <row r="632" spans="1:12" s="53" customFormat="1" ht="20.149999999999999" customHeight="1">
      <c r="A632" s="44">
        <v>42614</v>
      </c>
      <c r="B632" s="49"/>
      <c r="C632" s="45" t="s">
        <v>20</v>
      </c>
      <c r="D632" s="89">
        <v>1.6259999999999999</v>
      </c>
      <c r="E632" s="89">
        <v>1157.6355779999999</v>
      </c>
      <c r="F632" s="90">
        <v>2.4367000000000001</v>
      </c>
      <c r="G632" s="89">
        <v>3962.0842000000002</v>
      </c>
      <c r="H632" s="89">
        <v>1200</v>
      </c>
      <c r="I632" s="87">
        <v>4754496</v>
      </c>
      <c r="J632" s="54" t="s">
        <v>116</v>
      </c>
      <c r="K632" s="89" t="s">
        <v>160</v>
      </c>
      <c r="L632" s="45" t="s">
        <v>105</v>
      </c>
    </row>
    <row r="633" spans="1:12" s="53" customFormat="1" ht="20.149999999999999" customHeight="1">
      <c r="A633" s="44">
        <v>42614</v>
      </c>
      <c r="B633" s="49"/>
      <c r="C633" s="45" t="s">
        <v>20</v>
      </c>
      <c r="D633" s="89">
        <v>0.17599999999999999</v>
      </c>
      <c r="E633" s="89">
        <v>125.30372799999999</v>
      </c>
      <c r="F633" s="90">
        <v>2.4367000000000001</v>
      </c>
      <c r="G633" s="89">
        <v>428.85919999999999</v>
      </c>
      <c r="H633" s="89">
        <v>1200</v>
      </c>
      <c r="I633" s="87">
        <v>514632</v>
      </c>
      <c r="J633" s="54" t="s">
        <v>116</v>
      </c>
      <c r="K633" s="89" t="s">
        <v>156</v>
      </c>
      <c r="L633" s="45" t="s">
        <v>105</v>
      </c>
    </row>
    <row r="634" spans="1:12" s="53" customFormat="1" ht="20.149999999999999" customHeight="1">
      <c r="A634" s="44">
        <v>42614</v>
      </c>
      <c r="B634" s="49"/>
      <c r="C634" s="45" t="s">
        <v>20</v>
      </c>
      <c r="D634" s="89">
        <v>0.27900000000000003</v>
      </c>
      <c r="E634" s="89">
        <v>198.63488700000002</v>
      </c>
      <c r="F634" s="90">
        <v>2.4367000000000001</v>
      </c>
      <c r="G634" s="89">
        <v>679.83929999999998</v>
      </c>
      <c r="H634" s="89">
        <v>1200</v>
      </c>
      <c r="I634" s="87">
        <v>815808</v>
      </c>
      <c r="J634" s="54" t="s">
        <v>116</v>
      </c>
      <c r="K634" s="89" t="s">
        <v>157</v>
      </c>
      <c r="L634" s="45" t="s">
        <v>105</v>
      </c>
    </row>
    <row r="635" spans="1:12" s="53" customFormat="1" ht="20.149999999999999" customHeight="1">
      <c r="A635" s="44"/>
      <c r="B635" s="49"/>
      <c r="C635" s="45"/>
      <c r="D635" s="89"/>
      <c r="E635" s="89"/>
      <c r="F635" s="90"/>
      <c r="G635" s="89"/>
      <c r="H635" s="89"/>
      <c r="I635" s="88"/>
      <c r="J635" s="54"/>
      <c r="K635" s="89"/>
      <c r="L635" s="45"/>
    </row>
    <row r="636" spans="1:12" s="53" customFormat="1" ht="20.149999999999999" customHeight="1">
      <c r="A636" s="44">
        <v>42644</v>
      </c>
      <c r="B636" s="49"/>
      <c r="C636" s="45" t="s">
        <v>20</v>
      </c>
      <c r="D636" s="89">
        <v>1.54</v>
      </c>
      <c r="E636" s="89">
        <v>1099.5137999999999</v>
      </c>
      <c r="F636" s="90">
        <v>7.5</v>
      </c>
      <c r="G636" s="89">
        <v>8246.3534999999993</v>
      </c>
      <c r="H636" s="89">
        <v>1215</v>
      </c>
      <c r="I636" s="87">
        <v>10019315.25</v>
      </c>
      <c r="J636" s="54" t="s">
        <v>116</v>
      </c>
      <c r="K636" s="89" t="s">
        <v>165</v>
      </c>
      <c r="L636" s="45" t="s">
        <v>105</v>
      </c>
    </row>
    <row r="637" spans="1:12" s="53" customFormat="1" ht="20.149999999999999" customHeight="1">
      <c r="A637" s="44">
        <v>42644</v>
      </c>
      <c r="B637" s="49"/>
      <c r="C637" s="45" t="s">
        <v>20</v>
      </c>
      <c r="D637" s="89">
        <v>0.75600000000000001</v>
      </c>
      <c r="E637" s="89">
        <v>539.76130000000001</v>
      </c>
      <c r="F637" s="90">
        <v>7.5</v>
      </c>
      <c r="G637" s="89">
        <v>4048.20975</v>
      </c>
      <c r="H637" s="89">
        <v>1215</v>
      </c>
      <c r="I637" s="87">
        <v>4918575.1500000004</v>
      </c>
      <c r="J637" s="54" t="s">
        <v>116</v>
      </c>
      <c r="K637" s="89" t="s">
        <v>118</v>
      </c>
      <c r="L637" s="45" t="s">
        <v>105</v>
      </c>
    </row>
    <row r="638" spans="1:12" s="53" customFormat="1" ht="20.149999999999999" customHeight="1">
      <c r="A638" s="44">
        <v>42644</v>
      </c>
      <c r="B638" s="49"/>
      <c r="C638" s="45" t="s">
        <v>20</v>
      </c>
      <c r="D638" s="89">
        <v>10.688000000000001</v>
      </c>
      <c r="E638" s="89">
        <v>7630.9114</v>
      </c>
      <c r="F638" s="90">
        <v>7.5</v>
      </c>
      <c r="G638" s="89">
        <v>57231.835500000001</v>
      </c>
      <c r="H638" s="89">
        <v>1215</v>
      </c>
      <c r="I638" s="87">
        <v>69536685.599999994</v>
      </c>
      <c r="J638" s="54" t="s">
        <v>116</v>
      </c>
      <c r="K638" s="89" t="s">
        <v>119</v>
      </c>
      <c r="L638" s="45" t="s">
        <v>105</v>
      </c>
    </row>
    <row r="639" spans="1:12" s="53" customFormat="1" ht="20.149999999999999" customHeight="1">
      <c r="A639" s="44">
        <v>42644</v>
      </c>
      <c r="B639" s="49"/>
      <c r="C639" s="45" t="s">
        <v>20</v>
      </c>
      <c r="D639" s="89">
        <v>13.084</v>
      </c>
      <c r="E639" s="89">
        <v>9341.5835000000006</v>
      </c>
      <c r="F639" s="90">
        <v>7.5</v>
      </c>
      <c r="G639" s="89">
        <v>70061.876250000001</v>
      </c>
      <c r="H639" s="89">
        <v>1215</v>
      </c>
      <c r="I639" s="87">
        <v>85125184.200000003</v>
      </c>
      <c r="J639" s="54" t="s">
        <v>116</v>
      </c>
      <c r="K639" s="89" t="s">
        <v>166</v>
      </c>
      <c r="L639" s="45" t="s">
        <v>105</v>
      </c>
    </row>
    <row r="640" spans="1:12" s="53" customFormat="1" ht="20.149999999999999" customHeight="1">
      <c r="A640" s="44">
        <v>42644</v>
      </c>
      <c r="B640" s="49"/>
      <c r="C640" s="45" t="s">
        <v>20</v>
      </c>
      <c r="D640" s="89">
        <v>0.21299999999999999</v>
      </c>
      <c r="E640" s="89">
        <v>152.07560000000001</v>
      </c>
      <c r="F640" s="90">
        <v>7.5</v>
      </c>
      <c r="G640" s="89">
        <v>1140.567</v>
      </c>
      <c r="H640" s="89">
        <v>1215</v>
      </c>
      <c r="I640" s="87">
        <v>1385792.5499999998</v>
      </c>
      <c r="J640" s="54" t="s">
        <v>116</v>
      </c>
      <c r="K640" s="89" t="s">
        <v>121</v>
      </c>
      <c r="L640" s="45" t="s">
        <v>105</v>
      </c>
    </row>
    <row r="641" spans="1:12" s="53" customFormat="1" ht="20.149999999999999" customHeight="1">
      <c r="A641" s="44">
        <v>42644</v>
      </c>
      <c r="B641" s="49"/>
      <c r="C641" s="45" t="s">
        <v>20</v>
      </c>
      <c r="D641" s="89">
        <v>2.0510000000000002</v>
      </c>
      <c r="E641" s="89">
        <v>1464.3525</v>
      </c>
      <c r="F641" s="90">
        <v>7.5</v>
      </c>
      <c r="G641" s="89">
        <v>10982.643749999999</v>
      </c>
      <c r="H641" s="89">
        <v>1215</v>
      </c>
      <c r="I641" s="87">
        <v>13343907.6</v>
      </c>
      <c r="J641" s="54" t="s">
        <v>116</v>
      </c>
      <c r="K641" s="89" t="s">
        <v>122</v>
      </c>
      <c r="L641" s="45" t="s">
        <v>105</v>
      </c>
    </row>
    <row r="642" spans="1:12" s="53" customFormat="1" ht="20.149999999999999" customHeight="1">
      <c r="A642" s="44">
        <v>42644</v>
      </c>
      <c r="B642" s="49"/>
      <c r="C642" s="45" t="s">
        <v>20</v>
      </c>
      <c r="D642" s="89">
        <v>12.803000000000001</v>
      </c>
      <c r="E642" s="89">
        <v>9140.9578999999994</v>
      </c>
      <c r="F642" s="90">
        <v>7.5</v>
      </c>
      <c r="G642" s="89">
        <v>68557.184249999991</v>
      </c>
      <c r="H642" s="89">
        <v>1215</v>
      </c>
      <c r="I642" s="87">
        <v>83296973.699999988</v>
      </c>
      <c r="J642" s="54" t="s">
        <v>116</v>
      </c>
      <c r="K642" s="89" t="s">
        <v>123</v>
      </c>
      <c r="L642" s="45" t="s">
        <v>105</v>
      </c>
    </row>
    <row r="643" spans="1:12" s="53" customFormat="1" ht="20.149999999999999" customHeight="1">
      <c r="A643" s="44">
        <v>42644</v>
      </c>
      <c r="B643" s="49"/>
      <c r="C643" s="45" t="s">
        <v>20</v>
      </c>
      <c r="D643" s="89">
        <v>0.65300000000000002</v>
      </c>
      <c r="E643" s="89">
        <v>466.22239999999999</v>
      </c>
      <c r="F643" s="90">
        <v>7.5</v>
      </c>
      <c r="G643" s="89">
        <v>3496.6680000000001</v>
      </c>
      <c r="H643" s="89">
        <v>1215</v>
      </c>
      <c r="I643" s="87">
        <v>4248454.05</v>
      </c>
      <c r="J643" s="54" t="s">
        <v>116</v>
      </c>
      <c r="K643" s="89" t="s">
        <v>124</v>
      </c>
      <c r="L643" s="45" t="s">
        <v>105</v>
      </c>
    </row>
    <row r="644" spans="1:12" s="53" customFormat="1" ht="20.149999999999999" customHeight="1">
      <c r="A644" s="44">
        <v>42644</v>
      </c>
      <c r="B644" s="49"/>
      <c r="C644" s="45" t="s">
        <v>20</v>
      </c>
      <c r="D644" s="89">
        <v>2.5999999999999999E-2</v>
      </c>
      <c r="E644" s="89">
        <v>18.563199999999998</v>
      </c>
      <c r="F644" s="90">
        <v>7.5</v>
      </c>
      <c r="G644" s="89">
        <v>139.22399999999999</v>
      </c>
      <c r="H644" s="89">
        <v>1215</v>
      </c>
      <c r="I644" s="87">
        <v>169152.3</v>
      </c>
      <c r="J644" s="54" t="s">
        <v>116</v>
      </c>
      <c r="K644" s="89" t="s">
        <v>125</v>
      </c>
      <c r="L644" s="45" t="s">
        <v>105</v>
      </c>
    </row>
    <row r="645" spans="1:12" s="53" customFormat="1" ht="20.149999999999999" customHeight="1">
      <c r="A645" s="44">
        <v>42644</v>
      </c>
      <c r="B645" s="49"/>
      <c r="C645" s="45" t="s">
        <v>20</v>
      </c>
      <c r="D645" s="89">
        <v>1.6E-2</v>
      </c>
      <c r="E645" s="89">
        <v>11.423500000000001</v>
      </c>
      <c r="F645" s="90">
        <v>7.5</v>
      </c>
      <c r="G645" s="89">
        <v>85.67625000000001</v>
      </c>
      <c r="H645" s="89">
        <v>1215</v>
      </c>
      <c r="I645" s="87">
        <v>104101.20000000001</v>
      </c>
      <c r="J645" s="54" t="s">
        <v>116</v>
      </c>
      <c r="K645" s="89" t="s">
        <v>167</v>
      </c>
      <c r="L645" s="45" t="s">
        <v>105</v>
      </c>
    </row>
    <row r="646" spans="1:12" s="53" customFormat="1" ht="20.149999999999999" customHeight="1">
      <c r="A646" s="44">
        <v>42644</v>
      </c>
      <c r="B646" s="49"/>
      <c r="C646" s="45" t="s">
        <v>20</v>
      </c>
      <c r="D646" s="89">
        <v>0.999</v>
      </c>
      <c r="E646" s="89">
        <v>713.25599999999997</v>
      </c>
      <c r="F646" s="90">
        <v>7.5</v>
      </c>
      <c r="G646" s="89">
        <v>5349.42</v>
      </c>
      <c r="H646" s="89">
        <v>1215</v>
      </c>
      <c r="I646" s="87">
        <v>6499545.2999999998</v>
      </c>
      <c r="J646" s="54" t="s">
        <v>116</v>
      </c>
      <c r="K646" s="89" t="s">
        <v>126</v>
      </c>
      <c r="L646" s="45" t="s">
        <v>105</v>
      </c>
    </row>
    <row r="647" spans="1:12" s="53" customFormat="1" ht="20.149999999999999" customHeight="1">
      <c r="A647" s="44">
        <v>42644</v>
      </c>
      <c r="B647" s="49"/>
      <c r="C647" s="45" t="s">
        <v>20</v>
      </c>
      <c r="D647" s="89">
        <v>9.548</v>
      </c>
      <c r="E647" s="89">
        <v>6816.9856</v>
      </c>
      <c r="F647" s="90">
        <v>7.5</v>
      </c>
      <c r="G647" s="89">
        <v>51127.392</v>
      </c>
      <c r="H647" s="89">
        <v>1215</v>
      </c>
      <c r="I647" s="87">
        <v>62119778.850000001</v>
      </c>
      <c r="J647" s="54" t="s">
        <v>116</v>
      </c>
      <c r="K647" s="89" t="s">
        <v>168</v>
      </c>
      <c r="L647" s="45" t="s">
        <v>105</v>
      </c>
    </row>
    <row r="648" spans="1:12" s="53" customFormat="1" ht="20.149999999999999" customHeight="1">
      <c r="A648" s="44">
        <v>42644</v>
      </c>
      <c r="B648" s="49"/>
      <c r="C648" s="45" t="s">
        <v>20</v>
      </c>
      <c r="D648" s="89">
        <v>1.907</v>
      </c>
      <c r="E648" s="89">
        <v>1361.5408</v>
      </c>
      <c r="F648" s="90">
        <v>7.5</v>
      </c>
      <c r="G648" s="89">
        <v>10211.556</v>
      </c>
      <c r="H648" s="89">
        <v>1215</v>
      </c>
      <c r="I648" s="87">
        <v>12407045.399999999</v>
      </c>
      <c r="J648" s="54" t="s">
        <v>116</v>
      </c>
      <c r="K648" s="89" t="s">
        <v>127</v>
      </c>
      <c r="L648" s="45" t="s">
        <v>105</v>
      </c>
    </row>
    <row r="649" spans="1:12" s="53" customFormat="1" ht="20.149999999999999" customHeight="1">
      <c r="A649" s="44">
        <v>42644</v>
      </c>
      <c r="B649" s="49"/>
      <c r="C649" s="45" t="s">
        <v>20</v>
      </c>
      <c r="D649" s="89">
        <v>0.03</v>
      </c>
      <c r="E649" s="89">
        <v>21.4191</v>
      </c>
      <c r="F649" s="90">
        <v>7.5</v>
      </c>
      <c r="G649" s="89">
        <v>160.64324999999999</v>
      </c>
      <c r="H649" s="89">
        <v>1215</v>
      </c>
      <c r="I649" s="87">
        <v>195177.59999999998</v>
      </c>
      <c r="J649" s="54" t="s">
        <v>116</v>
      </c>
      <c r="K649" s="89" t="s">
        <v>128</v>
      </c>
      <c r="L649" s="45" t="s">
        <v>105</v>
      </c>
    </row>
    <row r="650" spans="1:12" s="53" customFormat="1" ht="20.149999999999999" customHeight="1">
      <c r="A650" s="44">
        <v>42644</v>
      </c>
      <c r="B650" s="49"/>
      <c r="C650" s="45" t="s">
        <v>20</v>
      </c>
      <c r="D650" s="89">
        <v>0.217</v>
      </c>
      <c r="E650" s="89">
        <v>154.9315</v>
      </c>
      <c r="F650" s="90">
        <v>7.5</v>
      </c>
      <c r="G650" s="89">
        <v>1161.9862499999999</v>
      </c>
      <c r="H650" s="89">
        <v>1215</v>
      </c>
      <c r="I650" s="87">
        <v>1411817.85</v>
      </c>
      <c r="J650" s="54" t="s">
        <v>116</v>
      </c>
      <c r="K650" s="89" t="s">
        <v>129</v>
      </c>
      <c r="L650" s="45" t="s">
        <v>105</v>
      </c>
    </row>
    <row r="651" spans="1:12" s="53" customFormat="1" ht="20.149999999999999" customHeight="1">
      <c r="A651" s="44">
        <v>42644</v>
      </c>
      <c r="B651" s="49"/>
      <c r="C651" s="45" t="s">
        <v>20</v>
      </c>
      <c r="D651" s="89">
        <v>0.52100000000000002</v>
      </c>
      <c r="E651" s="89">
        <v>371.97840000000002</v>
      </c>
      <c r="F651" s="90">
        <v>7.5</v>
      </c>
      <c r="G651" s="89">
        <v>2789.8380000000002</v>
      </c>
      <c r="H651" s="89">
        <v>1215</v>
      </c>
      <c r="I651" s="87">
        <v>3389655.6</v>
      </c>
      <c r="J651" s="54" t="s">
        <v>116</v>
      </c>
      <c r="K651" s="89" t="s">
        <v>130</v>
      </c>
      <c r="L651" s="45" t="s">
        <v>105</v>
      </c>
    </row>
    <row r="652" spans="1:12" s="53" customFormat="1" ht="20.149999999999999" customHeight="1">
      <c r="A652" s="44">
        <v>42644</v>
      </c>
      <c r="B652" s="49"/>
      <c r="C652" s="45" t="s">
        <v>20</v>
      </c>
      <c r="D652" s="89">
        <v>5.5330000000000004</v>
      </c>
      <c r="E652" s="89">
        <v>3950.3960000000002</v>
      </c>
      <c r="F652" s="90">
        <v>7.5</v>
      </c>
      <c r="G652" s="89">
        <v>29627.97</v>
      </c>
      <c r="H652" s="89">
        <v>1215</v>
      </c>
      <c r="I652" s="87">
        <v>35997983.550000004</v>
      </c>
      <c r="J652" s="54" t="s">
        <v>116</v>
      </c>
      <c r="K652" s="89" t="s">
        <v>132</v>
      </c>
      <c r="L652" s="45" t="s">
        <v>105</v>
      </c>
    </row>
    <row r="653" spans="1:12" s="53" customFormat="1" ht="20.149999999999999" customHeight="1">
      <c r="A653" s="44">
        <v>42644</v>
      </c>
      <c r="B653" s="49"/>
      <c r="C653" s="45" t="s">
        <v>20</v>
      </c>
      <c r="D653" s="89">
        <v>2.3460000000000001</v>
      </c>
      <c r="E653" s="89">
        <v>1674.9736</v>
      </c>
      <c r="F653" s="90">
        <v>7.5</v>
      </c>
      <c r="G653" s="89">
        <v>12562.302</v>
      </c>
      <c r="H653" s="89">
        <v>1215</v>
      </c>
      <c r="I653" s="87">
        <v>15263194.5</v>
      </c>
      <c r="J653" s="54" t="s">
        <v>116</v>
      </c>
      <c r="K653" s="89" t="s">
        <v>133</v>
      </c>
      <c r="L653" s="45" t="s">
        <v>105</v>
      </c>
    </row>
    <row r="654" spans="1:12" s="53" customFormat="1" ht="20.149999999999999" customHeight="1">
      <c r="A654" s="44">
        <v>42644</v>
      </c>
      <c r="B654" s="49"/>
      <c r="C654" s="45" t="s">
        <v>20</v>
      </c>
      <c r="D654" s="89">
        <v>11.723000000000001</v>
      </c>
      <c r="E654" s="89">
        <v>8369.8703000000005</v>
      </c>
      <c r="F654" s="90">
        <v>7.5</v>
      </c>
      <c r="G654" s="89">
        <v>62774.027250000006</v>
      </c>
      <c r="H654" s="89">
        <v>1215</v>
      </c>
      <c r="I654" s="87">
        <v>76270446.450000003</v>
      </c>
      <c r="J654" s="54" t="s">
        <v>116</v>
      </c>
      <c r="K654" s="89" t="s">
        <v>169</v>
      </c>
      <c r="L654" s="45" t="s">
        <v>105</v>
      </c>
    </row>
    <row r="655" spans="1:12" s="53" customFormat="1" ht="20.149999999999999" customHeight="1">
      <c r="A655" s="44">
        <v>42644</v>
      </c>
      <c r="B655" s="49"/>
      <c r="C655" s="45" t="s">
        <v>20</v>
      </c>
      <c r="D655" s="89">
        <v>95.62</v>
      </c>
      <c r="E655" s="89">
        <v>68269.811400000006</v>
      </c>
      <c r="F655" s="90">
        <v>7.5</v>
      </c>
      <c r="G655" s="89">
        <v>512023.58550000004</v>
      </c>
      <c r="H655" s="89">
        <v>1215</v>
      </c>
      <c r="I655" s="87">
        <v>622108661.85000002</v>
      </c>
      <c r="J655" s="54" t="s">
        <v>116</v>
      </c>
      <c r="K655" s="89" t="s">
        <v>162</v>
      </c>
      <c r="L655" s="45" t="s">
        <v>105</v>
      </c>
    </row>
    <row r="656" spans="1:12" s="53" customFormat="1" ht="20.149999999999999" customHeight="1">
      <c r="A656" s="44">
        <v>42644</v>
      </c>
      <c r="B656" s="49"/>
      <c r="C656" s="45" t="s">
        <v>20</v>
      </c>
      <c r="D656" s="89">
        <v>1.696</v>
      </c>
      <c r="E656" s="89">
        <v>1210.8931</v>
      </c>
      <c r="F656" s="90">
        <v>7.5</v>
      </c>
      <c r="G656" s="89">
        <v>9081.6982499999995</v>
      </c>
      <c r="H656" s="89">
        <v>1215</v>
      </c>
      <c r="I656" s="87">
        <v>11034265.5</v>
      </c>
      <c r="J656" s="54" t="s">
        <v>116</v>
      </c>
      <c r="K656" s="89" t="s">
        <v>134</v>
      </c>
      <c r="L656" s="45" t="s">
        <v>105</v>
      </c>
    </row>
    <row r="657" spans="1:12" s="53" customFormat="1" ht="20.149999999999999" customHeight="1">
      <c r="A657" s="44">
        <v>42644</v>
      </c>
      <c r="B657" s="49"/>
      <c r="C657" s="45" t="s">
        <v>20</v>
      </c>
      <c r="D657" s="89">
        <v>177.57</v>
      </c>
      <c r="E657" s="89">
        <v>126779.6529</v>
      </c>
      <c r="F657" s="90">
        <v>7.5</v>
      </c>
      <c r="G657" s="89">
        <v>950847.39674999996</v>
      </c>
      <c r="H657" s="89">
        <v>1215</v>
      </c>
      <c r="I657" s="87">
        <v>1155279591</v>
      </c>
      <c r="J657" s="54" t="s">
        <v>116</v>
      </c>
      <c r="K657" s="89" t="s">
        <v>170</v>
      </c>
      <c r="L657" s="45" t="s">
        <v>105</v>
      </c>
    </row>
    <row r="658" spans="1:12" s="53" customFormat="1" ht="20.149999999999999" customHeight="1">
      <c r="A658" s="44">
        <v>42644</v>
      </c>
      <c r="B658" s="49"/>
      <c r="C658" s="45" t="s">
        <v>20</v>
      </c>
      <c r="D658" s="89">
        <v>0.35699999999999998</v>
      </c>
      <c r="E658" s="89">
        <v>254.88730000000001</v>
      </c>
      <c r="F658" s="90">
        <v>7.5</v>
      </c>
      <c r="G658" s="89">
        <v>1911.6547500000001</v>
      </c>
      <c r="H658" s="89">
        <v>1215</v>
      </c>
      <c r="I658" s="87">
        <v>2322654.75</v>
      </c>
      <c r="J658" s="54" t="s">
        <v>116</v>
      </c>
      <c r="K658" s="89" t="s">
        <v>140</v>
      </c>
      <c r="L658" s="45" t="s">
        <v>105</v>
      </c>
    </row>
    <row r="659" spans="1:12" s="53" customFormat="1" ht="20.149999999999999" customHeight="1">
      <c r="A659" s="44">
        <v>42644</v>
      </c>
      <c r="B659" s="49"/>
      <c r="C659" s="45" t="s">
        <v>20</v>
      </c>
      <c r="D659" s="89">
        <v>258.98599999999999</v>
      </c>
      <c r="E659" s="89">
        <v>184908.23439999999</v>
      </c>
      <c r="F659" s="90">
        <v>7.5</v>
      </c>
      <c r="G659" s="89">
        <v>1386811.7579999999</v>
      </c>
      <c r="H659" s="89">
        <v>1215</v>
      </c>
      <c r="I659" s="87">
        <v>1684976288.4000001</v>
      </c>
      <c r="J659" s="54" t="s">
        <v>116</v>
      </c>
      <c r="K659" s="89" t="s">
        <v>139</v>
      </c>
      <c r="L659" s="45" t="s">
        <v>105</v>
      </c>
    </row>
    <row r="660" spans="1:12" s="53" customFormat="1" ht="20.149999999999999" customHeight="1">
      <c r="A660" s="44">
        <v>42644</v>
      </c>
      <c r="B660" s="49"/>
      <c r="C660" s="45" t="s">
        <v>20</v>
      </c>
      <c r="D660" s="89">
        <v>984.84400000000005</v>
      </c>
      <c r="E660" s="89">
        <v>703149.07070000004</v>
      </c>
      <c r="F660" s="90">
        <v>7.5</v>
      </c>
      <c r="G660" s="89">
        <v>5273618.0302499998</v>
      </c>
      <c r="H660" s="89">
        <v>1215</v>
      </c>
      <c r="I660" s="87">
        <v>6407445906.4500008</v>
      </c>
      <c r="J660" s="54" t="s">
        <v>116</v>
      </c>
      <c r="K660" s="89" t="s">
        <v>171</v>
      </c>
      <c r="L660" s="45" t="s">
        <v>105</v>
      </c>
    </row>
    <row r="661" spans="1:12" s="53" customFormat="1" ht="20.149999999999999" customHeight="1">
      <c r="A661" s="44">
        <v>42644</v>
      </c>
      <c r="B661" s="49"/>
      <c r="C661" s="45" t="s">
        <v>20</v>
      </c>
      <c r="D661" s="89">
        <v>1282.7650000000001</v>
      </c>
      <c r="E661" s="89">
        <v>915855.72710000002</v>
      </c>
      <c r="F661" s="90">
        <v>7.5</v>
      </c>
      <c r="G661" s="89">
        <v>6868917.9532500003</v>
      </c>
      <c r="H661" s="89">
        <v>1215</v>
      </c>
      <c r="I661" s="87">
        <v>8345735309.25</v>
      </c>
      <c r="J661" s="54" t="s">
        <v>116</v>
      </c>
      <c r="K661" s="89" t="s">
        <v>172</v>
      </c>
      <c r="L661" s="45" t="s">
        <v>105</v>
      </c>
    </row>
    <row r="662" spans="1:12" s="53" customFormat="1" ht="20.149999999999999" customHeight="1">
      <c r="A662" s="44">
        <v>42644</v>
      </c>
      <c r="B662" s="49"/>
      <c r="C662" s="45" t="s">
        <v>20</v>
      </c>
      <c r="D662" s="89">
        <v>1099.819</v>
      </c>
      <c r="E662" s="89">
        <v>785237.77139999997</v>
      </c>
      <c r="F662" s="90">
        <v>7.5</v>
      </c>
      <c r="G662" s="89">
        <v>5889283.2854999993</v>
      </c>
      <c r="H662" s="89">
        <v>1215</v>
      </c>
      <c r="I662" s="87">
        <v>7155479197.3500004</v>
      </c>
      <c r="J662" s="54" t="s">
        <v>116</v>
      </c>
      <c r="K662" s="89" t="s">
        <v>173</v>
      </c>
      <c r="L662" s="45" t="s">
        <v>105</v>
      </c>
    </row>
    <row r="663" spans="1:12" s="53" customFormat="1" ht="20.149999999999999" customHeight="1">
      <c r="A663" s="44">
        <v>42644</v>
      </c>
      <c r="B663" s="49"/>
      <c r="C663" s="45" t="s">
        <v>20</v>
      </c>
      <c r="D663" s="89">
        <v>1416.0419999999999</v>
      </c>
      <c r="E663" s="89">
        <v>1011011.5067</v>
      </c>
      <c r="F663" s="90">
        <v>7.5</v>
      </c>
      <c r="G663" s="89">
        <v>7582586.3002500003</v>
      </c>
      <c r="H663" s="89">
        <v>1215</v>
      </c>
      <c r="I663" s="87">
        <v>9212842354.5</v>
      </c>
      <c r="J663" s="54" t="s">
        <v>116</v>
      </c>
      <c r="K663" s="89" t="s">
        <v>174</v>
      </c>
      <c r="L663" s="45" t="s">
        <v>105</v>
      </c>
    </row>
    <row r="664" spans="1:12" s="53" customFormat="1" ht="20.149999999999999" customHeight="1">
      <c r="A664" s="44">
        <v>42644</v>
      </c>
      <c r="B664" s="49"/>
      <c r="C664" s="45" t="s">
        <v>20</v>
      </c>
      <c r="D664" s="89">
        <v>0.59799999999999998</v>
      </c>
      <c r="E664" s="89">
        <v>426.95409999999998</v>
      </c>
      <c r="F664" s="90">
        <v>7.5</v>
      </c>
      <c r="G664" s="89">
        <v>3202.1557499999999</v>
      </c>
      <c r="H664" s="89">
        <v>1215</v>
      </c>
      <c r="I664" s="87">
        <v>3890624.4</v>
      </c>
      <c r="J664" s="54" t="s">
        <v>116</v>
      </c>
      <c r="K664" s="89" t="s">
        <v>175</v>
      </c>
      <c r="L664" s="45" t="s">
        <v>105</v>
      </c>
    </row>
    <row r="665" spans="1:12" s="53" customFormat="1" ht="20.149999999999999" customHeight="1">
      <c r="A665" s="44">
        <v>42644</v>
      </c>
      <c r="B665" s="49"/>
      <c r="C665" s="45" t="s">
        <v>20</v>
      </c>
      <c r="D665" s="89">
        <v>1.117</v>
      </c>
      <c r="E665" s="89">
        <v>797.50450000000001</v>
      </c>
      <c r="F665" s="90">
        <v>7.5</v>
      </c>
      <c r="G665" s="89">
        <v>5981.2837500000005</v>
      </c>
      <c r="H665" s="89">
        <v>1215</v>
      </c>
      <c r="I665" s="87">
        <v>7267255.1999999993</v>
      </c>
      <c r="J665" s="54" t="s">
        <v>116</v>
      </c>
      <c r="K665" s="89" t="s">
        <v>146</v>
      </c>
      <c r="L665" s="45" t="s">
        <v>105</v>
      </c>
    </row>
    <row r="666" spans="1:12" s="53" customFormat="1" ht="20.149999999999999" customHeight="1">
      <c r="A666" s="44">
        <v>42644</v>
      </c>
      <c r="B666" s="49"/>
      <c r="C666" s="45" t="s">
        <v>20</v>
      </c>
      <c r="D666" s="89">
        <v>0.65</v>
      </c>
      <c r="E666" s="89">
        <v>464.08049999999997</v>
      </c>
      <c r="F666" s="90">
        <v>7.5</v>
      </c>
      <c r="G666" s="89">
        <v>3480.6037499999998</v>
      </c>
      <c r="H666" s="89">
        <v>1215</v>
      </c>
      <c r="I666" s="87">
        <v>4228929</v>
      </c>
      <c r="J666" s="54" t="s">
        <v>116</v>
      </c>
      <c r="K666" s="89" t="s">
        <v>176</v>
      </c>
      <c r="L666" s="45" t="s">
        <v>105</v>
      </c>
    </row>
    <row r="667" spans="1:12" s="53" customFormat="1" ht="20.149999999999999" customHeight="1">
      <c r="A667" s="44">
        <v>42644</v>
      </c>
      <c r="B667" s="49"/>
      <c r="C667" s="45" t="s">
        <v>20</v>
      </c>
      <c r="D667" s="89">
        <v>1.8380000000000001</v>
      </c>
      <c r="E667" s="89">
        <v>1312.2769000000001</v>
      </c>
      <c r="F667" s="90">
        <v>7.5</v>
      </c>
      <c r="G667" s="89">
        <v>9842.0767500000002</v>
      </c>
      <c r="H667" s="89">
        <v>1215</v>
      </c>
      <c r="I667" s="87">
        <v>11958127.199999999</v>
      </c>
      <c r="J667" s="54" t="s">
        <v>116</v>
      </c>
      <c r="K667" s="89" t="s">
        <v>135</v>
      </c>
      <c r="L667" s="45" t="s">
        <v>105</v>
      </c>
    </row>
    <row r="668" spans="1:12" s="53" customFormat="1" ht="20.149999999999999" customHeight="1">
      <c r="A668" s="44">
        <v>42644</v>
      </c>
      <c r="B668" s="49"/>
      <c r="C668" s="45" t="s">
        <v>20</v>
      </c>
      <c r="D668" s="89">
        <v>0.81899999999999995</v>
      </c>
      <c r="E668" s="89">
        <v>584.7414</v>
      </c>
      <c r="F668" s="90">
        <v>2.4142999999999999</v>
      </c>
      <c r="G668" s="89">
        <v>1977.3216999999997</v>
      </c>
      <c r="H668" s="89">
        <v>1215</v>
      </c>
      <c r="I668" s="87">
        <v>2402443.7999999998</v>
      </c>
      <c r="J668" s="54" t="s">
        <v>116</v>
      </c>
      <c r="K668" s="89" t="s">
        <v>147</v>
      </c>
      <c r="L668" s="45" t="s">
        <v>105</v>
      </c>
    </row>
    <row r="669" spans="1:12" s="53" customFormat="1" ht="20.149999999999999" customHeight="1">
      <c r="A669" s="44">
        <v>42644</v>
      </c>
      <c r="B669" s="49"/>
      <c r="C669" s="45" t="s">
        <v>20</v>
      </c>
      <c r="D669" s="89">
        <v>2.2269999999999999</v>
      </c>
      <c r="E669" s="89">
        <v>1590.0111999999999</v>
      </c>
      <c r="F669" s="90">
        <v>2.4142999999999999</v>
      </c>
      <c r="G669" s="89">
        <v>5376.6360999999988</v>
      </c>
      <c r="H669" s="89">
        <v>1215</v>
      </c>
      <c r="I669" s="87">
        <v>6532617.6000000006</v>
      </c>
      <c r="J669" s="54" t="s">
        <v>116</v>
      </c>
      <c r="K669" s="89" t="s">
        <v>148</v>
      </c>
      <c r="L669" s="45" t="s">
        <v>105</v>
      </c>
    </row>
    <row r="670" spans="1:12" s="53" customFormat="1" ht="20.149999999999999" customHeight="1">
      <c r="A670" s="44">
        <v>42644</v>
      </c>
      <c r="B670" s="49"/>
      <c r="C670" s="45" t="s">
        <v>20</v>
      </c>
      <c r="D670" s="89">
        <v>0.23400000000000001</v>
      </c>
      <c r="E670" s="89">
        <v>167.06899999999999</v>
      </c>
      <c r="F670" s="90">
        <v>2.4142999999999999</v>
      </c>
      <c r="G670" s="89">
        <v>564.93619999999999</v>
      </c>
      <c r="H670" s="89">
        <v>1215</v>
      </c>
      <c r="I670" s="87">
        <v>686402.10000000009</v>
      </c>
      <c r="J670" s="54" t="s">
        <v>116</v>
      </c>
      <c r="K670" s="89" t="s">
        <v>149</v>
      </c>
      <c r="L670" s="45" t="s">
        <v>105</v>
      </c>
    </row>
    <row r="671" spans="1:12" s="53" customFormat="1" ht="20.149999999999999" customHeight="1">
      <c r="A671" s="44">
        <v>42644</v>
      </c>
      <c r="B671" s="49"/>
      <c r="C671" s="45" t="s">
        <v>20</v>
      </c>
      <c r="D671" s="89">
        <v>0.29599999999999999</v>
      </c>
      <c r="E671" s="89">
        <v>211.33510000000001</v>
      </c>
      <c r="F671" s="90">
        <v>2.4142999999999999</v>
      </c>
      <c r="G671" s="89">
        <v>714.63279999999997</v>
      </c>
      <c r="H671" s="89">
        <v>1215</v>
      </c>
      <c r="I671" s="87">
        <v>868275.45</v>
      </c>
      <c r="J671" s="54" t="s">
        <v>116</v>
      </c>
      <c r="K671" s="89" t="s">
        <v>150</v>
      </c>
      <c r="L671" s="45" t="s">
        <v>105</v>
      </c>
    </row>
    <row r="672" spans="1:12" s="53" customFormat="1" ht="20.149999999999999" customHeight="1">
      <c r="A672" s="44">
        <v>42644</v>
      </c>
      <c r="B672" s="49"/>
      <c r="C672" s="45" t="s">
        <v>20</v>
      </c>
      <c r="D672" s="89">
        <v>8.3000000000000004E-2</v>
      </c>
      <c r="E672" s="89">
        <v>59.259500000000003</v>
      </c>
      <c r="F672" s="90">
        <v>2.4142999999999999</v>
      </c>
      <c r="G672" s="89">
        <v>200.37690000000001</v>
      </c>
      <c r="H672" s="89">
        <v>1215</v>
      </c>
      <c r="I672" s="87">
        <v>243461.69999999998</v>
      </c>
      <c r="J672" s="54" t="s">
        <v>116</v>
      </c>
      <c r="K672" s="89" t="s">
        <v>151</v>
      </c>
      <c r="L672" s="45" t="s">
        <v>105</v>
      </c>
    </row>
    <row r="673" spans="1:12" s="53" customFormat="1" ht="20.149999999999999" customHeight="1">
      <c r="A673" s="44">
        <v>42644</v>
      </c>
      <c r="B673" s="49"/>
      <c r="C673" s="45" t="s">
        <v>20</v>
      </c>
      <c r="D673" s="89">
        <v>1.427</v>
      </c>
      <c r="E673" s="89">
        <v>1018.8352</v>
      </c>
      <c r="F673" s="90">
        <v>2.4142999999999999</v>
      </c>
      <c r="G673" s="89">
        <v>3445.2060999999999</v>
      </c>
      <c r="H673" s="89">
        <v>1215</v>
      </c>
      <c r="I673" s="87">
        <v>4185930.15</v>
      </c>
      <c r="J673" s="54" t="s">
        <v>116</v>
      </c>
      <c r="K673" s="89" t="s">
        <v>152</v>
      </c>
      <c r="L673" s="45" t="s">
        <v>105</v>
      </c>
    </row>
    <row r="674" spans="1:12" s="53" customFormat="1" ht="20.149999999999999" customHeight="1">
      <c r="A674" s="44">
        <v>42644</v>
      </c>
      <c r="B674" s="49"/>
      <c r="C674" s="45" t="s">
        <v>20</v>
      </c>
      <c r="D674" s="89">
        <v>3.931</v>
      </c>
      <c r="E674" s="89">
        <v>2806.6161000000002</v>
      </c>
      <c r="F674" s="90">
        <v>2.4142999999999999</v>
      </c>
      <c r="G674" s="89">
        <v>9490.6032999999989</v>
      </c>
      <c r="H674" s="89">
        <v>1215</v>
      </c>
      <c r="I674" s="87">
        <v>11531079</v>
      </c>
      <c r="J674" s="54" t="s">
        <v>116</v>
      </c>
      <c r="K674" s="89" t="s">
        <v>159</v>
      </c>
      <c r="L674" s="45" t="s">
        <v>105</v>
      </c>
    </row>
    <row r="675" spans="1:12" s="53" customFormat="1" ht="20.149999999999999" customHeight="1">
      <c r="A675" s="44">
        <v>42644</v>
      </c>
      <c r="B675" s="49"/>
      <c r="C675" s="45" t="s">
        <v>20</v>
      </c>
      <c r="D675" s="89">
        <v>4.8689999999999998</v>
      </c>
      <c r="E675" s="89">
        <v>3476.3199</v>
      </c>
      <c r="F675" s="90">
        <v>2.4142999999999999</v>
      </c>
      <c r="G675" s="89">
        <v>11755.226699999999</v>
      </c>
      <c r="H675" s="89">
        <v>1215</v>
      </c>
      <c r="I675" s="87">
        <v>14282604.449999999</v>
      </c>
      <c r="J675" s="54" t="s">
        <v>116</v>
      </c>
      <c r="K675" s="89" t="s">
        <v>153</v>
      </c>
      <c r="L675" s="45" t="s">
        <v>105</v>
      </c>
    </row>
    <row r="676" spans="1:12" s="53" customFormat="1" ht="20.149999999999999" customHeight="1">
      <c r="A676" s="44">
        <v>42644</v>
      </c>
      <c r="B676" s="49"/>
      <c r="C676" s="45" t="s">
        <v>20</v>
      </c>
      <c r="D676" s="89">
        <v>5.6000000000000001E-2</v>
      </c>
      <c r="E676" s="89">
        <v>39.982300000000002</v>
      </c>
      <c r="F676" s="90">
        <v>2.4142999999999999</v>
      </c>
      <c r="G676" s="89">
        <v>135.20080000000002</v>
      </c>
      <c r="H676" s="89">
        <v>1215</v>
      </c>
      <c r="I676" s="87">
        <v>164268</v>
      </c>
      <c r="J676" s="54" t="s">
        <v>116</v>
      </c>
      <c r="K676" s="89" t="s">
        <v>177</v>
      </c>
      <c r="L676" s="45" t="s">
        <v>105</v>
      </c>
    </row>
    <row r="677" spans="1:12" s="53" customFormat="1" ht="20.149999999999999" customHeight="1">
      <c r="A677" s="44">
        <v>42644</v>
      </c>
      <c r="B677" s="49"/>
      <c r="C677" s="45" t="s">
        <v>20</v>
      </c>
      <c r="D677" s="89">
        <v>0.79700000000000004</v>
      </c>
      <c r="E677" s="89">
        <v>569.03409999999997</v>
      </c>
      <c r="F677" s="90">
        <v>2.4142999999999999</v>
      </c>
      <c r="G677" s="89">
        <v>1924.1971000000001</v>
      </c>
      <c r="H677" s="89">
        <v>1215</v>
      </c>
      <c r="I677" s="87">
        <v>2337903</v>
      </c>
      <c r="J677" s="54" t="s">
        <v>116</v>
      </c>
      <c r="K677" s="89" t="s">
        <v>154</v>
      </c>
      <c r="L677" s="45" t="s">
        <v>105</v>
      </c>
    </row>
    <row r="678" spans="1:12" s="53" customFormat="1" ht="20.149999999999999" customHeight="1">
      <c r="A678" s="44">
        <v>42644</v>
      </c>
      <c r="B678" s="49"/>
      <c r="C678" s="45" t="s">
        <v>20</v>
      </c>
      <c r="D678" s="89">
        <v>5.4820000000000002</v>
      </c>
      <c r="E678" s="89">
        <v>3913.9834999999998</v>
      </c>
      <c r="F678" s="90">
        <v>2.4142999999999999</v>
      </c>
      <c r="G678" s="89">
        <v>13235.1926</v>
      </c>
      <c r="H678" s="89">
        <v>1215</v>
      </c>
      <c r="I678" s="87">
        <v>16080755.850000001</v>
      </c>
      <c r="J678" s="54" t="s">
        <v>116</v>
      </c>
      <c r="K678" s="89" t="s">
        <v>178</v>
      </c>
      <c r="L678" s="45" t="s">
        <v>105</v>
      </c>
    </row>
    <row r="679" spans="1:12" s="53" customFormat="1" ht="20.149999999999999" customHeight="1">
      <c r="A679" s="44">
        <v>42644</v>
      </c>
      <c r="B679" s="49"/>
      <c r="C679" s="45" t="s">
        <v>20</v>
      </c>
      <c r="D679" s="89">
        <v>0.51400000000000001</v>
      </c>
      <c r="E679" s="89">
        <v>366.98059999999998</v>
      </c>
      <c r="F679" s="90">
        <v>2.4142999999999999</v>
      </c>
      <c r="G679" s="89">
        <v>1240.9502</v>
      </c>
      <c r="H679" s="89">
        <v>1215</v>
      </c>
      <c r="I679" s="87">
        <v>1507754.25</v>
      </c>
      <c r="J679" s="54" t="s">
        <v>116</v>
      </c>
      <c r="K679" s="89" t="s">
        <v>160</v>
      </c>
      <c r="L679" s="45" t="s">
        <v>105</v>
      </c>
    </row>
    <row r="680" spans="1:12" s="53" customFormat="1" ht="20.149999999999999" customHeight="1">
      <c r="A680" s="44">
        <v>42644</v>
      </c>
      <c r="B680" s="49"/>
      <c r="C680" s="45" t="s">
        <v>20</v>
      </c>
      <c r="D680" s="89">
        <v>0.40400000000000003</v>
      </c>
      <c r="E680" s="89">
        <v>288.44389999999999</v>
      </c>
      <c r="F680" s="90">
        <v>2.4142999999999999</v>
      </c>
      <c r="G680" s="89">
        <v>975.37720000000002</v>
      </c>
      <c r="H680" s="89">
        <v>1215</v>
      </c>
      <c r="I680" s="87">
        <v>1185086.7</v>
      </c>
      <c r="J680" s="54" t="s">
        <v>116</v>
      </c>
      <c r="K680" s="89" t="s">
        <v>157</v>
      </c>
      <c r="L680" s="45" t="s">
        <v>105</v>
      </c>
    </row>
    <row r="681" spans="1:12" s="53" customFormat="1" ht="20.149999999999999" customHeight="1">
      <c r="A681" s="44">
        <v>42644</v>
      </c>
      <c r="B681" s="49"/>
      <c r="C681" s="45" t="s">
        <v>20</v>
      </c>
      <c r="D681" s="89">
        <v>0.28100000000000003</v>
      </c>
      <c r="E681" s="89">
        <v>200.62559999999999</v>
      </c>
      <c r="F681" s="90">
        <v>2.4142999999999999</v>
      </c>
      <c r="G681" s="89">
        <v>678.40830000000005</v>
      </c>
      <c r="H681" s="89">
        <v>1215</v>
      </c>
      <c r="I681" s="87">
        <v>824268.14999999991</v>
      </c>
      <c r="J681" s="54" t="s">
        <v>116</v>
      </c>
      <c r="K681" s="89" t="s">
        <v>156</v>
      </c>
      <c r="L681" s="45" t="s">
        <v>105</v>
      </c>
    </row>
    <row r="682" spans="1:12" s="53" customFormat="1" ht="20.149999999999999" customHeight="1">
      <c r="A682" s="44"/>
      <c r="B682" s="49"/>
      <c r="C682" s="45"/>
      <c r="D682" s="89"/>
      <c r="E682" s="89"/>
      <c r="F682" s="90"/>
      <c r="G682" s="89"/>
      <c r="H682" s="89"/>
      <c r="I682" s="88"/>
      <c r="J682" s="54"/>
      <c r="K682" s="89"/>
      <c r="L682" s="45"/>
    </row>
    <row r="683" spans="1:12" s="53" customFormat="1" ht="20.149999999999999" customHeight="1">
      <c r="A683" s="44">
        <v>42675</v>
      </c>
      <c r="B683" s="49"/>
      <c r="C683" s="45" t="s">
        <v>20</v>
      </c>
      <c r="D683" s="89">
        <v>1.6919999999999999</v>
      </c>
      <c r="E683" s="89">
        <v>1206.1489999999999</v>
      </c>
      <c r="F683" s="90">
        <v>7.5</v>
      </c>
      <c r="G683" s="89">
        <v>9046.1174999999985</v>
      </c>
      <c r="H683" s="89">
        <v>1215</v>
      </c>
      <c r="I683" s="87">
        <v>10991035.800000001</v>
      </c>
      <c r="J683" s="54" t="s">
        <v>116</v>
      </c>
      <c r="K683" s="89" t="s">
        <v>165</v>
      </c>
      <c r="L683" s="45" t="s">
        <v>105</v>
      </c>
    </row>
    <row r="684" spans="1:12" s="53" customFormat="1" ht="20.149999999999999" customHeight="1">
      <c r="A684" s="44">
        <v>42675</v>
      </c>
      <c r="B684" s="49"/>
      <c r="C684" s="45" t="s">
        <v>20</v>
      </c>
      <c r="D684" s="89">
        <v>0.64900000000000002</v>
      </c>
      <c r="E684" s="89">
        <v>462.6422</v>
      </c>
      <c r="F684" s="90">
        <v>7.5</v>
      </c>
      <c r="G684" s="89">
        <v>3469.8164999999999</v>
      </c>
      <c r="H684" s="89">
        <v>1215</v>
      </c>
      <c r="I684" s="87">
        <v>4215831.3</v>
      </c>
      <c r="J684" s="54" t="s">
        <v>116</v>
      </c>
      <c r="K684" s="89" t="s">
        <v>118</v>
      </c>
      <c r="L684" s="45" t="s">
        <v>105</v>
      </c>
    </row>
    <row r="685" spans="1:12" s="53" customFormat="1" ht="20.149999999999999" customHeight="1">
      <c r="A685" s="44">
        <v>42675</v>
      </c>
      <c r="B685" s="49"/>
      <c r="C685" s="45" t="s">
        <v>20</v>
      </c>
      <c r="D685" s="89">
        <v>13.57</v>
      </c>
      <c r="E685" s="89">
        <v>9673.4287999999997</v>
      </c>
      <c r="F685" s="90">
        <v>7.5</v>
      </c>
      <c r="G685" s="89">
        <v>72550.716</v>
      </c>
      <c r="H685" s="89">
        <v>1215</v>
      </c>
      <c r="I685" s="87">
        <v>88149124.799999997</v>
      </c>
      <c r="J685" s="54" t="s">
        <v>116</v>
      </c>
      <c r="K685" s="89" t="s">
        <v>119</v>
      </c>
      <c r="L685" s="45" t="s">
        <v>105</v>
      </c>
    </row>
    <row r="686" spans="1:12" s="53" customFormat="1" ht="20.149999999999999" customHeight="1">
      <c r="A686" s="44">
        <v>42675</v>
      </c>
      <c r="B686" s="49"/>
      <c r="C686" s="45" t="s">
        <v>20</v>
      </c>
      <c r="D686" s="89">
        <v>13.637</v>
      </c>
      <c r="E686" s="89">
        <v>9721.19</v>
      </c>
      <c r="F686" s="90">
        <v>7.5</v>
      </c>
      <c r="G686" s="89">
        <v>72908.925000000003</v>
      </c>
      <c r="H686" s="89">
        <v>1215</v>
      </c>
      <c r="I686" s="87">
        <v>88584349.949999988</v>
      </c>
      <c r="J686" s="54" t="s">
        <v>116</v>
      </c>
      <c r="K686" s="89" t="s">
        <v>166</v>
      </c>
      <c r="L686" s="45" t="s">
        <v>105</v>
      </c>
    </row>
    <row r="687" spans="1:12" s="53" customFormat="1" ht="20.149999999999999" customHeight="1">
      <c r="A687" s="44">
        <v>42675</v>
      </c>
      <c r="B687" s="49"/>
      <c r="C687" s="45" t="s">
        <v>20</v>
      </c>
      <c r="D687" s="89">
        <v>0.158</v>
      </c>
      <c r="E687" s="89">
        <v>112.6309</v>
      </c>
      <c r="F687" s="90">
        <v>7.5</v>
      </c>
      <c r="G687" s="89">
        <v>844.73174999999992</v>
      </c>
      <c r="H687" s="89">
        <v>1215</v>
      </c>
      <c r="I687" s="87">
        <v>1026346.9500000001</v>
      </c>
      <c r="J687" s="54" t="s">
        <v>116</v>
      </c>
      <c r="K687" s="89" t="s">
        <v>121</v>
      </c>
      <c r="L687" s="45" t="s">
        <v>105</v>
      </c>
    </row>
    <row r="688" spans="1:12" s="53" customFormat="1" ht="20.149999999999999" customHeight="1">
      <c r="A688" s="44">
        <v>42675</v>
      </c>
      <c r="B688" s="49"/>
      <c r="C688" s="45" t="s">
        <v>20</v>
      </c>
      <c r="D688" s="89">
        <v>1.661</v>
      </c>
      <c r="E688" s="89">
        <v>1184.0505000000001</v>
      </c>
      <c r="F688" s="90">
        <v>7.5</v>
      </c>
      <c r="G688" s="89">
        <v>8880.3787499999999</v>
      </c>
      <c r="H688" s="89">
        <v>1215</v>
      </c>
      <c r="I688" s="87">
        <v>10789661.699999999</v>
      </c>
      <c r="J688" s="54" t="s">
        <v>116</v>
      </c>
      <c r="K688" s="89" t="s">
        <v>122</v>
      </c>
      <c r="L688" s="45" t="s">
        <v>105</v>
      </c>
    </row>
    <row r="689" spans="1:12" s="53" customFormat="1" ht="20.149999999999999" customHeight="1">
      <c r="A689" s="44">
        <v>42675</v>
      </c>
      <c r="B689" s="49"/>
      <c r="C689" s="45" t="s">
        <v>20</v>
      </c>
      <c r="D689" s="89">
        <v>11.928000000000001</v>
      </c>
      <c r="E689" s="89">
        <v>8502.9225000000006</v>
      </c>
      <c r="F689" s="90">
        <v>7.5</v>
      </c>
      <c r="G689" s="89">
        <v>63771.918750000004</v>
      </c>
      <c r="H689" s="89">
        <v>1215</v>
      </c>
      <c r="I689" s="87">
        <v>77482882.799999997</v>
      </c>
      <c r="J689" s="54" t="s">
        <v>116</v>
      </c>
      <c r="K689" s="89" t="s">
        <v>123</v>
      </c>
      <c r="L689" s="45" t="s">
        <v>105</v>
      </c>
    </row>
    <row r="690" spans="1:12" s="53" customFormat="1" ht="20.149999999999999" customHeight="1">
      <c r="A690" s="44">
        <v>42675</v>
      </c>
      <c r="B690" s="49"/>
      <c r="C690" s="45" t="s">
        <v>20</v>
      </c>
      <c r="D690" s="89">
        <v>0.33200000000000002</v>
      </c>
      <c r="E690" s="89">
        <v>236.66749999999999</v>
      </c>
      <c r="F690" s="90">
        <v>7.5</v>
      </c>
      <c r="G690" s="89">
        <v>1775.0062499999999</v>
      </c>
      <c r="H690" s="89">
        <v>1215</v>
      </c>
      <c r="I690" s="87">
        <v>2156637.15</v>
      </c>
      <c r="J690" s="54" t="s">
        <v>116</v>
      </c>
      <c r="K690" s="89" t="s">
        <v>124</v>
      </c>
      <c r="L690" s="45" t="s">
        <v>105</v>
      </c>
    </row>
    <row r="691" spans="1:12" s="53" customFormat="1" ht="20.149999999999999" customHeight="1">
      <c r="A691" s="44">
        <v>42675</v>
      </c>
      <c r="B691" s="49"/>
      <c r="C691" s="45" t="s">
        <v>20</v>
      </c>
      <c r="D691" s="89">
        <v>2.5999999999999999E-2</v>
      </c>
      <c r="E691" s="89">
        <v>18.534199999999998</v>
      </c>
      <c r="F691" s="90">
        <v>7.5</v>
      </c>
      <c r="G691" s="89">
        <v>139.00649999999999</v>
      </c>
      <c r="H691" s="89">
        <v>1215</v>
      </c>
      <c r="I691" s="87">
        <v>168897.15</v>
      </c>
      <c r="J691" s="54" t="s">
        <v>116</v>
      </c>
      <c r="K691" s="89" t="s">
        <v>125</v>
      </c>
      <c r="L691" s="45" t="s">
        <v>105</v>
      </c>
    </row>
    <row r="692" spans="1:12" s="53" customFormat="1" ht="20.149999999999999" customHeight="1">
      <c r="A692" s="44">
        <v>42675</v>
      </c>
      <c r="B692" s="49"/>
      <c r="C692" s="45" t="s">
        <v>20</v>
      </c>
      <c r="D692" s="89">
        <v>0.02</v>
      </c>
      <c r="E692" s="89">
        <v>14.257099999999999</v>
      </c>
      <c r="F692" s="90">
        <v>7.5</v>
      </c>
      <c r="G692" s="89">
        <v>106.92824999999999</v>
      </c>
      <c r="H692" s="89">
        <v>1215</v>
      </c>
      <c r="I692" s="87">
        <v>129919.95000000001</v>
      </c>
      <c r="J692" s="54" t="s">
        <v>116</v>
      </c>
      <c r="K692" s="89" t="s">
        <v>167</v>
      </c>
      <c r="L692" s="45" t="s">
        <v>105</v>
      </c>
    </row>
    <row r="693" spans="1:12" s="53" customFormat="1" ht="20.149999999999999" customHeight="1">
      <c r="A693" s="44">
        <v>42675</v>
      </c>
      <c r="B693" s="49"/>
      <c r="C693" s="45" t="s">
        <v>20</v>
      </c>
      <c r="D693" s="89">
        <v>0.93400000000000005</v>
      </c>
      <c r="E693" s="89">
        <v>665.80560000000003</v>
      </c>
      <c r="F693" s="90">
        <v>7.5</v>
      </c>
      <c r="G693" s="89">
        <v>4993.5420000000004</v>
      </c>
      <c r="H693" s="89">
        <v>1215</v>
      </c>
      <c r="I693" s="87">
        <v>6067151.0999999996</v>
      </c>
      <c r="J693" s="54" t="s">
        <v>116</v>
      </c>
      <c r="K693" s="89" t="s">
        <v>126</v>
      </c>
      <c r="L693" s="45" t="s">
        <v>105</v>
      </c>
    </row>
    <row r="694" spans="1:12" s="53" customFormat="1" ht="20.149999999999999" customHeight="1">
      <c r="A694" s="44">
        <v>42675</v>
      </c>
      <c r="B694" s="49"/>
      <c r="C694" s="45" t="s">
        <v>20</v>
      </c>
      <c r="D694" s="89">
        <v>10.462</v>
      </c>
      <c r="E694" s="89">
        <v>7457.8784999999998</v>
      </c>
      <c r="F694" s="90">
        <v>7.5</v>
      </c>
      <c r="G694" s="89">
        <v>55934.088749999995</v>
      </c>
      <c r="H694" s="89">
        <v>1215</v>
      </c>
      <c r="I694" s="87">
        <v>67959919.349999994</v>
      </c>
      <c r="J694" s="54" t="s">
        <v>116</v>
      </c>
      <c r="K694" s="89" t="s">
        <v>179</v>
      </c>
      <c r="L694" s="45" t="s">
        <v>105</v>
      </c>
    </row>
    <row r="695" spans="1:12" s="53" customFormat="1" ht="20.149999999999999" customHeight="1">
      <c r="A695" s="44">
        <v>42675</v>
      </c>
      <c r="B695" s="49"/>
      <c r="C695" s="45" t="s">
        <v>20</v>
      </c>
      <c r="D695" s="89">
        <v>1.3149999999999999</v>
      </c>
      <c r="E695" s="89">
        <v>937.40300000000002</v>
      </c>
      <c r="F695" s="90">
        <v>7.5</v>
      </c>
      <c r="G695" s="89">
        <v>7030.5225</v>
      </c>
      <c r="H695" s="89">
        <v>1215</v>
      </c>
      <c r="I695" s="87">
        <v>8542081.8000000007</v>
      </c>
      <c r="J695" s="54" t="s">
        <v>116</v>
      </c>
      <c r="K695" s="89" t="s">
        <v>127</v>
      </c>
      <c r="L695" s="45" t="s">
        <v>105</v>
      </c>
    </row>
    <row r="696" spans="1:12" s="53" customFormat="1" ht="20.149999999999999" customHeight="1">
      <c r="A696" s="44">
        <v>42675</v>
      </c>
      <c r="B696" s="49"/>
      <c r="C696" s="45" t="s">
        <v>20</v>
      </c>
      <c r="D696" s="89">
        <v>4.3999999999999997E-2</v>
      </c>
      <c r="E696" s="89">
        <v>31.365600000000001</v>
      </c>
      <c r="F696" s="90">
        <v>7.5</v>
      </c>
      <c r="G696" s="89">
        <v>235.24200000000002</v>
      </c>
      <c r="H696" s="89">
        <v>1215</v>
      </c>
      <c r="I696" s="87">
        <v>285816.60000000003</v>
      </c>
      <c r="J696" s="54" t="s">
        <v>116</v>
      </c>
      <c r="K696" s="89" t="s">
        <v>128</v>
      </c>
      <c r="L696" s="45" t="s">
        <v>105</v>
      </c>
    </row>
    <row r="697" spans="1:12" s="53" customFormat="1" ht="20.149999999999999" customHeight="1">
      <c r="A697" s="44">
        <v>42675</v>
      </c>
      <c r="B697" s="49"/>
      <c r="C697" s="45" t="s">
        <v>20</v>
      </c>
      <c r="D697" s="89">
        <v>0.36699999999999999</v>
      </c>
      <c r="E697" s="89">
        <v>261.61739999999998</v>
      </c>
      <c r="F697" s="90">
        <v>7.5</v>
      </c>
      <c r="G697" s="89">
        <v>1962.1304999999998</v>
      </c>
      <c r="H697" s="89">
        <v>1215</v>
      </c>
      <c r="I697" s="87">
        <v>2383987.9500000002</v>
      </c>
      <c r="J697" s="54" t="s">
        <v>116</v>
      </c>
      <c r="K697" s="89" t="s">
        <v>129</v>
      </c>
      <c r="L697" s="45" t="s">
        <v>105</v>
      </c>
    </row>
    <row r="698" spans="1:12" s="53" customFormat="1" ht="20.149999999999999" customHeight="1">
      <c r="A698" s="44">
        <v>42675</v>
      </c>
      <c r="B698" s="49"/>
      <c r="C698" s="45" t="s">
        <v>20</v>
      </c>
      <c r="D698" s="89">
        <v>0.33500000000000002</v>
      </c>
      <c r="E698" s="89">
        <v>238.80609999999999</v>
      </c>
      <c r="F698" s="90">
        <v>7.5</v>
      </c>
      <c r="G698" s="89">
        <v>1791.04575</v>
      </c>
      <c r="H698" s="89">
        <v>1215</v>
      </c>
      <c r="I698" s="87">
        <v>2176125.75</v>
      </c>
      <c r="J698" s="54" t="s">
        <v>116</v>
      </c>
      <c r="K698" s="89" t="s">
        <v>130</v>
      </c>
      <c r="L698" s="45" t="s">
        <v>105</v>
      </c>
    </row>
    <row r="699" spans="1:12" s="53" customFormat="1" ht="20.149999999999999" customHeight="1">
      <c r="A699" s="44">
        <v>42675</v>
      </c>
      <c r="B699" s="49"/>
      <c r="C699" s="45" t="s">
        <v>20</v>
      </c>
      <c r="D699" s="89">
        <v>12.154</v>
      </c>
      <c r="E699" s="89">
        <v>8664.0275000000001</v>
      </c>
      <c r="F699" s="90">
        <v>7.5</v>
      </c>
      <c r="G699" s="89">
        <v>64980.206250000003</v>
      </c>
      <c r="H699" s="89">
        <v>1215</v>
      </c>
      <c r="I699" s="87">
        <v>78950955.150000006</v>
      </c>
      <c r="J699" s="54" t="s">
        <v>116</v>
      </c>
      <c r="K699" s="89" t="s">
        <v>132</v>
      </c>
      <c r="L699" s="45" t="s">
        <v>105</v>
      </c>
    </row>
    <row r="700" spans="1:12" s="53" customFormat="1" ht="20.149999999999999" customHeight="1">
      <c r="A700" s="44">
        <v>42675</v>
      </c>
      <c r="B700" s="49"/>
      <c r="C700" s="45" t="s">
        <v>20</v>
      </c>
      <c r="D700" s="89">
        <v>0.44600000000000001</v>
      </c>
      <c r="E700" s="89">
        <v>317.93290000000002</v>
      </c>
      <c r="F700" s="90">
        <v>7.5</v>
      </c>
      <c r="G700" s="89">
        <v>2384.4967500000002</v>
      </c>
      <c r="H700" s="89">
        <v>1215</v>
      </c>
      <c r="I700" s="87">
        <v>2897167.5</v>
      </c>
      <c r="J700" s="54" t="s">
        <v>116</v>
      </c>
      <c r="K700" s="89" t="s">
        <v>133</v>
      </c>
      <c r="L700" s="45" t="s">
        <v>105</v>
      </c>
    </row>
    <row r="701" spans="1:12" s="53" customFormat="1" ht="20.149999999999999" customHeight="1">
      <c r="A701" s="44">
        <v>42675</v>
      </c>
      <c r="B701" s="49"/>
      <c r="C701" s="45" t="s">
        <v>20</v>
      </c>
      <c r="D701" s="89">
        <v>14.954000000000001</v>
      </c>
      <c r="E701" s="89">
        <v>10660.018700000001</v>
      </c>
      <c r="F701" s="90">
        <v>7.5</v>
      </c>
      <c r="G701" s="89">
        <v>79950.140249999997</v>
      </c>
      <c r="H701" s="89">
        <v>1215</v>
      </c>
      <c r="I701" s="87">
        <v>97139420.099999994</v>
      </c>
      <c r="J701" s="54" t="s">
        <v>116</v>
      </c>
      <c r="K701" s="89" t="s">
        <v>169</v>
      </c>
      <c r="L701" s="45" t="s">
        <v>105</v>
      </c>
    </row>
    <row r="702" spans="1:12" s="53" customFormat="1" ht="20.149999999999999" customHeight="1">
      <c r="A702" s="44">
        <v>42675</v>
      </c>
      <c r="B702" s="49"/>
      <c r="C702" s="45" t="s">
        <v>20</v>
      </c>
      <c r="D702" s="89">
        <v>0.45400000000000001</v>
      </c>
      <c r="E702" s="89">
        <v>323.63569999999999</v>
      </c>
      <c r="F702" s="90">
        <v>7.5</v>
      </c>
      <c r="G702" s="89">
        <v>2427.26775</v>
      </c>
      <c r="H702" s="89">
        <v>1215</v>
      </c>
      <c r="I702" s="87">
        <v>2949133.05</v>
      </c>
      <c r="J702" s="54" t="s">
        <v>116</v>
      </c>
      <c r="K702" s="89" t="s">
        <v>135</v>
      </c>
      <c r="L702" s="45" t="s">
        <v>105</v>
      </c>
    </row>
    <row r="703" spans="1:12" s="53" customFormat="1" ht="20.149999999999999" customHeight="1">
      <c r="A703" s="44">
        <v>42675</v>
      </c>
      <c r="B703" s="49"/>
      <c r="C703" s="45" t="s">
        <v>20</v>
      </c>
      <c r="D703" s="89">
        <v>5.25</v>
      </c>
      <c r="E703" s="89">
        <v>3742.4834999999998</v>
      </c>
      <c r="F703" s="90">
        <v>7.5</v>
      </c>
      <c r="G703" s="89">
        <v>28068.626249999998</v>
      </c>
      <c r="H703" s="89">
        <v>1215</v>
      </c>
      <c r="I703" s="87">
        <v>34103385.450000003</v>
      </c>
      <c r="J703" s="54" t="s">
        <v>116</v>
      </c>
      <c r="K703" s="89" t="s">
        <v>180</v>
      </c>
      <c r="L703" s="45" t="s">
        <v>105</v>
      </c>
    </row>
    <row r="704" spans="1:12" s="53" customFormat="1" ht="20.149999999999999" customHeight="1">
      <c r="A704" s="44">
        <v>42675</v>
      </c>
      <c r="B704" s="49"/>
      <c r="C704" s="45" t="s">
        <v>20</v>
      </c>
      <c r="D704" s="89">
        <v>69.421999999999997</v>
      </c>
      <c r="E704" s="89">
        <v>49487.750399999997</v>
      </c>
      <c r="F704" s="90">
        <v>7.5</v>
      </c>
      <c r="G704" s="89">
        <v>371158.12799999997</v>
      </c>
      <c r="H704" s="89">
        <v>1215</v>
      </c>
      <c r="I704" s="87">
        <v>450957127.94999999</v>
      </c>
      <c r="J704" s="54" t="s">
        <v>116</v>
      </c>
      <c r="K704" s="89" t="s">
        <v>162</v>
      </c>
      <c r="L704" s="45" t="s">
        <v>105</v>
      </c>
    </row>
    <row r="705" spans="1:12" s="53" customFormat="1" ht="20.149999999999999" customHeight="1">
      <c r="A705" s="44">
        <v>42675</v>
      </c>
      <c r="B705" s="49"/>
      <c r="C705" s="45" t="s">
        <v>20</v>
      </c>
      <c r="D705" s="89">
        <v>0.86399999999999999</v>
      </c>
      <c r="E705" s="89">
        <v>615.90589999999997</v>
      </c>
      <c r="F705" s="90">
        <v>7.5</v>
      </c>
      <c r="G705" s="89">
        <v>4619.2942499999999</v>
      </c>
      <c r="H705" s="89">
        <v>1215</v>
      </c>
      <c r="I705" s="87">
        <v>5612437.3499999996</v>
      </c>
      <c r="J705" s="54" t="s">
        <v>116</v>
      </c>
      <c r="K705" s="89" t="s">
        <v>134</v>
      </c>
      <c r="L705" s="45" t="s">
        <v>105</v>
      </c>
    </row>
    <row r="706" spans="1:12" s="53" customFormat="1" ht="20.149999999999999" customHeight="1">
      <c r="A706" s="44">
        <v>42675</v>
      </c>
      <c r="B706" s="49"/>
      <c r="C706" s="45" t="s">
        <v>20</v>
      </c>
      <c r="D706" s="89">
        <v>0.67500000000000004</v>
      </c>
      <c r="E706" s="89">
        <v>481.17649999999998</v>
      </c>
      <c r="F706" s="90">
        <v>7.5</v>
      </c>
      <c r="G706" s="89">
        <v>3608.82375</v>
      </c>
      <c r="H706" s="89">
        <v>1215</v>
      </c>
      <c r="I706" s="87">
        <v>4384716.3</v>
      </c>
      <c r="J706" s="54" t="s">
        <v>116</v>
      </c>
      <c r="K706" s="89" t="s">
        <v>181</v>
      </c>
      <c r="L706" s="45" t="s">
        <v>105</v>
      </c>
    </row>
    <row r="707" spans="1:12" s="53" customFormat="1" ht="20.149999999999999" customHeight="1">
      <c r="A707" s="44">
        <v>42675</v>
      </c>
      <c r="B707" s="49"/>
      <c r="C707" s="45" t="s">
        <v>20</v>
      </c>
      <c r="D707" s="89">
        <v>152.26900000000001</v>
      </c>
      <c r="E707" s="89">
        <v>108545.56570000001</v>
      </c>
      <c r="F707" s="90">
        <v>7.5</v>
      </c>
      <c r="G707" s="89">
        <v>814091.74275000009</v>
      </c>
      <c r="H707" s="89">
        <v>1215</v>
      </c>
      <c r="I707" s="87">
        <v>989121464.10000002</v>
      </c>
      <c r="J707" s="54" t="s">
        <v>116</v>
      </c>
      <c r="K707" s="89" t="s">
        <v>136</v>
      </c>
      <c r="L707" s="45" t="s">
        <v>105</v>
      </c>
    </row>
    <row r="708" spans="1:12" s="53" customFormat="1" ht="20.149999999999999" customHeight="1">
      <c r="A708" s="44">
        <v>42675</v>
      </c>
      <c r="B708" s="49"/>
      <c r="C708" s="45" t="s">
        <v>20</v>
      </c>
      <c r="D708" s="89">
        <v>193.654</v>
      </c>
      <c r="E708" s="89">
        <v>138047.02849999999</v>
      </c>
      <c r="F708" s="90">
        <v>7.5</v>
      </c>
      <c r="G708" s="89">
        <v>1035352.7137499999</v>
      </c>
      <c r="H708" s="89">
        <v>1215</v>
      </c>
      <c r="I708" s="87">
        <v>1257953542.6499999</v>
      </c>
      <c r="J708" s="54" t="s">
        <v>116</v>
      </c>
      <c r="K708" s="89" t="s">
        <v>139</v>
      </c>
      <c r="L708" s="45" t="s">
        <v>105</v>
      </c>
    </row>
    <row r="709" spans="1:12" s="53" customFormat="1" ht="20.149999999999999" customHeight="1">
      <c r="A709" s="44">
        <v>42675</v>
      </c>
      <c r="B709" s="49"/>
      <c r="C709" s="45" t="s">
        <v>20</v>
      </c>
      <c r="D709" s="89">
        <v>0.34499999999999997</v>
      </c>
      <c r="E709" s="89">
        <v>245.93459999999999</v>
      </c>
      <c r="F709" s="90">
        <v>7.5</v>
      </c>
      <c r="G709" s="89">
        <v>1844.5094999999999</v>
      </c>
      <c r="H709" s="89">
        <v>1215</v>
      </c>
      <c r="I709" s="87">
        <v>2241079.65</v>
      </c>
      <c r="J709" s="54" t="s">
        <v>116</v>
      </c>
      <c r="K709" s="89" t="s">
        <v>140</v>
      </c>
      <c r="L709" s="45" t="s">
        <v>105</v>
      </c>
    </row>
    <row r="710" spans="1:12" s="53" customFormat="1" ht="20.149999999999999" customHeight="1">
      <c r="A710" s="44">
        <v>42675</v>
      </c>
      <c r="B710" s="49"/>
      <c r="C710" s="45" t="s">
        <v>20</v>
      </c>
      <c r="D710" s="89">
        <v>885.96400000000006</v>
      </c>
      <c r="E710" s="89">
        <v>631562.98129999998</v>
      </c>
      <c r="F710" s="90">
        <v>7.5</v>
      </c>
      <c r="G710" s="89">
        <v>4736722.3597499998</v>
      </c>
      <c r="H710" s="89">
        <v>1215</v>
      </c>
      <c r="I710" s="87">
        <v>5755117667.4000006</v>
      </c>
      <c r="J710" s="54" t="s">
        <v>116</v>
      </c>
      <c r="K710" s="89" t="s">
        <v>171</v>
      </c>
      <c r="L710" s="45" t="s">
        <v>105</v>
      </c>
    </row>
    <row r="711" spans="1:12" s="53" customFormat="1" ht="20.149999999999999" customHeight="1">
      <c r="A711" s="44">
        <v>42675</v>
      </c>
      <c r="B711" s="49"/>
      <c r="C711" s="45" t="s">
        <v>20</v>
      </c>
      <c r="D711" s="89">
        <v>941.12199999999996</v>
      </c>
      <c r="E711" s="89">
        <v>670882.58219999995</v>
      </c>
      <c r="F711" s="90">
        <v>7.5</v>
      </c>
      <c r="G711" s="89">
        <v>5031619.3664999995</v>
      </c>
      <c r="H711" s="89">
        <v>1215</v>
      </c>
      <c r="I711" s="87">
        <v>6113417534.5500002</v>
      </c>
      <c r="J711" s="54" t="s">
        <v>116</v>
      </c>
      <c r="K711" s="89" t="s">
        <v>182</v>
      </c>
      <c r="L711" s="45" t="s">
        <v>105</v>
      </c>
    </row>
    <row r="712" spans="1:12" s="53" customFormat="1" ht="20.149999999999999" customHeight="1">
      <c r="A712" s="44">
        <v>42675</v>
      </c>
      <c r="B712" s="49"/>
      <c r="C712" s="45" t="s">
        <v>20</v>
      </c>
      <c r="D712" s="89">
        <v>1323.61</v>
      </c>
      <c r="E712" s="89">
        <v>943540.68290000001</v>
      </c>
      <c r="F712" s="90">
        <v>7.5</v>
      </c>
      <c r="G712" s="89">
        <v>7076555.1217499999</v>
      </c>
      <c r="H712" s="89">
        <v>1215</v>
      </c>
      <c r="I712" s="87">
        <v>8598014470.7999992</v>
      </c>
      <c r="J712" s="54" t="s">
        <v>116</v>
      </c>
      <c r="K712" s="89" t="s">
        <v>174</v>
      </c>
      <c r="L712" s="45" t="s">
        <v>105</v>
      </c>
    </row>
    <row r="713" spans="1:12" s="53" customFormat="1" ht="20.149999999999999" customHeight="1">
      <c r="A713" s="44">
        <v>42675</v>
      </c>
      <c r="B713" s="49"/>
      <c r="C713" s="45" t="s">
        <v>20</v>
      </c>
      <c r="D713" s="89">
        <v>692.17100000000005</v>
      </c>
      <c r="E713" s="89">
        <v>493416.86599999998</v>
      </c>
      <c r="F713" s="90">
        <v>7.5</v>
      </c>
      <c r="G713" s="89">
        <v>3700626.4949999996</v>
      </c>
      <c r="H713" s="89">
        <v>1215</v>
      </c>
      <c r="I713" s="87">
        <v>4496261197.5</v>
      </c>
      <c r="J713" s="54" t="s">
        <v>116</v>
      </c>
      <c r="K713" s="89" t="s">
        <v>183</v>
      </c>
      <c r="L713" s="45" t="s">
        <v>105</v>
      </c>
    </row>
    <row r="714" spans="1:12" s="53" customFormat="1" ht="20.149999999999999" customHeight="1">
      <c r="A714" s="44">
        <v>42675</v>
      </c>
      <c r="B714" s="49"/>
      <c r="C714" s="45" t="s">
        <v>20</v>
      </c>
      <c r="D714" s="89">
        <v>1.0740000000000001</v>
      </c>
      <c r="E714" s="89">
        <v>765.60519999999997</v>
      </c>
      <c r="F714" s="90">
        <v>7.5</v>
      </c>
      <c r="G714" s="89">
        <v>5742.0389999999998</v>
      </c>
      <c r="H714" s="89">
        <v>1215</v>
      </c>
      <c r="I714" s="87">
        <v>6976578.5999999996</v>
      </c>
      <c r="J714" s="54" t="s">
        <v>116</v>
      </c>
      <c r="K714" s="89" t="s">
        <v>146</v>
      </c>
      <c r="L714" s="45" t="s">
        <v>105</v>
      </c>
    </row>
    <row r="715" spans="1:12" s="53" customFormat="1" ht="20.149999999999999" customHeight="1">
      <c r="A715" s="44">
        <v>42675</v>
      </c>
      <c r="B715" s="49"/>
      <c r="C715" s="45" t="s">
        <v>20</v>
      </c>
      <c r="D715" s="89">
        <v>0.88600000000000001</v>
      </c>
      <c r="E715" s="89">
        <v>631.58860000000004</v>
      </c>
      <c r="F715" s="90">
        <v>7.5</v>
      </c>
      <c r="G715" s="89">
        <v>4736.9145000000008</v>
      </c>
      <c r="H715" s="89">
        <v>1215</v>
      </c>
      <c r="I715" s="87">
        <v>5755345.6499999994</v>
      </c>
      <c r="J715" s="54" t="s">
        <v>116</v>
      </c>
      <c r="K715" s="89" t="s">
        <v>184</v>
      </c>
      <c r="L715" s="45" t="s">
        <v>105</v>
      </c>
    </row>
    <row r="716" spans="1:12" s="53" customFormat="1" ht="20.149999999999999" customHeight="1">
      <c r="A716" s="44">
        <v>42675</v>
      </c>
      <c r="B716" s="49"/>
      <c r="C716" s="45" t="s">
        <v>20</v>
      </c>
      <c r="D716" s="89">
        <v>0.627</v>
      </c>
      <c r="E716" s="89">
        <v>446.95949999999999</v>
      </c>
      <c r="F716" s="90">
        <v>2.4104999999999999</v>
      </c>
      <c r="G716" s="89">
        <v>1511.3934999999999</v>
      </c>
      <c r="H716" s="89">
        <v>1215</v>
      </c>
      <c r="I716" s="87">
        <v>1836338.85</v>
      </c>
      <c r="J716" s="54" t="s">
        <v>116</v>
      </c>
      <c r="K716" s="89" t="s">
        <v>147</v>
      </c>
      <c r="L716" s="45" t="s">
        <v>105</v>
      </c>
    </row>
    <row r="717" spans="1:12" s="53" customFormat="1" ht="20.149999999999999" customHeight="1">
      <c r="A717" s="44">
        <v>42675</v>
      </c>
      <c r="B717" s="49"/>
      <c r="C717" s="45" t="s">
        <v>20</v>
      </c>
      <c r="D717" s="89">
        <v>2.149</v>
      </c>
      <c r="E717" s="89">
        <v>1531.9232</v>
      </c>
      <c r="F717" s="90">
        <v>2.4104999999999999</v>
      </c>
      <c r="G717" s="89">
        <v>5180.1644999999999</v>
      </c>
      <c r="H717" s="89">
        <v>1215</v>
      </c>
      <c r="I717" s="87">
        <v>6293894.3999999994</v>
      </c>
      <c r="J717" s="54" t="s">
        <v>116</v>
      </c>
      <c r="K717" s="89" t="s">
        <v>148</v>
      </c>
      <c r="L717" s="45" t="s">
        <v>105</v>
      </c>
    </row>
    <row r="718" spans="1:12" s="53" customFormat="1" ht="20.149999999999999" customHeight="1">
      <c r="A718" s="44">
        <v>42675</v>
      </c>
      <c r="B718" s="49"/>
      <c r="C718" s="45" t="s">
        <v>20</v>
      </c>
      <c r="D718" s="89">
        <v>0.307</v>
      </c>
      <c r="E718" s="89">
        <v>218.84620000000001</v>
      </c>
      <c r="F718" s="90">
        <v>2.4104999999999999</v>
      </c>
      <c r="G718" s="89">
        <v>740.0234999999999</v>
      </c>
      <c r="H718" s="89">
        <v>1215</v>
      </c>
      <c r="I718" s="87">
        <v>899124.29999999993</v>
      </c>
      <c r="J718" s="54" t="s">
        <v>116</v>
      </c>
      <c r="K718" s="89" t="s">
        <v>149</v>
      </c>
      <c r="L718" s="45" t="s">
        <v>105</v>
      </c>
    </row>
    <row r="719" spans="1:12" s="53" customFormat="1" ht="20.149999999999999" customHeight="1">
      <c r="A719" s="44">
        <v>42675</v>
      </c>
      <c r="B719" s="49"/>
      <c r="C719" s="45" t="s">
        <v>20</v>
      </c>
      <c r="D719" s="89">
        <v>0.26900000000000002</v>
      </c>
      <c r="E719" s="89">
        <v>191.7577</v>
      </c>
      <c r="F719" s="90">
        <v>2.4104999999999999</v>
      </c>
      <c r="G719" s="89">
        <v>648.42449999999997</v>
      </c>
      <c r="H719" s="89">
        <v>1215</v>
      </c>
      <c r="I719" s="87">
        <v>787830.29999999993</v>
      </c>
      <c r="J719" s="54" t="s">
        <v>116</v>
      </c>
      <c r="K719" s="89" t="s">
        <v>150</v>
      </c>
      <c r="L719" s="45" t="s">
        <v>105</v>
      </c>
    </row>
    <row r="720" spans="1:12" s="53" customFormat="1" ht="20.149999999999999" customHeight="1">
      <c r="A720" s="44">
        <v>42675</v>
      </c>
      <c r="B720" s="49"/>
      <c r="C720" s="45" t="s">
        <v>20</v>
      </c>
      <c r="D720" s="89">
        <v>7.5999999999999998E-2</v>
      </c>
      <c r="E720" s="89">
        <v>54.176900000000003</v>
      </c>
      <c r="F720" s="90">
        <v>2.4104999999999999</v>
      </c>
      <c r="G720" s="89">
        <v>183.19799999999998</v>
      </c>
      <c r="H720" s="89">
        <v>1215</v>
      </c>
      <c r="I720" s="87">
        <v>222588</v>
      </c>
      <c r="J720" s="54" t="s">
        <v>116</v>
      </c>
      <c r="K720" s="89" t="s">
        <v>151</v>
      </c>
      <c r="L720" s="45" t="s">
        <v>105</v>
      </c>
    </row>
    <row r="721" spans="1:12" s="53" customFormat="1" ht="20.149999999999999" customHeight="1">
      <c r="A721" s="44">
        <v>42675</v>
      </c>
      <c r="B721" s="49"/>
      <c r="C721" s="45" t="s">
        <v>20</v>
      </c>
      <c r="D721" s="89">
        <v>1.3620000000000001</v>
      </c>
      <c r="E721" s="89">
        <v>970.90710000000001</v>
      </c>
      <c r="F721" s="90">
        <v>2.4104999999999999</v>
      </c>
      <c r="G721" s="89">
        <v>3283.1010000000001</v>
      </c>
      <c r="H721" s="89">
        <v>1215</v>
      </c>
      <c r="I721" s="87">
        <v>3988966.5</v>
      </c>
      <c r="J721" s="54" t="s">
        <v>116</v>
      </c>
      <c r="K721" s="89" t="s">
        <v>152</v>
      </c>
      <c r="L721" s="45" t="s">
        <v>105</v>
      </c>
    </row>
    <row r="722" spans="1:12" s="53" customFormat="1" ht="20.149999999999999" customHeight="1">
      <c r="A722" s="44">
        <v>42675</v>
      </c>
      <c r="B722" s="49"/>
      <c r="C722" s="45" t="s">
        <v>20</v>
      </c>
      <c r="D722" s="89">
        <v>3.9460000000000002</v>
      </c>
      <c r="E722" s="89">
        <v>2812.9218999999998</v>
      </c>
      <c r="F722" s="90">
        <v>2.4104999999999999</v>
      </c>
      <c r="G722" s="89">
        <v>9511.8429999999989</v>
      </c>
      <c r="H722" s="89">
        <v>1215</v>
      </c>
      <c r="I722" s="87">
        <v>11556885.6</v>
      </c>
      <c r="J722" s="54" t="s">
        <v>116</v>
      </c>
      <c r="K722" s="89" t="s">
        <v>159</v>
      </c>
      <c r="L722" s="45" t="s">
        <v>105</v>
      </c>
    </row>
    <row r="723" spans="1:12" s="53" customFormat="1" ht="20.149999999999999" customHeight="1">
      <c r="A723" s="44">
        <v>42675</v>
      </c>
      <c r="B723" s="49"/>
      <c r="C723" s="45" t="s">
        <v>20</v>
      </c>
      <c r="D723" s="89">
        <v>4.0419999999999998</v>
      </c>
      <c r="E723" s="89">
        <v>2881.3559</v>
      </c>
      <c r="F723" s="90">
        <v>2.4104999999999999</v>
      </c>
      <c r="G723" s="89">
        <v>9743.241</v>
      </c>
      <c r="H723" s="89">
        <v>1215</v>
      </c>
      <c r="I723" s="87">
        <v>11838036.6</v>
      </c>
      <c r="J723" s="54" t="s">
        <v>116</v>
      </c>
      <c r="K723" s="89" t="s">
        <v>153</v>
      </c>
      <c r="L723" s="45" t="s">
        <v>105</v>
      </c>
    </row>
    <row r="724" spans="1:12" s="53" customFormat="1" ht="20.149999999999999" customHeight="1">
      <c r="A724" s="44">
        <v>42675</v>
      </c>
      <c r="B724" s="49"/>
      <c r="C724" s="45" t="s">
        <v>20</v>
      </c>
      <c r="D724" s="89">
        <v>4.8000000000000001E-2</v>
      </c>
      <c r="E724" s="89">
        <v>34.216999999999999</v>
      </c>
      <c r="F724" s="90">
        <v>2.4104999999999999</v>
      </c>
      <c r="G724" s="89">
        <v>115.70400000000001</v>
      </c>
      <c r="H724" s="89">
        <v>1215</v>
      </c>
      <c r="I724" s="87">
        <v>140575.5</v>
      </c>
      <c r="J724" s="54" t="s">
        <v>116</v>
      </c>
      <c r="K724" s="89" t="s">
        <v>177</v>
      </c>
      <c r="L724" s="45" t="s">
        <v>105</v>
      </c>
    </row>
    <row r="725" spans="1:12" s="53" customFormat="1" ht="20.149999999999999" customHeight="1">
      <c r="A725" s="44">
        <v>42675</v>
      </c>
      <c r="B725" s="49"/>
      <c r="C725" s="45" t="s">
        <v>20</v>
      </c>
      <c r="D725" s="89">
        <v>0.56499999999999995</v>
      </c>
      <c r="E725" s="89">
        <v>402.76249999999999</v>
      </c>
      <c r="F725" s="90">
        <v>2.4104999999999999</v>
      </c>
      <c r="G725" s="89">
        <v>1361.9424999999997</v>
      </c>
      <c r="H725" s="89">
        <v>1215</v>
      </c>
      <c r="I725" s="87">
        <v>1654757.1</v>
      </c>
      <c r="J725" s="54" t="s">
        <v>116</v>
      </c>
      <c r="K725" s="89" t="s">
        <v>154</v>
      </c>
      <c r="L725" s="45" t="s">
        <v>105</v>
      </c>
    </row>
    <row r="726" spans="1:12" s="53" customFormat="1" ht="20.149999999999999" customHeight="1">
      <c r="A726" s="44">
        <v>42675</v>
      </c>
      <c r="B726" s="49"/>
      <c r="C726" s="45" t="s">
        <v>20</v>
      </c>
      <c r="D726" s="89">
        <v>6.4370000000000003</v>
      </c>
      <c r="E726" s="89">
        <v>4588.6412</v>
      </c>
      <c r="F726" s="90">
        <v>2.4104999999999999</v>
      </c>
      <c r="G726" s="89">
        <v>15516.388499999999</v>
      </c>
      <c r="H726" s="89">
        <v>1215</v>
      </c>
      <c r="I726" s="87">
        <v>18852413.849999998</v>
      </c>
      <c r="J726" s="54" t="s">
        <v>116</v>
      </c>
      <c r="K726" s="89" t="s">
        <v>185</v>
      </c>
      <c r="L726" s="45" t="s">
        <v>105</v>
      </c>
    </row>
    <row r="727" spans="1:12" s="53" customFormat="1" ht="20.149999999999999" customHeight="1">
      <c r="A727" s="44">
        <v>42675</v>
      </c>
      <c r="B727" s="49"/>
      <c r="C727" s="45" t="s">
        <v>20</v>
      </c>
      <c r="D727" s="89">
        <v>1.5389999999999999</v>
      </c>
      <c r="E727" s="89">
        <v>1097.0823</v>
      </c>
      <c r="F727" s="90">
        <v>2.4104999999999999</v>
      </c>
      <c r="G727" s="89">
        <v>3709.7594999999997</v>
      </c>
      <c r="H727" s="89">
        <v>1215</v>
      </c>
      <c r="I727" s="87">
        <v>4507358.4000000004</v>
      </c>
      <c r="J727" s="54" t="s">
        <v>116</v>
      </c>
      <c r="K727" s="89" t="s">
        <v>160</v>
      </c>
      <c r="L727" s="45" t="s">
        <v>105</v>
      </c>
    </row>
    <row r="728" spans="1:12" s="53" customFormat="1" ht="20.149999999999999" customHeight="1">
      <c r="A728" s="44">
        <v>42675</v>
      </c>
      <c r="B728" s="49"/>
      <c r="C728" s="45" t="s">
        <v>20</v>
      </c>
      <c r="D728" s="89">
        <v>0.31</v>
      </c>
      <c r="E728" s="89">
        <v>220.9847</v>
      </c>
      <c r="F728" s="90">
        <v>2.4104999999999999</v>
      </c>
      <c r="G728" s="89">
        <v>747.245</v>
      </c>
      <c r="H728" s="89">
        <v>1215</v>
      </c>
      <c r="I728" s="87">
        <v>907908.75</v>
      </c>
      <c r="J728" s="54" t="s">
        <v>116</v>
      </c>
      <c r="K728" s="89" t="s">
        <v>157</v>
      </c>
      <c r="L728" s="45" t="s">
        <v>105</v>
      </c>
    </row>
    <row r="729" spans="1:12" s="53" customFormat="1" ht="20.149999999999999" customHeight="1">
      <c r="A729" s="44">
        <v>42675</v>
      </c>
      <c r="B729" s="49"/>
      <c r="C729" s="45" t="s">
        <v>20</v>
      </c>
      <c r="D729" s="89">
        <v>0.26500000000000001</v>
      </c>
      <c r="E729" s="89">
        <v>188.90629999999999</v>
      </c>
      <c r="F729" s="90">
        <v>2.4104999999999999</v>
      </c>
      <c r="G729" s="89">
        <v>638.79250000000002</v>
      </c>
      <c r="H729" s="89">
        <v>1215</v>
      </c>
      <c r="I729" s="87">
        <v>776129.85</v>
      </c>
      <c r="J729" s="54" t="s">
        <v>116</v>
      </c>
      <c r="K729" s="89" t="s">
        <v>156</v>
      </c>
      <c r="L729" s="45" t="s">
        <v>105</v>
      </c>
    </row>
    <row r="730" spans="1:12" s="53" customFormat="1" ht="20.149999999999999" customHeight="1">
      <c r="A730" s="44"/>
      <c r="B730" s="49"/>
      <c r="C730" s="45"/>
      <c r="D730" s="89"/>
      <c r="E730" s="89"/>
      <c r="F730" s="90"/>
      <c r="G730" s="89"/>
      <c r="H730" s="89"/>
      <c r="I730" s="88"/>
      <c r="J730" s="54"/>
      <c r="K730" s="89"/>
      <c r="L730" s="45"/>
    </row>
    <row r="731" spans="1:12" s="53" customFormat="1" ht="20.149999999999999" customHeight="1">
      <c r="A731" s="44">
        <v>42705</v>
      </c>
      <c r="B731" s="49"/>
      <c r="C731" s="45" t="s">
        <v>20</v>
      </c>
      <c r="D731" s="89">
        <v>2.044</v>
      </c>
      <c r="E731" s="89">
        <v>1462.4738</v>
      </c>
      <c r="F731" s="90">
        <v>7.5</v>
      </c>
      <c r="G731" s="89">
        <v>10968.5535</v>
      </c>
      <c r="H731" s="89">
        <v>1215</v>
      </c>
      <c r="I731" s="87">
        <v>13326788.25</v>
      </c>
      <c r="J731" s="54" t="s">
        <v>116</v>
      </c>
      <c r="K731" s="89" t="s">
        <v>165</v>
      </c>
      <c r="L731" s="45" t="s">
        <v>105</v>
      </c>
    </row>
    <row r="732" spans="1:12" s="53" customFormat="1" ht="20.149999999999999" customHeight="1">
      <c r="A732" s="44">
        <v>42705</v>
      </c>
      <c r="B732" s="49"/>
      <c r="C732" s="45" t="s">
        <v>20</v>
      </c>
      <c r="D732" s="89">
        <v>0.54600000000000004</v>
      </c>
      <c r="E732" s="89">
        <v>390.66079999999999</v>
      </c>
      <c r="F732" s="90">
        <v>7.5</v>
      </c>
      <c r="G732" s="89">
        <v>2929.9560000000001</v>
      </c>
      <c r="H732" s="89">
        <v>1215</v>
      </c>
      <c r="I732" s="87">
        <v>3559901.4</v>
      </c>
      <c r="J732" s="54" t="s">
        <v>116</v>
      </c>
      <c r="K732" s="89" t="s">
        <v>118</v>
      </c>
      <c r="L732" s="45" t="s">
        <v>105</v>
      </c>
    </row>
    <row r="733" spans="1:12" s="53" customFormat="1" ht="20.149999999999999" customHeight="1">
      <c r="A733" s="44">
        <v>42705</v>
      </c>
      <c r="B733" s="49"/>
      <c r="C733" s="45" t="s">
        <v>20</v>
      </c>
      <c r="D733" s="89">
        <v>16.183</v>
      </c>
      <c r="E733" s="89">
        <v>11578.871800000001</v>
      </c>
      <c r="F733" s="90">
        <v>7.5</v>
      </c>
      <c r="G733" s="89">
        <v>86841.53850000001</v>
      </c>
      <c r="H733" s="89">
        <v>1215</v>
      </c>
      <c r="I733" s="87">
        <v>105512471.09999999</v>
      </c>
      <c r="J733" s="54" t="s">
        <v>116</v>
      </c>
      <c r="K733" s="89" t="s">
        <v>119</v>
      </c>
      <c r="L733" s="45" t="s">
        <v>105</v>
      </c>
    </row>
    <row r="734" spans="1:12" s="53" customFormat="1" ht="20.149999999999999" customHeight="1">
      <c r="A734" s="44">
        <v>42705</v>
      </c>
      <c r="B734" s="49"/>
      <c r="C734" s="45" t="s">
        <v>20</v>
      </c>
      <c r="D734" s="89">
        <v>13.978</v>
      </c>
      <c r="E734" s="89">
        <v>10001.203100000001</v>
      </c>
      <c r="F734" s="90">
        <v>7.5</v>
      </c>
      <c r="G734" s="89">
        <v>75009.023249999998</v>
      </c>
      <c r="H734" s="89">
        <v>1215</v>
      </c>
      <c r="I734" s="87">
        <v>91135959.300000012</v>
      </c>
      <c r="J734" s="54" t="s">
        <v>116</v>
      </c>
      <c r="K734" s="89" t="s">
        <v>166</v>
      </c>
      <c r="L734" s="45" t="s">
        <v>105</v>
      </c>
    </row>
    <row r="735" spans="1:12" s="53" customFormat="1" ht="20.149999999999999" customHeight="1">
      <c r="A735" s="44">
        <v>42705</v>
      </c>
      <c r="B735" s="49"/>
      <c r="C735" s="45" t="s">
        <v>20</v>
      </c>
      <c r="D735" s="89">
        <v>0.182</v>
      </c>
      <c r="E735" s="89">
        <v>130.22030000000001</v>
      </c>
      <c r="F735" s="90">
        <v>7.5</v>
      </c>
      <c r="G735" s="89">
        <v>976.65225000000009</v>
      </c>
      <c r="H735" s="89">
        <v>1215</v>
      </c>
      <c r="I735" s="87">
        <v>1186629.75</v>
      </c>
      <c r="J735" s="54" t="s">
        <v>116</v>
      </c>
      <c r="K735" s="89" t="s">
        <v>121</v>
      </c>
      <c r="L735" s="45" t="s">
        <v>105</v>
      </c>
    </row>
    <row r="736" spans="1:12" s="53" customFormat="1" ht="20.149999999999999" customHeight="1">
      <c r="A736" s="44">
        <v>42705</v>
      </c>
      <c r="B736" s="49"/>
      <c r="C736" s="45" t="s">
        <v>20</v>
      </c>
      <c r="D736" s="89">
        <v>3.7559999999999998</v>
      </c>
      <c r="E736" s="89">
        <v>2687.4029999999998</v>
      </c>
      <c r="F736" s="90">
        <v>7.5</v>
      </c>
      <c r="G736" s="89">
        <v>20155.522499999999</v>
      </c>
      <c r="H736" s="89">
        <v>1215</v>
      </c>
      <c r="I736" s="87">
        <v>24488956.800000001</v>
      </c>
      <c r="J736" s="54" t="s">
        <v>116</v>
      </c>
      <c r="K736" s="89" t="s">
        <v>122</v>
      </c>
      <c r="L736" s="45" t="s">
        <v>105</v>
      </c>
    </row>
    <row r="737" spans="1:12" s="53" customFormat="1" ht="20.149999999999999" customHeight="1">
      <c r="A737" s="44">
        <v>42705</v>
      </c>
      <c r="B737" s="49"/>
      <c r="C737" s="45" t="s">
        <v>20</v>
      </c>
      <c r="D737" s="89">
        <v>12.368</v>
      </c>
      <c r="E737" s="89">
        <v>8849.2544999999991</v>
      </c>
      <c r="F737" s="90">
        <v>7.5</v>
      </c>
      <c r="G737" s="89">
        <v>66369.408749999988</v>
      </c>
      <c r="H737" s="89">
        <v>1215</v>
      </c>
      <c r="I737" s="87">
        <v>80638833.150000006</v>
      </c>
      <c r="J737" s="54" t="s">
        <v>116</v>
      </c>
      <c r="K737" s="89" t="s">
        <v>123</v>
      </c>
      <c r="L737" s="45" t="s">
        <v>105</v>
      </c>
    </row>
    <row r="738" spans="1:12" s="53" customFormat="1" ht="20.149999999999999" customHeight="1">
      <c r="A738" s="44">
        <v>42705</v>
      </c>
      <c r="B738" s="49"/>
      <c r="C738" s="45" t="s">
        <v>20</v>
      </c>
      <c r="D738" s="89">
        <v>0.439</v>
      </c>
      <c r="E738" s="89">
        <v>314.10270000000003</v>
      </c>
      <c r="F738" s="90">
        <v>7.5</v>
      </c>
      <c r="G738" s="89">
        <v>2355.77025</v>
      </c>
      <c r="H738" s="89">
        <v>1215</v>
      </c>
      <c r="I738" s="87">
        <v>2862260.55</v>
      </c>
      <c r="J738" s="54" t="s">
        <v>116</v>
      </c>
      <c r="K738" s="89" t="s">
        <v>124</v>
      </c>
      <c r="L738" s="45" t="s">
        <v>105</v>
      </c>
    </row>
    <row r="739" spans="1:12" s="53" customFormat="1" ht="20.149999999999999" customHeight="1">
      <c r="A739" s="44">
        <v>42705</v>
      </c>
      <c r="B739" s="49"/>
      <c r="C739" s="45" t="s">
        <v>20</v>
      </c>
      <c r="D739" s="89">
        <v>2.5999999999999999E-2</v>
      </c>
      <c r="E739" s="89">
        <v>18.602900000000002</v>
      </c>
      <c r="F739" s="90">
        <v>7.5</v>
      </c>
      <c r="G739" s="89">
        <v>139.52175000000003</v>
      </c>
      <c r="H739" s="89">
        <v>1215</v>
      </c>
      <c r="I739" s="87">
        <v>169516.80000000002</v>
      </c>
      <c r="J739" s="54" t="s">
        <v>116</v>
      </c>
      <c r="K739" s="89" t="s">
        <v>186</v>
      </c>
      <c r="L739" s="45" t="s">
        <v>105</v>
      </c>
    </row>
    <row r="740" spans="1:12" s="53" customFormat="1" ht="20.149999999999999" customHeight="1">
      <c r="A740" s="44">
        <v>42705</v>
      </c>
      <c r="B740" s="49"/>
      <c r="C740" s="45" t="s">
        <v>20</v>
      </c>
      <c r="D740" s="89">
        <v>0.02</v>
      </c>
      <c r="E740" s="89">
        <v>14.309900000000001</v>
      </c>
      <c r="F740" s="90">
        <v>7.5</v>
      </c>
      <c r="G740" s="89">
        <v>107.32425000000001</v>
      </c>
      <c r="H740" s="89">
        <v>1215</v>
      </c>
      <c r="I740" s="87">
        <v>130393.79999999999</v>
      </c>
      <c r="J740" s="54" t="s">
        <v>116</v>
      </c>
      <c r="K740" s="89" t="s">
        <v>167</v>
      </c>
      <c r="L740" s="45" t="s">
        <v>105</v>
      </c>
    </row>
    <row r="741" spans="1:12" s="53" customFormat="1" ht="20.149999999999999" customHeight="1">
      <c r="A741" s="44">
        <v>42705</v>
      </c>
      <c r="B741" s="49"/>
      <c r="C741" s="45" t="s">
        <v>20</v>
      </c>
      <c r="D741" s="89">
        <v>0.98099999999999998</v>
      </c>
      <c r="E741" s="89">
        <v>701.90160000000003</v>
      </c>
      <c r="F741" s="90">
        <v>7.5</v>
      </c>
      <c r="G741" s="89">
        <v>5264.2620000000006</v>
      </c>
      <c r="H741" s="89">
        <v>1215</v>
      </c>
      <c r="I741" s="87">
        <v>6396075.9000000004</v>
      </c>
      <c r="J741" s="54" t="s">
        <v>116</v>
      </c>
      <c r="K741" s="89" t="s">
        <v>126</v>
      </c>
      <c r="L741" s="45" t="s">
        <v>105</v>
      </c>
    </row>
    <row r="742" spans="1:12" s="53" customFormat="1" ht="20.149999999999999" customHeight="1">
      <c r="A742" s="44">
        <v>42705</v>
      </c>
      <c r="B742" s="49"/>
      <c r="C742" s="45" t="s">
        <v>20</v>
      </c>
      <c r="D742" s="89">
        <v>11.525</v>
      </c>
      <c r="E742" s="89">
        <v>8246.0913999999993</v>
      </c>
      <c r="F742" s="90">
        <v>7.5</v>
      </c>
      <c r="G742" s="89">
        <v>61845.685499999992</v>
      </c>
      <c r="H742" s="89">
        <v>1215</v>
      </c>
      <c r="I742" s="87">
        <v>75142513.350000009</v>
      </c>
      <c r="J742" s="54" t="s">
        <v>116</v>
      </c>
      <c r="K742" s="89" t="s">
        <v>179</v>
      </c>
      <c r="L742" s="45" t="s">
        <v>105</v>
      </c>
    </row>
    <row r="743" spans="1:12" s="53" customFormat="1" ht="20.149999999999999" customHeight="1">
      <c r="A743" s="44">
        <v>42705</v>
      </c>
      <c r="B743" s="49"/>
      <c r="C743" s="45" t="s">
        <v>20</v>
      </c>
      <c r="D743" s="89">
        <v>0.85399999999999998</v>
      </c>
      <c r="E743" s="89">
        <v>611.03359999999998</v>
      </c>
      <c r="F743" s="90">
        <v>7.5</v>
      </c>
      <c r="G743" s="89">
        <v>4582.7519999999995</v>
      </c>
      <c r="H743" s="89">
        <v>1215</v>
      </c>
      <c r="I743" s="87">
        <v>5568041.25</v>
      </c>
      <c r="J743" s="54" t="s">
        <v>116</v>
      </c>
      <c r="K743" s="89" t="s">
        <v>127</v>
      </c>
      <c r="L743" s="45" t="s">
        <v>105</v>
      </c>
    </row>
    <row r="744" spans="1:12" s="53" customFormat="1" ht="20.149999999999999" customHeight="1">
      <c r="A744" s="44">
        <v>42705</v>
      </c>
      <c r="B744" s="49"/>
      <c r="C744" s="45" t="s">
        <v>20</v>
      </c>
      <c r="D744" s="89">
        <v>6.3E-2</v>
      </c>
      <c r="E744" s="89">
        <v>45.0762</v>
      </c>
      <c r="F744" s="90">
        <v>7.5</v>
      </c>
      <c r="G744" s="89">
        <v>338.07150000000001</v>
      </c>
      <c r="H744" s="89">
        <v>1215</v>
      </c>
      <c r="I744" s="87">
        <v>410755.05</v>
      </c>
      <c r="J744" s="54" t="s">
        <v>116</v>
      </c>
      <c r="K744" s="89" t="s">
        <v>128</v>
      </c>
      <c r="L744" s="45" t="s">
        <v>105</v>
      </c>
    </row>
    <row r="745" spans="1:12" s="53" customFormat="1" ht="20.149999999999999" customHeight="1">
      <c r="A745" s="44">
        <v>42705</v>
      </c>
      <c r="B745" s="49"/>
      <c r="C745" s="45" t="s">
        <v>20</v>
      </c>
      <c r="D745" s="89">
        <v>0.45600000000000002</v>
      </c>
      <c r="E745" s="89">
        <v>326.26620000000003</v>
      </c>
      <c r="F745" s="90">
        <v>7.5</v>
      </c>
      <c r="G745" s="89">
        <v>2446.9965000000002</v>
      </c>
      <c r="H745" s="89">
        <v>1215</v>
      </c>
      <c r="I745" s="87">
        <v>2973105</v>
      </c>
      <c r="J745" s="54" t="s">
        <v>116</v>
      </c>
      <c r="K745" s="89" t="s">
        <v>129</v>
      </c>
      <c r="L745" s="45" t="s">
        <v>105</v>
      </c>
    </row>
    <row r="746" spans="1:12" s="53" customFormat="1" ht="20.149999999999999" customHeight="1">
      <c r="A746" s="44">
        <v>42705</v>
      </c>
      <c r="B746" s="49"/>
      <c r="C746" s="45" t="s">
        <v>20</v>
      </c>
      <c r="D746" s="89">
        <v>0.21199999999999999</v>
      </c>
      <c r="E746" s="89">
        <v>151.68520000000001</v>
      </c>
      <c r="F746" s="90">
        <v>7.5</v>
      </c>
      <c r="G746" s="89">
        <v>1137.6390000000001</v>
      </c>
      <c r="H746" s="89">
        <v>1215</v>
      </c>
      <c r="I746" s="87">
        <v>1382232.6</v>
      </c>
      <c r="J746" s="54" t="s">
        <v>116</v>
      </c>
      <c r="K746" s="89" t="s">
        <v>130</v>
      </c>
      <c r="L746" s="45" t="s">
        <v>105</v>
      </c>
    </row>
    <row r="747" spans="1:12" s="53" customFormat="1" ht="20.149999999999999" customHeight="1">
      <c r="A747" s="44">
        <v>42705</v>
      </c>
      <c r="B747" s="49"/>
      <c r="C747" s="45" t="s">
        <v>20</v>
      </c>
      <c r="D747" s="89">
        <v>5.4370000000000003</v>
      </c>
      <c r="E747" s="89">
        <v>3890.1518000000001</v>
      </c>
      <c r="F747" s="90">
        <v>7.5</v>
      </c>
      <c r="G747" s="89">
        <v>29176.138500000001</v>
      </c>
      <c r="H747" s="89">
        <v>1215</v>
      </c>
      <c r="I747" s="87">
        <v>35449010.100000001</v>
      </c>
      <c r="J747" s="54" t="s">
        <v>116</v>
      </c>
      <c r="K747" s="89" t="s">
        <v>187</v>
      </c>
      <c r="L747" s="45" t="s">
        <v>105</v>
      </c>
    </row>
    <row r="748" spans="1:12" s="53" customFormat="1" ht="20.149999999999999" customHeight="1">
      <c r="A748" s="44">
        <v>42705</v>
      </c>
      <c r="B748" s="49"/>
      <c r="C748" s="45" t="s">
        <v>20</v>
      </c>
      <c r="D748" s="89">
        <v>0.379</v>
      </c>
      <c r="E748" s="89">
        <v>271.173</v>
      </c>
      <c r="F748" s="90">
        <v>7.5</v>
      </c>
      <c r="G748" s="89">
        <v>2033.7975000000001</v>
      </c>
      <c r="H748" s="89">
        <v>1215</v>
      </c>
      <c r="I748" s="87">
        <v>2471067</v>
      </c>
      <c r="J748" s="54" t="s">
        <v>116</v>
      </c>
      <c r="K748" s="89" t="s">
        <v>188</v>
      </c>
      <c r="L748" s="45" t="s">
        <v>105</v>
      </c>
    </row>
    <row r="749" spans="1:12" s="53" customFormat="1" ht="20.149999999999999" customHeight="1">
      <c r="A749" s="44">
        <v>42705</v>
      </c>
      <c r="B749" s="49"/>
      <c r="C749" s="45" t="s">
        <v>20</v>
      </c>
      <c r="D749" s="89">
        <v>7.2380000000000004</v>
      </c>
      <c r="E749" s="89">
        <v>5178.76</v>
      </c>
      <c r="F749" s="90">
        <v>7.5</v>
      </c>
      <c r="G749" s="89">
        <v>38840.700000000004</v>
      </c>
      <c r="H749" s="89">
        <v>1215</v>
      </c>
      <c r="I749" s="87">
        <v>47191450.5</v>
      </c>
      <c r="J749" s="54" t="s">
        <v>116</v>
      </c>
      <c r="K749" s="89" t="s">
        <v>169</v>
      </c>
      <c r="L749" s="45" t="s">
        <v>105</v>
      </c>
    </row>
    <row r="750" spans="1:12" s="53" customFormat="1" ht="20.149999999999999" customHeight="1">
      <c r="A750" s="44">
        <v>42705</v>
      </c>
      <c r="B750" s="49"/>
      <c r="C750" s="45" t="s">
        <v>20</v>
      </c>
      <c r="D750" s="89">
        <v>26.317</v>
      </c>
      <c r="E750" s="89">
        <v>18829.708200000001</v>
      </c>
      <c r="F750" s="90">
        <v>7.5</v>
      </c>
      <c r="G750" s="89">
        <v>141222.81150000001</v>
      </c>
      <c r="H750" s="89">
        <v>1215</v>
      </c>
      <c r="I750" s="87">
        <v>171585714.15000001</v>
      </c>
      <c r="J750" s="54" t="s">
        <v>116</v>
      </c>
      <c r="K750" s="89" t="s">
        <v>189</v>
      </c>
      <c r="L750" s="45" t="s">
        <v>105</v>
      </c>
    </row>
    <row r="751" spans="1:12" s="53" customFormat="1" ht="20.149999999999999" customHeight="1">
      <c r="A751" s="44">
        <v>42705</v>
      </c>
      <c r="B751" s="49"/>
      <c r="C751" s="45" t="s">
        <v>20</v>
      </c>
      <c r="D751" s="89">
        <v>1.647</v>
      </c>
      <c r="E751" s="89">
        <v>1178.4219000000001</v>
      </c>
      <c r="F751" s="90">
        <v>7.5</v>
      </c>
      <c r="G751" s="89">
        <v>8838.1642499999998</v>
      </c>
      <c r="H751" s="89">
        <v>1215</v>
      </c>
      <c r="I751" s="87">
        <v>10738364.4</v>
      </c>
      <c r="J751" s="54" t="s">
        <v>116</v>
      </c>
      <c r="K751" s="89" t="s">
        <v>135</v>
      </c>
      <c r="L751" s="45" t="s">
        <v>105</v>
      </c>
    </row>
    <row r="752" spans="1:12" s="53" customFormat="1" ht="20.149999999999999" customHeight="1">
      <c r="A752" s="44">
        <v>42705</v>
      </c>
      <c r="B752" s="49"/>
      <c r="C752" s="45" t="s">
        <v>20</v>
      </c>
      <c r="D752" s="89">
        <v>81.662999999999997</v>
      </c>
      <c r="E752" s="89">
        <v>58429.549800000001</v>
      </c>
      <c r="F752" s="90">
        <v>7.5</v>
      </c>
      <c r="G752" s="89">
        <v>438221.62349999999</v>
      </c>
      <c r="H752" s="89">
        <v>1215</v>
      </c>
      <c r="I752" s="87">
        <v>532439268.30000001</v>
      </c>
      <c r="J752" s="54" t="s">
        <v>116</v>
      </c>
      <c r="K752" s="89" t="s">
        <v>162</v>
      </c>
      <c r="L752" s="45" t="s">
        <v>105</v>
      </c>
    </row>
    <row r="753" spans="1:12" s="53" customFormat="1" ht="20.149999999999999" customHeight="1">
      <c r="A753" s="44">
        <v>42705</v>
      </c>
      <c r="B753" s="49"/>
      <c r="C753" s="45" t="s">
        <v>20</v>
      </c>
      <c r="D753" s="89">
        <v>1.5880000000000001</v>
      </c>
      <c r="E753" s="89">
        <v>1136.2076</v>
      </c>
      <c r="F753" s="90">
        <v>7.5</v>
      </c>
      <c r="G753" s="89">
        <v>8521.5569999999989</v>
      </c>
      <c r="H753" s="89">
        <v>1215</v>
      </c>
      <c r="I753" s="87">
        <v>10353695.399999999</v>
      </c>
      <c r="J753" s="54" t="s">
        <v>116</v>
      </c>
      <c r="K753" s="89" t="s">
        <v>134</v>
      </c>
      <c r="L753" s="45" t="s">
        <v>105</v>
      </c>
    </row>
    <row r="754" spans="1:12" s="53" customFormat="1" ht="20.149999999999999" customHeight="1">
      <c r="A754" s="44">
        <v>42705</v>
      </c>
      <c r="B754" s="49"/>
      <c r="C754" s="45" t="s">
        <v>20</v>
      </c>
      <c r="D754" s="89">
        <v>0.82499999999999996</v>
      </c>
      <c r="E754" s="89">
        <v>590.28420000000006</v>
      </c>
      <c r="F754" s="90">
        <v>7.5</v>
      </c>
      <c r="G754" s="89">
        <v>4427.1315000000004</v>
      </c>
      <c r="H754" s="89">
        <v>1215</v>
      </c>
      <c r="I754" s="87">
        <v>5378962.9500000002</v>
      </c>
      <c r="J754" s="54" t="s">
        <v>116</v>
      </c>
      <c r="K754" s="89" t="s">
        <v>190</v>
      </c>
      <c r="L754" s="45" t="s">
        <v>105</v>
      </c>
    </row>
    <row r="755" spans="1:12" s="53" customFormat="1" ht="20.149999999999999" customHeight="1">
      <c r="A755" s="44">
        <v>42705</v>
      </c>
      <c r="B755" s="49"/>
      <c r="C755" s="45" t="s">
        <v>20</v>
      </c>
      <c r="D755" s="89">
        <v>193.756</v>
      </c>
      <c r="E755" s="89">
        <v>138631.64300000001</v>
      </c>
      <c r="F755" s="90">
        <v>7.5</v>
      </c>
      <c r="G755" s="89">
        <v>1039737.3225000001</v>
      </c>
      <c r="H755" s="89">
        <v>1215</v>
      </c>
      <c r="I755" s="87">
        <v>1263280843.8</v>
      </c>
      <c r="J755" s="54" t="s">
        <v>116</v>
      </c>
      <c r="K755" s="89" t="s">
        <v>136</v>
      </c>
      <c r="L755" s="45" t="s">
        <v>105</v>
      </c>
    </row>
    <row r="756" spans="1:12" s="53" customFormat="1" ht="20.149999999999999" customHeight="1">
      <c r="A756" s="44">
        <v>42705</v>
      </c>
      <c r="B756" s="49"/>
      <c r="C756" s="45" t="s">
        <v>20</v>
      </c>
      <c r="D756" s="89">
        <v>250.327</v>
      </c>
      <c r="E756" s="89">
        <v>179107.96720000001</v>
      </c>
      <c r="F756" s="90">
        <v>7.5</v>
      </c>
      <c r="G756" s="89">
        <v>1343309.7540000002</v>
      </c>
      <c r="H756" s="89">
        <v>1215</v>
      </c>
      <c r="I756" s="87">
        <v>1632121346.25</v>
      </c>
      <c r="J756" s="54" t="s">
        <v>116</v>
      </c>
      <c r="K756" s="89" t="s">
        <v>139</v>
      </c>
      <c r="L756" s="45" t="s">
        <v>105</v>
      </c>
    </row>
    <row r="757" spans="1:12" s="53" customFormat="1" ht="20.149999999999999" customHeight="1">
      <c r="A757" s="44">
        <v>42705</v>
      </c>
      <c r="B757" s="49"/>
      <c r="C757" s="45" t="s">
        <v>20</v>
      </c>
      <c r="D757" s="89">
        <v>0.35699999999999998</v>
      </c>
      <c r="E757" s="89">
        <v>255.43209999999999</v>
      </c>
      <c r="F757" s="90">
        <v>7.5</v>
      </c>
      <c r="G757" s="89">
        <v>1915.7407499999999</v>
      </c>
      <c r="H757" s="89">
        <v>1215</v>
      </c>
      <c r="I757" s="87">
        <v>2327624.1</v>
      </c>
      <c r="J757" s="54" t="s">
        <v>116</v>
      </c>
      <c r="K757" s="89" t="s">
        <v>140</v>
      </c>
      <c r="L757" s="45" t="s">
        <v>105</v>
      </c>
    </row>
    <row r="758" spans="1:12" s="53" customFormat="1" ht="20.149999999999999" customHeight="1">
      <c r="A758" s="44">
        <v>42705</v>
      </c>
      <c r="B758" s="49"/>
      <c r="C758" s="45" t="s">
        <v>20</v>
      </c>
      <c r="D758" s="89">
        <v>1086.0540000000001</v>
      </c>
      <c r="E758" s="89">
        <v>777067.29280000005</v>
      </c>
      <c r="F758" s="90">
        <v>7.5</v>
      </c>
      <c r="G758" s="89">
        <v>5828004.6960000005</v>
      </c>
      <c r="H758" s="89">
        <v>1215</v>
      </c>
      <c r="I758" s="87">
        <v>7081025710.5</v>
      </c>
      <c r="J758" s="54" t="s">
        <v>116</v>
      </c>
      <c r="K758" s="89" t="s">
        <v>191</v>
      </c>
      <c r="L758" s="45" t="s">
        <v>105</v>
      </c>
    </row>
    <row r="759" spans="1:12" s="53" customFormat="1" ht="20.149999999999999" customHeight="1">
      <c r="A759" s="44">
        <v>42705</v>
      </c>
      <c r="B759" s="49"/>
      <c r="C759" s="45" t="s">
        <v>20</v>
      </c>
      <c r="D759" s="89">
        <v>970.62199999999996</v>
      </c>
      <c r="E759" s="89">
        <v>694476.15850000002</v>
      </c>
      <c r="F759" s="90">
        <v>7.5</v>
      </c>
      <c r="G759" s="89">
        <v>5208571.1887499997</v>
      </c>
      <c r="H759" s="89">
        <v>1215</v>
      </c>
      <c r="I759" s="87">
        <v>6328413995.8500004</v>
      </c>
      <c r="J759" s="54" t="s">
        <v>116</v>
      </c>
      <c r="K759" s="89" t="s">
        <v>171</v>
      </c>
      <c r="L759" s="45" t="s">
        <v>105</v>
      </c>
    </row>
    <row r="760" spans="1:12" s="53" customFormat="1" ht="20.149999999999999" customHeight="1">
      <c r="A760" s="44">
        <v>42705</v>
      </c>
      <c r="B760" s="49"/>
      <c r="C760" s="45" t="s">
        <v>20</v>
      </c>
      <c r="D760" s="89">
        <v>1440.09</v>
      </c>
      <c r="E760" s="89">
        <v>1030378.6346</v>
      </c>
      <c r="F760" s="90">
        <v>7.5</v>
      </c>
      <c r="G760" s="89">
        <v>7727839.7594999997</v>
      </c>
      <c r="H760" s="89">
        <v>1215</v>
      </c>
      <c r="I760" s="87">
        <v>9389325308.3999996</v>
      </c>
      <c r="J760" s="54" t="s">
        <v>116</v>
      </c>
      <c r="K760" s="89" t="s">
        <v>192</v>
      </c>
      <c r="L760" s="45" t="s">
        <v>105</v>
      </c>
    </row>
    <row r="761" spans="1:12" s="53" customFormat="1" ht="20.149999999999999" customHeight="1">
      <c r="A761" s="44">
        <v>42705</v>
      </c>
      <c r="B761" s="49"/>
      <c r="C761" s="45" t="s">
        <v>20</v>
      </c>
      <c r="D761" s="89">
        <v>889.923</v>
      </c>
      <c r="E761" s="89">
        <v>636736.34680000006</v>
      </c>
      <c r="F761" s="90">
        <v>7.5</v>
      </c>
      <c r="G761" s="89">
        <v>4775522.6010000007</v>
      </c>
      <c r="H761" s="89">
        <v>1215</v>
      </c>
      <c r="I761" s="87">
        <v>5802259959</v>
      </c>
      <c r="J761" s="54" t="s">
        <v>116</v>
      </c>
      <c r="K761" s="89" t="s">
        <v>193</v>
      </c>
      <c r="L761" s="45" t="s">
        <v>105</v>
      </c>
    </row>
    <row r="762" spans="1:12" s="53" customFormat="1" ht="20.149999999999999" customHeight="1">
      <c r="A762" s="44">
        <v>42705</v>
      </c>
      <c r="B762" s="49"/>
      <c r="C762" s="45" t="s">
        <v>20</v>
      </c>
      <c r="D762" s="89">
        <v>1.2210000000000001</v>
      </c>
      <c r="E762" s="89">
        <v>873.62059999999997</v>
      </c>
      <c r="F762" s="90">
        <v>7.5</v>
      </c>
      <c r="G762" s="89">
        <v>6552.1544999999996</v>
      </c>
      <c r="H762" s="89">
        <v>1215</v>
      </c>
      <c r="I762" s="87">
        <v>7960862.25</v>
      </c>
      <c r="J762" s="54" t="s">
        <v>116</v>
      </c>
      <c r="K762" s="89" t="s">
        <v>145</v>
      </c>
      <c r="L762" s="45" t="s">
        <v>105</v>
      </c>
    </row>
    <row r="763" spans="1:12" s="53" customFormat="1" ht="20.149999999999999" customHeight="1">
      <c r="A763" s="44">
        <v>42705</v>
      </c>
      <c r="B763" s="49"/>
      <c r="C763" s="45" t="s">
        <v>20</v>
      </c>
      <c r="D763" s="89">
        <v>1.5720000000000001</v>
      </c>
      <c r="E763" s="89">
        <v>1124.7597000000001</v>
      </c>
      <c r="F763" s="90">
        <v>7.5</v>
      </c>
      <c r="G763" s="89">
        <v>8435.6977500000012</v>
      </c>
      <c r="H763" s="89">
        <v>1215</v>
      </c>
      <c r="I763" s="87">
        <v>10249375.5</v>
      </c>
      <c r="J763" s="54" t="s">
        <v>116</v>
      </c>
      <c r="K763" s="89" t="s">
        <v>194</v>
      </c>
      <c r="L763" s="45" t="s">
        <v>105</v>
      </c>
    </row>
    <row r="764" spans="1:12" s="53" customFormat="1" ht="20.149999999999999" customHeight="1">
      <c r="A764" s="44">
        <v>42705</v>
      </c>
      <c r="B764" s="49"/>
      <c r="C764" s="45" t="s">
        <v>20</v>
      </c>
      <c r="D764" s="89">
        <v>1.097</v>
      </c>
      <c r="E764" s="89">
        <v>784.89909999999998</v>
      </c>
      <c r="F764" s="90">
        <v>7.5</v>
      </c>
      <c r="G764" s="89">
        <v>5886.7432499999995</v>
      </c>
      <c r="H764" s="89">
        <v>1215</v>
      </c>
      <c r="I764" s="87">
        <v>7152389.0999999996</v>
      </c>
      <c r="J764" s="54" t="s">
        <v>116</v>
      </c>
      <c r="K764" s="89" t="s">
        <v>146</v>
      </c>
      <c r="L764" s="45" t="s">
        <v>105</v>
      </c>
    </row>
    <row r="765" spans="1:12" s="53" customFormat="1" ht="20.149999999999999" customHeight="1">
      <c r="A765" s="44">
        <v>42705</v>
      </c>
      <c r="B765" s="49"/>
      <c r="C765" s="45" t="s">
        <v>20</v>
      </c>
      <c r="D765" s="89">
        <v>0.73399999999999999</v>
      </c>
      <c r="E765" s="89">
        <v>525.17409999999995</v>
      </c>
      <c r="F765" s="90">
        <v>2.4194</v>
      </c>
      <c r="G765" s="89">
        <v>1775.8395999999998</v>
      </c>
      <c r="H765" s="89">
        <v>1215</v>
      </c>
      <c r="I765" s="87">
        <v>2157645.6</v>
      </c>
      <c r="J765" s="54" t="s">
        <v>116</v>
      </c>
      <c r="K765" s="89" t="s">
        <v>147</v>
      </c>
      <c r="L765" s="45" t="s">
        <v>105</v>
      </c>
    </row>
    <row r="766" spans="1:12" s="53" customFormat="1" ht="20.149999999999999" customHeight="1">
      <c r="A766" s="44">
        <v>42705</v>
      </c>
      <c r="B766" s="49"/>
      <c r="C766" s="45" t="s">
        <v>20</v>
      </c>
      <c r="D766" s="89">
        <v>2.3029999999999999</v>
      </c>
      <c r="E766" s="89">
        <v>1647.7873</v>
      </c>
      <c r="F766" s="90">
        <v>2.4194</v>
      </c>
      <c r="G766" s="89">
        <v>5571.8781999999992</v>
      </c>
      <c r="H766" s="89">
        <v>1215</v>
      </c>
      <c r="I766" s="87">
        <v>6769834.2000000002</v>
      </c>
      <c r="J766" s="54" t="s">
        <v>116</v>
      </c>
      <c r="K766" s="89" t="s">
        <v>148</v>
      </c>
      <c r="L766" s="45" t="s">
        <v>105</v>
      </c>
    </row>
    <row r="767" spans="1:12" s="53" customFormat="1" ht="20.149999999999999" customHeight="1">
      <c r="A767" s="44">
        <v>42705</v>
      </c>
      <c r="B767" s="49"/>
      <c r="C767" s="45" t="s">
        <v>20</v>
      </c>
      <c r="D767" s="89">
        <v>0.43</v>
      </c>
      <c r="E767" s="89">
        <v>307.66329999999999</v>
      </c>
      <c r="F767" s="90">
        <v>2.4194</v>
      </c>
      <c r="G767" s="89">
        <v>1040.3519999999999</v>
      </c>
      <c r="H767" s="89">
        <v>1215</v>
      </c>
      <c r="I767" s="87">
        <v>1264025.25</v>
      </c>
      <c r="J767" s="54" t="s">
        <v>116</v>
      </c>
      <c r="K767" s="89" t="s">
        <v>149</v>
      </c>
      <c r="L767" s="45" t="s">
        <v>105</v>
      </c>
    </row>
    <row r="768" spans="1:12" s="53" customFormat="1" ht="20.149999999999999" customHeight="1">
      <c r="A768" s="44">
        <v>42705</v>
      </c>
      <c r="B768" s="49"/>
      <c r="C768" s="45" t="s">
        <v>20</v>
      </c>
      <c r="D768" s="89">
        <v>0.26600000000000001</v>
      </c>
      <c r="E768" s="89">
        <v>190.3219</v>
      </c>
      <c r="F768" s="90">
        <v>2.4194</v>
      </c>
      <c r="G768" s="89">
        <v>643.56040000000007</v>
      </c>
      <c r="H768" s="89">
        <v>1215</v>
      </c>
      <c r="I768" s="87">
        <v>781925.39999999991</v>
      </c>
      <c r="J768" s="54" t="s">
        <v>116</v>
      </c>
      <c r="K768" s="89" t="s">
        <v>150</v>
      </c>
      <c r="L768" s="45" t="s">
        <v>105</v>
      </c>
    </row>
    <row r="769" spans="1:12" s="53" customFormat="1" ht="20.149999999999999" customHeight="1">
      <c r="A769" s="44">
        <v>42705</v>
      </c>
      <c r="B769" s="49"/>
      <c r="C769" s="45" t="s">
        <v>20</v>
      </c>
      <c r="D769" s="89">
        <v>8.1000000000000003E-2</v>
      </c>
      <c r="E769" s="89">
        <v>57.955199999999998</v>
      </c>
      <c r="F769" s="90">
        <v>2.4194</v>
      </c>
      <c r="G769" s="89">
        <v>195.98140000000001</v>
      </c>
      <c r="H769" s="89">
        <v>1215</v>
      </c>
      <c r="I769" s="87">
        <v>238115.69999999998</v>
      </c>
      <c r="J769" s="54" t="s">
        <v>116</v>
      </c>
      <c r="K769" s="89" t="s">
        <v>151</v>
      </c>
      <c r="L769" s="45" t="s">
        <v>105</v>
      </c>
    </row>
    <row r="770" spans="1:12" s="53" customFormat="1" ht="20.149999999999999" customHeight="1">
      <c r="A770" s="44">
        <v>42705</v>
      </c>
      <c r="B770" s="49"/>
      <c r="C770" s="45" t="s">
        <v>20</v>
      </c>
      <c r="D770" s="89">
        <v>1.3879999999999999</v>
      </c>
      <c r="E770" s="89">
        <v>993.10839999999996</v>
      </c>
      <c r="F770" s="90">
        <v>2.4194</v>
      </c>
      <c r="G770" s="89">
        <v>3358.1271999999999</v>
      </c>
      <c r="H770" s="89">
        <v>1215</v>
      </c>
      <c r="I770" s="87">
        <v>4080127.95</v>
      </c>
      <c r="J770" s="54" t="s">
        <v>116</v>
      </c>
      <c r="K770" s="89" t="s">
        <v>152</v>
      </c>
      <c r="L770" s="45" t="s">
        <v>105</v>
      </c>
    </row>
    <row r="771" spans="1:12" s="53" customFormat="1" ht="20.149999999999999" customHeight="1">
      <c r="A771" s="44">
        <v>42705</v>
      </c>
      <c r="B771" s="49"/>
      <c r="C771" s="45" t="s">
        <v>20</v>
      </c>
      <c r="D771" s="89">
        <v>4.2679999999999998</v>
      </c>
      <c r="E771" s="89">
        <v>3053.7368999999999</v>
      </c>
      <c r="F771" s="90">
        <v>2.4194</v>
      </c>
      <c r="G771" s="89">
        <v>10325.9992</v>
      </c>
      <c r="H771" s="89">
        <v>1215</v>
      </c>
      <c r="I771" s="87">
        <v>12546090</v>
      </c>
      <c r="J771" s="54" t="s">
        <v>116</v>
      </c>
      <c r="K771" s="89" t="s">
        <v>159</v>
      </c>
      <c r="L771" s="45" t="s">
        <v>105</v>
      </c>
    </row>
    <row r="772" spans="1:12" s="53" customFormat="1" ht="20.149999999999999" customHeight="1">
      <c r="A772" s="44">
        <v>42705</v>
      </c>
      <c r="B772" s="49"/>
      <c r="C772" s="45" t="s">
        <v>20</v>
      </c>
      <c r="D772" s="89">
        <v>4.577</v>
      </c>
      <c r="E772" s="89">
        <v>3274.8252000000002</v>
      </c>
      <c r="F772" s="90">
        <v>2.4194</v>
      </c>
      <c r="G772" s="89">
        <v>11073.603799999999</v>
      </c>
      <c r="H772" s="89">
        <v>1215</v>
      </c>
      <c r="I772" s="87">
        <v>13454424</v>
      </c>
      <c r="J772" s="54" t="s">
        <v>116</v>
      </c>
      <c r="K772" s="89" t="s">
        <v>153</v>
      </c>
      <c r="L772" s="45" t="s">
        <v>105</v>
      </c>
    </row>
    <row r="773" spans="1:12" s="53" customFormat="1" ht="20.149999999999999" customHeight="1">
      <c r="A773" s="44">
        <v>42705</v>
      </c>
      <c r="B773" s="49"/>
      <c r="C773" s="45" t="s">
        <v>20</v>
      </c>
      <c r="D773" s="89">
        <v>7.0000000000000001E-3</v>
      </c>
      <c r="E773" s="89">
        <v>5.0084999999999997</v>
      </c>
      <c r="F773" s="90">
        <v>2.4194</v>
      </c>
      <c r="G773" s="89">
        <v>16.925799999999999</v>
      </c>
      <c r="H773" s="89">
        <v>1215</v>
      </c>
      <c r="I773" s="87">
        <v>20569.95</v>
      </c>
      <c r="J773" s="54" t="s">
        <v>116</v>
      </c>
      <c r="K773" s="89" t="s">
        <v>177</v>
      </c>
      <c r="L773" s="45" t="s">
        <v>105</v>
      </c>
    </row>
    <row r="774" spans="1:12" s="53" customFormat="1" ht="20.149999999999999" customHeight="1">
      <c r="A774" s="44">
        <v>42705</v>
      </c>
      <c r="B774" s="49"/>
      <c r="C774" s="45" t="s">
        <v>20</v>
      </c>
      <c r="D774" s="89">
        <v>0.28599999999999998</v>
      </c>
      <c r="E774" s="89">
        <v>204.6319</v>
      </c>
      <c r="F774" s="90">
        <v>2.4194</v>
      </c>
      <c r="G774" s="89">
        <v>691.94839999999988</v>
      </c>
      <c r="H774" s="89">
        <v>1215</v>
      </c>
      <c r="I774" s="87">
        <v>840719.25</v>
      </c>
      <c r="J774" s="54" t="s">
        <v>116</v>
      </c>
      <c r="K774" s="89" t="s">
        <v>154</v>
      </c>
      <c r="L774" s="45" t="s">
        <v>105</v>
      </c>
    </row>
    <row r="775" spans="1:12" s="53" customFormat="1" ht="20.149999999999999" customHeight="1">
      <c r="A775" s="44">
        <v>42705</v>
      </c>
      <c r="B775" s="49"/>
      <c r="C775" s="45" t="s">
        <v>20</v>
      </c>
      <c r="D775" s="89">
        <v>10.333</v>
      </c>
      <c r="E775" s="89">
        <v>7393.2201999999997</v>
      </c>
      <c r="F775" s="90">
        <v>2.4194</v>
      </c>
      <c r="G775" s="89">
        <v>24999.660200000002</v>
      </c>
      <c r="H775" s="89">
        <v>1215</v>
      </c>
      <c r="I775" s="87">
        <v>30374586.899999999</v>
      </c>
      <c r="J775" s="54" t="s">
        <v>116</v>
      </c>
      <c r="K775" s="89" t="s">
        <v>178</v>
      </c>
      <c r="L775" s="45" t="s">
        <v>105</v>
      </c>
    </row>
    <row r="776" spans="1:12" s="53" customFormat="1" ht="20.149999999999999" customHeight="1">
      <c r="A776" s="44">
        <v>42705</v>
      </c>
      <c r="B776" s="49"/>
      <c r="C776" s="45" t="s">
        <v>20</v>
      </c>
      <c r="D776" s="89">
        <v>1.7390000000000001</v>
      </c>
      <c r="E776" s="89">
        <v>1244.2474999999999</v>
      </c>
      <c r="F776" s="90">
        <v>2.4194</v>
      </c>
      <c r="G776" s="89">
        <v>4207.3366000000005</v>
      </c>
      <c r="H776" s="89">
        <v>1215</v>
      </c>
      <c r="I776" s="87">
        <v>5111918.1000000006</v>
      </c>
      <c r="J776" s="54" t="s">
        <v>116</v>
      </c>
      <c r="K776" s="89" t="s">
        <v>160</v>
      </c>
      <c r="L776" s="45" t="s">
        <v>105</v>
      </c>
    </row>
    <row r="777" spans="1:12" s="53" customFormat="1" ht="20.149999999999999" customHeight="1">
      <c r="A777" s="44">
        <v>42705</v>
      </c>
      <c r="B777" s="49"/>
      <c r="C777" s="45" t="s">
        <v>20</v>
      </c>
      <c r="D777" s="89">
        <v>0.307</v>
      </c>
      <c r="E777" s="89">
        <v>219.65729999999999</v>
      </c>
      <c r="F777" s="90">
        <v>2.4194</v>
      </c>
      <c r="G777" s="89">
        <v>742.74580000000003</v>
      </c>
      <c r="H777" s="89">
        <v>1215</v>
      </c>
      <c r="I777" s="87">
        <v>902441.25</v>
      </c>
      <c r="J777" s="54" t="s">
        <v>116</v>
      </c>
      <c r="K777" s="89" t="s">
        <v>156</v>
      </c>
      <c r="L777" s="45" t="s">
        <v>105</v>
      </c>
    </row>
    <row r="778" spans="1:12" s="53" customFormat="1" ht="20.149999999999999" customHeight="1">
      <c r="A778" s="44">
        <v>42705</v>
      </c>
      <c r="B778" s="49"/>
      <c r="C778" s="45" t="s">
        <v>20</v>
      </c>
      <c r="D778" s="89">
        <v>0.28000000000000003</v>
      </c>
      <c r="E778" s="89">
        <v>200.3389</v>
      </c>
      <c r="F778" s="90">
        <v>2.4194</v>
      </c>
      <c r="G778" s="89">
        <v>677.44200000000001</v>
      </c>
      <c r="H778" s="89">
        <v>1215</v>
      </c>
      <c r="I778" s="87">
        <v>823089.60000000009</v>
      </c>
      <c r="J778" s="54" t="s">
        <v>116</v>
      </c>
      <c r="K778" s="89" t="s">
        <v>157</v>
      </c>
      <c r="L778" s="45" t="s">
        <v>105</v>
      </c>
    </row>
    <row r="779" spans="1:12" s="53" customFormat="1" ht="20.149999999999999" customHeight="1">
      <c r="A779" s="44">
        <v>42705</v>
      </c>
      <c r="B779" s="49"/>
      <c r="C779" s="45" t="s">
        <v>20</v>
      </c>
      <c r="D779" s="89"/>
      <c r="E779" s="89"/>
      <c r="F779" s="90">
        <v>2.4194</v>
      </c>
      <c r="G779" s="89">
        <v>0</v>
      </c>
      <c r="H779" s="89">
        <v>1215</v>
      </c>
      <c r="I779" s="87">
        <v>0</v>
      </c>
      <c r="J779" s="54" t="s">
        <v>116</v>
      </c>
      <c r="K779" s="89" t="s">
        <v>195</v>
      </c>
      <c r="L779" s="45" t="s">
        <v>105</v>
      </c>
    </row>
    <row r="780" spans="1:12" s="53" customFormat="1" ht="20.149999999999999" customHeight="1">
      <c r="A780" s="44"/>
      <c r="B780" s="55"/>
      <c r="C780" s="45"/>
      <c r="D780" s="91"/>
      <c r="E780" s="91"/>
      <c r="F780" s="92"/>
      <c r="G780" s="91"/>
      <c r="H780" s="91"/>
      <c r="I780" s="88"/>
      <c r="J780" s="54"/>
      <c r="K780" s="91"/>
      <c r="L780" s="45"/>
    </row>
    <row r="781" spans="1:12" s="53" customFormat="1" ht="20.149999999999999" customHeight="1">
      <c r="A781" s="44">
        <v>42736</v>
      </c>
      <c r="B781" s="49"/>
      <c r="C781" s="45" t="s">
        <v>20</v>
      </c>
      <c r="D781" s="89">
        <v>1.7490000000000001</v>
      </c>
      <c r="E781" s="89">
        <v>1249.8791000000001</v>
      </c>
      <c r="F781" s="90">
        <v>7.5</v>
      </c>
      <c r="G781" s="89">
        <v>9374.0932500000017</v>
      </c>
      <c r="H781" s="89">
        <v>1215</v>
      </c>
      <c r="I781" s="87">
        <v>11389519.35</v>
      </c>
      <c r="J781" s="54" t="s">
        <v>116</v>
      </c>
      <c r="K781" s="89" t="s">
        <v>165</v>
      </c>
      <c r="L781" s="45" t="s">
        <v>105</v>
      </c>
    </row>
    <row r="782" spans="1:12" s="53" customFormat="1" ht="20.149999999999999" customHeight="1">
      <c r="A782" s="44">
        <v>42736</v>
      </c>
      <c r="B782" s="49"/>
      <c r="C782" s="45" t="s">
        <v>20</v>
      </c>
      <c r="D782" s="89">
        <v>0.46500000000000002</v>
      </c>
      <c r="E782" s="89">
        <v>332.30059999999997</v>
      </c>
      <c r="F782" s="90">
        <v>7.5</v>
      </c>
      <c r="G782" s="89">
        <v>2492.2545</v>
      </c>
      <c r="H782" s="89">
        <v>1215</v>
      </c>
      <c r="I782" s="87">
        <v>3028083.75</v>
      </c>
      <c r="J782" s="54" t="s">
        <v>116</v>
      </c>
      <c r="K782" s="89" t="s">
        <v>118</v>
      </c>
      <c r="L782" s="45" t="s">
        <v>105</v>
      </c>
    </row>
    <row r="783" spans="1:12" s="53" customFormat="1" ht="20.149999999999999" customHeight="1">
      <c r="A783" s="44">
        <v>42736</v>
      </c>
      <c r="B783" s="49"/>
      <c r="C783" s="45" t="s">
        <v>20</v>
      </c>
      <c r="D783" s="89">
        <v>15.901999999999999</v>
      </c>
      <c r="E783" s="89">
        <v>11363.9668</v>
      </c>
      <c r="F783" s="90">
        <v>7.5</v>
      </c>
      <c r="G783" s="89">
        <v>85229.751000000004</v>
      </c>
      <c r="H783" s="89">
        <v>1215</v>
      </c>
      <c r="I783" s="87">
        <v>103554146.25</v>
      </c>
      <c r="J783" s="54" t="s">
        <v>116</v>
      </c>
      <c r="K783" s="89" t="s">
        <v>119</v>
      </c>
      <c r="L783" s="45" t="s">
        <v>105</v>
      </c>
    </row>
    <row r="784" spans="1:12" s="53" customFormat="1" ht="20.149999999999999" customHeight="1">
      <c r="A784" s="44">
        <v>42736</v>
      </c>
      <c r="B784" s="49"/>
      <c r="C784" s="45" t="s">
        <v>20</v>
      </c>
      <c r="D784" s="89">
        <v>9.3930000000000007</v>
      </c>
      <c r="E784" s="89">
        <v>6712.4726000000001</v>
      </c>
      <c r="F784" s="90">
        <v>7.5</v>
      </c>
      <c r="G784" s="89">
        <v>50343.544500000004</v>
      </c>
      <c r="H784" s="89">
        <v>1215</v>
      </c>
      <c r="I784" s="87">
        <v>61167401.100000001</v>
      </c>
      <c r="J784" s="54" t="s">
        <v>116</v>
      </c>
      <c r="K784" s="89" t="s">
        <v>166</v>
      </c>
      <c r="L784" s="45" t="s">
        <v>105</v>
      </c>
    </row>
    <row r="785" spans="1:12" s="53" customFormat="1" ht="20.149999999999999" customHeight="1">
      <c r="A785" s="44">
        <v>42736</v>
      </c>
      <c r="B785" s="49"/>
      <c r="C785" s="45" t="s">
        <v>20</v>
      </c>
      <c r="D785" s="89">
        <v>0.187</v>
      </c>
      <c r="E785" s="89">
        <v>133.63489999999999</v>
      </c>
      <c r="F785" s="90">
        <v>7.5</v>
      </c>
      <c r="G785" s="89">
        <v>1002.2617499999999</v>
      </c>
      <c r="H785" s="89">
        <v>1215</v>
      </c>
      <c r="I785" s="87">
        <v>1217745.8999999999</v>
      </c>
      <c r="J785" s="54" t="s">
        <v>116</v>
      </c>
      <c r="K785" s="89" t="s">
        <v>121</v>
      </c>
      <c r="L785" s="45" t="s">
        <v>105</v>
      </c>
    </row>
    <row r="786" spans="1:12" s="53" customFormat="1" ht="20.149999999999999" customHeight="1">
      <c r="A786" s="44">
        <v>42736</v>
      </c>
      <c r="B786" s="49"/>
      <c r="C786" s="45" t="s">
        <v>20</v>
      </c>
      <c r="D786" s="89">
        <v>3.8580000000000001</v>
      </c>
      <c r="E786" s="89">
        <v>2757.0232999999998</v>
      </c>
      <c r="F786" s="90">
        <v>7.5</v>
      </c>
      <c r="G786" s="89">
        <v>20677.674749999998</v>
      </c>
      <c r="H786" s="89">
        <v>1215</v>
      </c>
      <c r="I786" s="87">
        <v>25123369.049999997</v>
      </c>
      <c r="J786" s="54" t="s">
        <v>116</v>
      </c>
      <c r="K786" s="89" t="s">
        <v>122</v>
      </c>
      <c r="L786" s="45" t="s">
        <v>105</v>
      </c>
    </row>
    <row r="787" spans="1:12" s="53" customFormat="1" ht="20.149999999999999" customHeight="1">
      <c r="A787" s="44">
        <v>42736</v>
      </c>
      <c r="B787" s="49"/>
      <c r="C787" s="45" t="s">
        <v>20</v>
      </c>
      <c r="D787" s="89">
        <v>11.53</v>
      </c>
      <c r="E787" s="89">
        <v>8239.6262999999999</v>
      </c>
      <c r="F787" s="90">
        <v>7.5</v>
      </c>
      <c r="G787" s="89">
        <v>61797.197249999997</v>
      </c>
      <c r="H787" s="89">
        <v>1215</v>
      </c>
      <c r="I787" s="87">
        <v>75083598</v>
      </c>
      <c r="J787" s="54" t="s">
        <v>116</v>
      </c>
      <c r="K787" s="89" t="s">
        <v>123</v>
      </c>
      <c r="L787" s="45" t="s">
        <v>105</v>
      </c>
    </row>
    <row r="788" spans="1:12" s="53" customFormat="1" ht="20.149999999999999" customHeight="1">
      <c r="A788" s="44">
        <v>42736</v>
      </c>
      <c r="B788" s="49"/>
      <c r="C788" s="45" t="s">
        <v>20</v>
      </c>
      <c r="D788" s="89">
        <v>0.39400000000000002</v>
      </c>
      <c r="E788" s="89">
        <v>281.56229999999999</v>
      </c>
      <c r="F788" s="90">
        <v>7.5</v>
      </c>
      <c r="G788" s="89">
        <v>2111.7172500000001</v>
      </c>
      <c r="H788" s="89">
        <v>1215</v>
      </c>
      <c r="I788" s="87">
        <v>2565739.7999999998</v>
      </c>
      <c r="J788" s="54" t="s">
        <v>116</v>
      </c>
      <c r="K788" s="89" t="s">
        <v>124</v>
      </c>
      <c r="L788" s="45" t="s">
        <v>105</v>
      </c>
    </row>
    <row r="789" spans="1:12" s="53" customFormat="1" ht="20.149999999999999" customHeight="1">
      <c r="A789" s="44">
        <v>42736</v>
      </c>
      <c r="B789" s="49"/>
      <c r="C789" s="45" t="s">
        <v>20</v>
      </c>
      <c r="D789" s="89">
        <v>2.4E-2</v>
      </c>
      <c r="E789" s="89">
        <v>17.151</v>
      </c>
      <c r="F789" s="90">
        <v>7.5</v>
      </c>
      <c r="G789" s="89">
        <v>128.63249999999999</v>
      </c>
      <c r="H789" s="89">
        <v>1215</v>
      </c>
      <c r="I789" s="87">
        <v>156285.44999999998</v>
      </c>
      <c r="J789" s="54" t="s">
        <v>116</v>
      </c>
      <c r="K789" s="89" t="s">
        <v>196</v>
      </c>
      <c r="L789" s="45" t="s">
        <v>105</v>
      </c>
    </row>
    <row r="790" spans="1:12" s="53" customFormat="1" ht="20.149999999999999" customHeight="1">
      <c r="A790" s="44">
        <v>42736</v>
      </c>
      <c r="B790" s="49"/>
      <c r="C790" s="45" t="s">
        <v>20</v>
      </c>
      <c r="D790" s="89">
        <v>4.0000000000000001E-3</v>
      </c>
      <c r="E790" s="89">
        <v>2.8584999999999998</v>
      </c>
      <c r="F790" s="90">
        <v>7.5</v>
      </c>
      <c r="G790" s="89">
        <v>21.438749999999999</v>
      </c>
      <c r="H790" s="89">
        <v>1215</v>
      </c>
      <c r="I790" s="87">
        <v>26049.600000000002</v>
      </c>
      <c r="J790" s="54" t="s">
        <v>116</v>
      </c>
      <c r="K790" s="89" t="s">
        <v>167</v>
      </c>
      <c r="L790" s="45" t="s">
        <v>105</v>
      </c>
    </row>
    <row r="791" spans="1:12" s="53" customFormat="1" ht="20.149999999999999" customHeight="1">
      <c r="A791" s="44">
        <v>42736</v>
      </c>
      <c r="B791" s="49"/>
      <c r="C791" s="45" t="s">
        <v>20</v>
      </c>
      <c r="D791" s="89">
        <v>0.97799999999999998</v>
      </c>
      <c r="E791" s="89">
        <v>698.90329999999994</v>
      </c>
      <c r="F791" s="90">
        <v>7.5</v>
      </c>
      <c r="G791" s="89">
        <v>5241.7747499999996</v>
      </c>
      <c r="H791" s="89">
        <v>1215</v>
      </c>
      <c r="I791" s="87">
        <v>6368750.5500000007</v>
      </c>
      <c r="J791" s="54" t="s">
        <v>116</v>
      </c>
      <c r="K791" s="89" t="s">
        <v>126</v>
      </c>
      <c r="L791" s="45" t="s">
        <v>105</v>
      </c>
    </row>
    <row r="792" spans="1:12" s="53" customFormat="1" ht="20.149999999999999" customHeight="1">
      <c r="A792" s="44">
        <v>42736</v>
      </c>
      <c r="B792" s="49"/>
      <c r="C792" s="45" t="s">
        <v>20</v>
      </c>
      <c r="D792" s="89">
        <v>10.715999999999999</v>
      </c>
      <c r="E792" s="89">
        <v>7657.9215000000004</v>
      </c>
      <c r="F792" s="90">
        <v>7.5</v>
      </c>
      <c r="G792" s="89">
        <v>57434.411250000005</v>
      </c>
      <c r="H792" s="89">
        <v>1215</v>
      </c>
      <c r="I792" s="87">
        <v>69782808.150000006</v>
      </c>
      <c r="J792" s="54" t="s">
        <v>116</v>
      </c>
      <c r="K792" s="89" t="s">
        <v>168</v>
      </c>
      <c r="L792" s="45" t="s">
        <v>105</v>
      </c>
    </row>
    <row r="793" spans="1:12" s="53" customFormat="1" ht="20.149999999999999" customHeight="1">
      <c r="A793" s="44">
        <v>42736</v>
      </c>
      <c r="B793" s="49"/>
      <c r="C793" s="45" t="s">
        <v>20</v>
      </c>
      <c r="D793" s="89">
        <v>1.109</v>
      </c>
      <c r="E793" s="89">
        <v>792.51909999999998</v>
      </c>
      <c r="F793" s="90">
        <v>7.5</v>
      </c>
      <c r="G793" s="89">
        <v>5943.8932500000001</v>
      </c>
      <c r="H793" s="89">
        <v>1215</v>
      </c>
      <c r="I793" s="87">
        <v>7221826.3500000006</v>
      </c>
      <c r="J793" s="54" t="s">
        <v>116</v>
      </c>
      <c r="K793" s="89" t="s">
        <v>127</v>
      </c>
      <c r="L793" s="45" t="s">
        <v>105</v>
      </c>
    </row>
    <row r="794" spans="1:12" s="53" customFormat="1" ht="20.149999999999999" customHeight="1">
      <c r="A794" s="44">
        <v>42736</v>
      </c>
      <c r="B794" s="49"/>
      <c r="C794" s="45" t="s">
        <v>20</v>
      </c>
      <c r="D794" s="89">
        <v>7.0000000000000007E-2</v>
      </c>
      <c r="E794" s="89">
        <v>50.023800000000001</v>
      </c>
      <c r="F794" s="90">
        <v>7.5</v>
      </c>
      <c r="G794" s="89">
        <v>375.17849999999999</v>
      </c>
      <c r="H794" s="89">
        <v>1215</v>
      </c>
      <c r="I794" s="87">
        <v>455843.7</v>
      </c>
      <c r="J794" s="54" t="s">
        <v>116</v>
      </c>
      <c r="K794" s="89" t="s">
        <v>128</v>
      </c>
      <c r="L794" s="45" t="s">
        <v>105</v>
      </c>
    </row>
    <row r="795" spans="1:12" s="53" customFormat="1" ht="20.149999999999999" customHeight="1">
      <c r="A795" s="44">
        <v>42736</v>
      </c>
      <c r="B795" s="49"/>
      <c r="C795" s="45" t="s">
        <v>20</v>
      </c>
      <c r="D795" s="89">
        <v>0.55800000000000005</v>
      </c>
      <c r="E795" s="89">
        <v>398.76080000000002</v>
      </c>
      <c r="F795" s="90">
        <v>7.5</v>
      </c>
      <c r="G795" s="89">
        <v>2990.7060000000001</v>
      </c>
      <c r="H795" s="89">
        <v>1215</v>
      </c>
      <c r="I795" s="87">
        <v>3633712.65</v>
      </c>
      <c r="J795" s="54" t="s">
        <v>116</v>
      </c>
      <c r="K795" s="89" t="s">
        <v>129</v>
      </c>
      <c r="L795" s="45" t="s">
        <v>105</v>
      </c>
    </row>
    <row r="796" spans="1:12" s="53" customFormat="1" ht="20.149999999999999" customHeight="1">
      <c r="A796" s="44">
        <v>42736</v>
      </c>
      <c r="B796" s="49"/>
      <c r="C796" s="45" t="s">
        <v>20</v>
      </c>
      <c r="D796" s="89">
        <v>3.7999999999999999E-2</v>
      </c>
      <c r="E796" s="89">
        <v>27.155799999999999</v>
      </c>
      <c r="F796" s="90">
        <v>7.5</v>
      </c>
      <c r="G796" s="89">
        <v>203.66849999999999</v>
      </c>
      <c r="H796" s="89">
        <v>1215</v>
      </c>
      <c r="I796" s="87">
        <v>247459.05</v>
      </c>
      <c r="J796" s="54" t="s">
        <v>116</v>
      </c>
      <c r="K796" s="89" t="s">
        <v>130</v>
      </c>
      <c r="L796" s="45" t="s">
        <v>105</v>
      </c>
    </row>
    <row r="797" spans="1:12" s="53" customFormat="1" ht="20.149999999999999" customHeight="1">
      <c r="A797" s="44">
        <v>42736</v>
      </c>
      <c r="B797" s="49"/>
      <c r="C797" s="45" t="s">
        <v>20</v>
      </c>
      <c r="D797" s="89">
        <v>9.3049999999999997</v>
      </c>
      <c r="E797" s="89">
        <v>6649.5856000000003</v>
      </c>
      <c r="F797" s="90">
        <v>7.5</v>
      </c>
      <c r="G797" s="89">
        <v>49871.892</v>
      </c>
      <c r="H797" s="89">
        <v>1215</v>
      </c>
      <c r="I797" s="87">
        <v>60594346.350000001</v>
      </c>
      <c r="J797" s="54" t="s">
        <v>116</v>
      </c>
      <c r="K797" s="89" t="s">
        <v>197</v>
      </c>
      <c r="L797" s="45" t="s">
        <v>105</v>
      </c>
    </row>
    <row r="798" spans="1:12" s="53" customFormat="1" ht="20.149999999999999" customHeight="1">
      <c r="A798" s="44">
        <v>42736</v>
      </c>
      <c r="B798" s="49"/>
      <c r="C798" s="45" t="s">
        <v>20</v>
      </c>
      <c r="D798" s="89">
        <v>3.173</v>
      </c>
      <c r="E798" s="89">
        <v>2267.5050999999999</v>
      </c>
      <c r="F798" s="90">
        <v>7.5</v>
      </c>
      <c r="G798" s="89">
        <v>17006.288249999998</v>
      </c>
      <c r="H798" s="89">
        <v>1215</v>
      </c>
      <c r="I798" s="87">
        <v>20662642.350000001</v>
      </c>
      <c r="J798" s="54" t="s">
        <v>116</v>
      </c>
      <c r="K798" s="89" t="s">
        <v>198</v>
      </c>
      <c r="L798" s="45" t="s">
        <v>105</v>
      </c>
    </row>
    <row r="799" spans="1:12" s="53" customFormat="1" ht="20.149999999999999" customHeight="1">
      <c r="A799" s="44">
        <v>42736</v>
      </c>
      <c r="B799" s="49"/>
      <c r="C799" s="45" t="s">
        <v>20</v>
      </c>
      <c r="D799" s="89">
        <v>89.162000000000006</v>
      </c>
      <c r="E799" s="89">
        <v>63717.3943</v>
      </c>
      <c r="F799" s="90">
        <v>7.5</v>
      </c>
      <c r="G799" s="89">
        <v>477880.45724999998</v>
      </c>
      <c r="H799" s="89">
        <v>1215</v>
      </c>
      <c r="I799" s="87">
        <v>580624758.89999998</v>
      </c>
      <c r="J799" s="54" t="s">
        <v>116</v>
      </c>
      <c r="K799" s="89" t="s">
        <v>162</v>
      </c>
      <c r="L799" s="45" t="s">
        <v>105</v>
      </c>
    </row>
    <row r="800" spans="1:12" s="53" customFormat="1" ht="20.149999999999999" customHeight="1">
      <c r="A800" s="44">
        <v>42736</v>
      </c>
      <c r="B800" s="49"/>
      <c r="C800" s="45" t="s">
        <v>20</v>
      </c>
      <c r="D800" s="89">
        <v>1.1359999999999999</v>
      </c>
      <c r="E800" s="89">
        <v>811.81399999999996</v>
      </c>
      <c r="F800" s="90">
        <v>7.5</v>
      </c>
      <c r="G800" s="89">
        <v>6088.6049999999996</v>
      </c>
      <c r="H800" s="89">
        <v>1215</v>
      </c>
      <c r="I800" s="87">
        <v>7397661.1499999994</v>
      </c>
      <c r="J800" s="54" t="s">
        <v>116</v>
      </c>
      <c r="K800" s="89" t="s">
        <v>134</v>
      </c>
      <c r="L800" s="45" t="s">
        <v>105</v>
      </c>
    </row>
    <row r="801" spans="1:12" s="53" customFormat="1" ht="20.149999999999999" customHeight="1">
      <c r="A801" s="44">
        <v>42736</v>
      </c>
      <c r="B801" s="49"/>
      <c r="C801" s="45" t="s">
        <v>20</v>
      </c>
      <c r="D801" s="89">
        <v>0.84299999999999997</v>
      </c>
      <c r="E801" s="89">
        <v>602.4289</v>
      </c>
      <c r="F801" s="90">
        <v>7.5</v>
      </c>
      <c r="G801" s="89">
        <v>4518.2167499999996</v>
      </c>
      <c r="H801" s="89">
        <v>1215</v>
      </c>
      <c r="I801" s="87">
        <v>5489637.3000000007</v>
      </c>
      <c r="J801" s="54" t="s">
        <v>116</v>
      </c>
      <c r="K801" s="89" t="s">
        <v>176</v>
      </c>
      <c r="L801" s="45" t="s">
        <v>105</v>
      </c>
    </row>
    <row r="802" spans="1:12" s="53" customFormat="1" ht="20.149999999999999" customHeight="1">
      <c r="A802" s="44">
        <v>42736</v>
      </c>
      <c r="B802" s="49"/>
      <c r="C802" s="45" t="s">
        <v>20</v>
      </c>
      <c r="D802" s="89">
        <v>216.15799999999999</v>
      </c>
      <c r="E802" s="89">
        <v>154471.91080000001</v>
      </c>
      <c r="F802" s="90">
        <v>7.5</v>
      </c>
      <c r="G802" s="89">
        <v>1158539.331</v>
      </c>
      <c r="H802" s="89">
        <v>1215</v>
      </c>
      <c r="I802" s="87">
        <v>1407625285.95</v>
      </c>
      <c r="J802" s="54" t="s">
        <v>116</v>
      </c>
      <c r="K802" s="89" t="s">
        <v>136</v>
      </c>
      <c r="L802" s="45" t="s">
        <v>105</v>
      </c>
    </row>
    <row r="803" spans="1:12" s="53" customFormat="1" ht="20.149999999999999" customHeight="1">
      <c r="A803" s="44">
        <v>42736</v>
      </c>
      <c r="B803" s="49"/>
      <c r="C803" s="45" t="s">
        <v>20</v>
      </c>
      <c r="D803" s="89">
        <v>254.32499999999999</v>
      </c>
      <c r="E803" s="89">
        <v>181747.0031</v>
      </c>
      <c r="F803" s="90">
        <v>7.5</v>
      </c>
      <c r="G803" s="89">
        <v>1363102.5232500001</v>
      </c>
      <c r="H803" s="89">
        <v>1215</v>
      </c>
      <c r="I803" s="87">
        <v>1656169561.8</v>
      </c>
      <c r="J803" s="54" t="s">
        <v>116</v>
      </c>
      <c r="K803" s="89" t="s">
        <v>139</v>
      </c>
      <c r="L803" s="45" t="s">
        <v>105</v>
      </c>
    </row>
    <row r="804" spans="1:12" s="53" customFormat="1" ht="20.149999999999999" customHeight="1">
      <c r="A804" s="44">
        <v>42736</v>
      </c>
      <c r="B804" s="49"/>
      <c r="C804" s="45" t="s">
        <v>20</v>
      </c>
      <c r="D804" s="89">
        <v>0.35599999999999998</v>
      </c>
      <c r="E804" s="89">
        <v>254.40649999999999</v>
      </c>
      <c r="F804" s="90">
        <v>7.5</v>
      </c>
      <c r="G804" s="89">
        <v>1908.0487499999999</v>
      </c>
      <c r="H804" s="89">
        <v>1215</v>
      </c>
      <c r="I804" s="87">
        <v>2318280.75</v>
      </c>
      <c r="J804" s="54" t="s">
        <v>116</v>
      </c>
      <c r="K804" s="89" t="s">
        <v>140</v>
      </c>
      <c r="L804" s="45" t="s">
        <v>105</v>
      </c>
    </row>
    <row r="805" spans="1:12" s="53" customFormat="1" ht="20.149999999999999" customHeight="1">
      <c r="A805" s="44">
        <v>42736</v>
      </c>
      <c r="B805" s="49"/>
      <c r="C805" s="45" t="s">
        <v>20</v>
      </c>
      <c r="D805" s="89">
        <v>1029.7919999999999</v>
      </c>
      <c r="E805" s="89">
        <v>735915.10800000001</v>
      </c>
      <c r="F805" s="90">
        <v>7.5</v>
      </c>
      <c r="G805" s="89">
        <v>5519363.3100000005</v>
      </c>
      <c r="H805" s="89">
        <v>1215</v>
      </c>
      <c r="I805" s="87">
        <v>6706026421.6499996</v>
      </c>
      <c r="J805" s="54" t="s">
        <v>116</v>
      </c>
      <c r="K805" s="89" t="s">
        <v>199</v>
      </c>
      <c r="L805" s="45" t="s">
        <v>105</v>
      </c>
    </row>
    <row r="806" spans="1:12" s="53" customFormat="1" ht="20.149999999999999" customHeight="1">
      <c r="A806" s="44">
        <v>42736</v>
      </c>
      <c r="B806" s="49"/>
      <c r="C806" s="45" t="s">
        <v>20</v>
      </c>
      <c r="D806" s="89">
        <v>1264.4559999999999</v>
      </c>
      <c r="E806" s="89">
        <v>903611.86899999995</v>
      </c>
      <c r="F806" s="90">
        <v>7.5</v>
      </c>
      <c r="G806" s="89">
        <v>6777089.0175000001</v>
      </c>
      <c r="H806" s="89">
        <v>1215</v>
      </c>
      <c r="I806" s="87">
        <v>8234163159.2999992</v>
      </c>
      <c r="J806" s="54" t="s">
        <v>116</v>
      </c>
      <c r="K806" s="89" t="s">
        <v>182</v>
      </c>
      <c r="L806" s="45" t="s">
        <v>105</v>
      </c>
    </row>
    <row r="807" spans="1:12" s="53" customFormat="1" ht="20.149999999999999" customHeight="1">
      <c r="A807" s="44">
        <v>42736</v>
      </c>
      <c r="B807" s="49"/>
      <c r="C807" s="45" t="s">
        <v>20</v>
      </c>
      <c r="D807" s="89">
        <v>1241.933</v>
      </c>
      <c r="E807" s="89">
        <v>887516.37009999994</v>
      </c>
      <c r="F807" s="90">
        <v>7.5</v>
      </c>
      <c r="G807" s="89">
        <v>6656372.77575</v>
      </c>
      <c r="H807" s="89">
        <v>1215</v>
      </c>
      <c r="I807" s="87">
        <v>8087492927.7000008</v>
      </c>
      <c r="J807" s="54" t="s">
        <v>116</v>
      </c>
      <c r="K807" s="89" t="s">
        <v>192</v>
      </c>
      <c r="L807" s="45" t="s">
        <v>105</v>
      </c>
    </row>
    <row r="808" spans="1:12" s="53" customFormat="1" ht="20.149999999999999" customHeight="1">
      <c r="A808" s="44">
        <v>42736</v>
      </c>
      <c r="B808" s="49"/>
      <c r="C808" s="45" t="s">
        <v>20</v>
      </c>
      <c r="D808" s="89">
        <v>1060.029</v>
      </c>
      <c r="E808" s="89">
        <v>757523.22409999999</v>
      </c>
      <c r="F808" s="90">
        <v>7.5</v>
      </c>
      <c r="G808" s="89">
        <v>5681424.1807500003</v>
      </c>
      <c r="H808" s="89">
        <v>1215</v>
      </c>
      <c r="I808" s="87">
        <v>6902930378.6999998</v>
      </c>
      <c r="J808" s="54" t="s">
        <v>116</v>
      </c>
      <c r="K808" s="89" t="s">
        <v>183</v>
      </c>
      <c r="L808" s="45" t="s">
        <v>105</v>
      </c>
    </row>
    <row r="809" spans="1:12" s="53" customFormat="1" ht="20.149999999999999" customHeight="1">
      <c r="A809" s="44">
        <v>42736</v>
      </c>
      <c r="B809" s="49"/>
      <c r="C809" s="45" t="s">
        <v>20</v>
      </c>
      <c r="D809" s="89">
        <v>2.0699999999999998</v>
      </c>
      <c r="E809" s="89">
        <v>1479.2737999999999</v>
      </c>
      <c r="F809" s="90">
        <v>7.5</v>
      </c>
      <c r="G809" s="89">
        <v>11094.5535</v>
      </c>
      <c r="H809" s="89">
        <v>1215</v>
      </c>
      <c r="I809" s="87">
        <v>13479878.25</v>
      </c>
      <c r="J809" s="54" t="s">
        <v>116</v>
      </c>
      <c r="K809" s="89" t="s">
        <v>200</v>
      </c>
      <c r="L809" s="45" t="s">
        <v>105</v>
      </c>
    </row>
    <row r="810" spans="1:12" s="53" customFormat="1" ht="20.149999999999999" customHeight="1">
      <c r="A810" s="44">
        <v>42736</v>
      </c>
      <c r="B810" s="49"/>
      <c r="C810" s="45" t="s">
        <v>20</v>
      </c>
      <c r="D810" s="89">
        <v>1.1120000000000001</v>
      </c>
      <c r="E810" s="89">
        <v>794.66300000000001</v>
      </c>
      <c r="F810" s="90">
        <v>7.5</v>
      </c>
      <c r="G810" s="89">
        <v>5959.9724999999999</v>
      </c>
      <c r="H810" s="89">
        <v>1215</v>
      </c>
      <c r="I810" s="87">
        <v>7241363.5500000007</v>
      </c>
      <c r="J810" s="54" t="s">
        <v>116</v>
      </c>
      <c r="K810" s="89" t="s">
        <v>146</v>
      </c>
      <c r="L810" s="45" t="s">
        <v>105</v>
      </c>
    </row>
    <row r="811" spans="1:12" s="53" customFormat="1" ht="20.149999999999999" customHeight="1">
      <c r="A811" s="44">
        <v>42736</v>
      </c>
      <c r="B811" s="49"/>
      <c r="C811" s="45" t="s">
        <v>20</v>
      </c>
      <c r="D811" s="89">
        <v>0.71799999999999997</v>
      </c>
      <c r="E811" s="89">
        <v>513.10080000000005</v>
      </c>
      <c r="F811" s="90">
        <v>2.5510999999999999</v>
      </c>
      <c r="G811" s="89">
        <v>1831.6897999999999</v>
      </c>
      <c r="H811" s="89">
        <v>1215</v>
      </c>
      <c r="I811" s="87">
        <v>2225503.35</v>
      </c>
      <c r="J811" s="54" t="s">
        <v>116</v>
      </c>
      <c r="K811" s="89" t="s">
        <v>147</v>
      </c>
      <c r="L811" s="45" t="s">
        <v>105</v>
      </c>
    </row>
    <row r="812" spans="1:12" s="53" customFormat="1" ht="20.149999999999999" customHeight="1">
      <c r="A812" s="44">
        <v>42736</v>
      </c>
      <c r="B812" s="49"/>
      <c r="C812" s="45" t="s">
        <v>20</v>
      </c>
      <c r="D812" s="89">
        <v>2.254</v>
      </c>
      <c r="E812" s="89">
        <v>1610.7647999999999</v>
      </c>
      <c r="F812" s="90">
        <v>2.5510999999999999</v>
      </c>
      <c r="G812" s="89">
        <v>5750.1793999999991</v>
      </c>
      <c r="H812" s="89">
        <v>1215</v>
      </c>
      <c r="I812" s="87">
        <v>6986468.7000000002</v>
      </c>
      <c r="J812" s="54" t="s">
        <v>116</v>
      </c>
      <c r="K812" s="89" t="s">
        <v>148</v>
      </c>
      <c r="L812" s="45" t="s">
        <v>105</v>
      </c>
    </row>
    <row r="813" spans="1:12" s="53" customFormat="1" ht="20.149999999999999" customHeight="1">
      <c r="A813" s="44">
        <v>42736</v>
      </c>
      <c r="B813" s="49"/>
      <c r="C813" s="45" t="s">
        <v>20</v>
      </c>
      <c r="D813" s="89">
        <v>0.40400000000000003</v>
      </c>
      <c r="E813" s="89">
        <v>288.70850000000002</v>
      </c>
      <c r="F813" s="90">
        <v>2.5510999999999999</v>
      </c>
      <c r="G813" s="89">
        <v>1030.6544000000001</v>
      </c>
      <c r="H813" s="89">
        <v>1215</v>
      </c>
      <c r="I813" s="87">
        <v>1252239.75</v>
      </c>
      <c r="J813" s="54" t="s">
        <v>116</v>
      </c>
      <c r="K813" s="89" t="s">
        <v>149</v>
      </c>
      <c r="L813" s="45" t="s">
        <v>105</v>
      </c>
    </row>
    <row r="814" spans="1:12" s="53" customFormat="1" ht="20.149999999999999" customHeight="1">
      <c r="A814" s="44">
        <v>42736</v>
      </c>
      <c r="B814" s="49"/>
      <c r="C814" s="45" t="s">
        <v>20</v>
      </c>
      <c r="D814" s="89">
        <v>0.27800000000000002</v>
      </c>
      <c r="E814" s="89">
        <v>198.66579999999999</v>
      </c>
      <c r="F814" s="90">
        <v>2.5510999999999999</v>
      </c>
      <c r="G814" s="89">
        <v>709.19579999999996</v>
      </c>
      <c r="H814" s="89">
        <v>1215</v>
      </c>
      <c r="I814" s="87">
        <v>861678</v>
      </c>
      <c r="J814" s="54" t="s">
        <v>116</v>
      </c>
      <c r="K814" s="89" t="s">
        <v>150</v>
      </c>
      <c r="L814" s="45" t="s">
        <v>105</v>
      </c>
    </row>
    <row r="815" spans="1:12" s="53" customFormat="1" ht="20.149999999999999" customHeight="1">
      <c r="A815" s="44">
        <v>42736</v>
      </c>
      <c r="B815" s="49"/>
      <c r="C815" s="45" t="s">
        <v>20</v>
      </c>
      <c r="D815" s="89">
        <v>7.5999999999999998E-2</v>
      </c>
      <c r="E815" s="89">
        <v>54.311500000000002</v>
      </c>
      <c r="F815" s="90">
        <v>2.5510999999999999</v>
      </c>
      <c r="G815" s="89">
        <v>193.89359999999999</v>
      </c>
      <c r="H815" s="89">
        <v>1215</v>
      </c>
      <c r="I815" s="87">
        <v>235576.34999999998</v>
      </c>
      <c r="J815" s="54" t="s">
        <v>116</v>
      </c>
      <c r="K815" s="89" t="s">
        <v>151</v>
      </c>
      <c r="L815" s="45" t="s">
        <v>105</v>
      </c>
    </row>
    <row r="816" spans="1:12" s="53" customFormat="1" ht="20.149999999999999" customHeight="1">
      <c r="A816" s="44">
        <v>42736</v>
      </c>
      <c r="B816" s="49"/>
      <c r="C816" s="45" t="s">
        <v>20</v>
      </c>
      <c r="D816" s="89">
        <v>1.4650000000000001</v>
      </c>
      <c r="E816" s="89">
        <v>1046.9256</v>
      </c>
      <c r="F816" s="90">
        <v>2.5510999999999999</v>
      </c>
      <c r="G816" s="89">
        <v>3737.3615</v>
      </c>
      <c r="H816" s="89">
        <v>1215</v>
      </c>
      <c r="I816" s="87">
        <v>4540892.4000000004</v>
      </c>
      <c r="J816" s="54" t="s">
        <v>116</v>
      </c>
      <c r="K816" s="89" t="s">
        <v>152</v>
      </c>
      <c r="L816" s="45" t="s">
        <v>105</v>
      </c>
    </row>
    <row r="817" spans="1:12" s="53" customFormat="1" ht="20.149999999999999" customHeight="1">
      <c r="A817" s="44">
        <v>42736</v>
      </c>
      <c r="B817" s="49"/>
      <c r="C817" s="45" t="s">
        <v>20</v>
      </c>
      <c r="D817" s="89">
        <v>0.503</v>
      </c>
      <c r="E817" s="89">
        <v>359.45639999999997</v>
      </c>
      <c r="F817" s="90">
        <v>2.5510999999999999</v>
      </c>
      <c r="G817" s="89">
        <v>1283.2133000000001</v>
      </c>
      <c r="H817" s="89">
        <v>1215</v>
      </c>
      <c r="I817" s="87">
        <v>1559100.1500000001</v>
      </c>
      <c r="J817" s="54" t="s">
        <v>116</v>
      </c>
      <c r="K817" s="89" t="s">
        <v>159</v>
      </c>
      <c r="L817" s="45" t="s">
        <v>105</v>
      </c>
    </row>
    <row r="818" spans="1:12" s="53" customFormat="1" ht="20.149999999999999" customHeight="1">
      <c r="A818" s="44">
        <v>42736</v>
      </c>
      <c r="B818" s="49"/>
      <c r="C818" s="45" t="s">
        <v>20</v>
      </c>
      <c r="D818" s="89">
        <v>4.3499999999999996</v>
      </c>
      <c r="E818" s="89">
        <v>3108.6188000000002</v>
      </c>
      <c r="F818" s="90">
        <v>2.5510999999999999</v>
      </c>
      <c r="G818" s="89">
        <v>11097.285</v>
      </c>
      <c r="H818" s="89">
        <v>1215</v>
      </c>
      <c r="I818" s="87">
        <v>13483207.350000001</v>
      </c>
      <c r="J818" s="54" t="s">
        <v>116</v>
      </c>
      <c r="K818" s="89" t="s">
        <v>153</v>
      </c>
      <c r="L818" s="45" t="s">
        <v>105</v>
      </c>
    </row>
    <row r="819" spans="1:12" s="53" customFormat="1" ht="20.149999999999999" customHeight="1">
      <c r="A819" s="44">
        <v>42736</v>
      </c>
      <c r="B819" s="49"/>
      <c r="C819" s="45" t="s">
        <v>20</v>
      </c>
      <c r="D819" s="89">
        <v>0.71599999999999997</v>
      </c>
      <c r="E819" s="89">
        <v>511.67149999999998</v>
      </c>
      <c r="F819" s="90">
        <v>2.5510999999999999</v>
      </c>
      <c r="G819" s="89">
        <v>1826.5875999999998</v>
      </c>
      <c r="H819" s="89">
        <v>1215</v>
      </c>
      <c r="I819" s="87">
        <v>2219306.85</v>
      </c>
      <c r="J819" s="54" t="s">
        <v>116</v>
      </c>
      <c r="K819" s="89" t="s">
        <v>154</v>
      </c>
      <c r="L819" s="45" t="s">
        <v>105</v>
      </c>
    </row>
    <row r="820" spans="1:12" s="53" customFormat="1" ht="20.149999999999999" customHeight="1">
      <c r="A820" s="44">
        <v>42736</v>
      </c>
      <c r="B820" s="49"/>
      <c r="C820" s="45" t="s">
        <v>20</v>
      </c>
      <c r="D820" s="89">
        <v>10.975</v>
      </c>
      <c r="E820" s="89">
        <v>7843.0093999999999</v>
      </c>
      <c r="F820" s="90">
        <v>2.5510999999999999</v>
      </c>
      <c r="G820" s="89">
        <v>27998.322499999998</v>
      </c>
      <c r="H820" s="89">
        <v>1215</v>
      </c>
      <c r="I820" s="87">
        <v>34017958.799999997</v>
      </c>
      <c r="J820" s="54" t="s">
        <v>116</v>
      </c>
      <c r="K820" s="89" t="s">
        <v>178</v>
      </c>
      <c r="L820" s="45" t="s">
        <v>105</v>
      </c>
    </row>
    <row r="821" spans="1:12" s="53" customFormat="1" ht="20.149999999999999" customHeight="1">
      <c r="A821" s="44">
        <v>42736</v>
      </c>
      <c r="B821" s="49"/>
      <c r="C821" s="45" t="s">
        <v>20</v>
      </c>
      <c r="D821" s="89">
        <v>1.4119999999999999</v>
      </c>
      <c r="E821" s="89">
        <v>1009.0505000000001</v>
      </c>
      <c r="F821" s="90">
        <v>2.5510999999999999</v>
      </c>
      <c r="G821" s="89">
        <v>3602.1632</v>
      </c>
      <c r="H821" s="89">
        <v>1215</v>
      </c>
      <c r="I821" s="87">
        <v>4376624.3999999994</v>
      </c>
      <c r="J821" s="54" t="s">
        <v>116</v>
      </c>
      <c r="K821" s="89" t="s">
        <v>160</v>
      </c>
      <c r="L821" s="45" t="s">
        <v>105</v>
      </c>
    </row>
    <row r="822" spans="1:12" s="53" customFormat="1" ht="20.149999999999999" customHeight="1">
      <c r="A822" s="44">
        <v>42736</v>
      </c>
      <c r="B822" s="49"/>
      <c r="C822" s="45" t="s">
        <v>20</v>
      </c>
      <c r="D822" s="89">
        <v>0.35099999999999998</v>
      </c>
      <c r="E822" s="89">
        <v>250.83340000000001</v>
      </c>
      <c r="F822" s="90">
        <v>2.5510999999999999</v>
      </c>
      <c r="G822" s="89">
        <v>895.42610000000002</v>
      </c>
      <c r="H822" s="89">
        <v>1215</v>
      </c>
      <c r="I822" s="87">
        <v>1087947.45</v>
      </c>
      <c r="J822" s="54" t="s">
        <v>116</v>
      </c>
      <c r="K822" s="89" t="s">
        <v>201</v>
      </c>
      <c r="L822" s="45" t="s">
        <v>105</v>
      </c>
    </row>
    <row r="823" spans="1:12" s="53" customFormat="1" ht="20.149999999999999" customHeight="1">
      <c r="A823" s="44">
        <v>42736</v>
      </c>
      <c r="B823" s="49"/>
      <c r="C823" s="45" t="s">
        <v>20</v>
      </c>
      <c r="D823" s="89">
        <v>0.28199999999999997</v>
      </c>
      <c r="E823" s="89">
        <v>201.52430000000001</v>
      </c>
      <c r="F823" s="90">
        <v>2.5510999999999999</v>
      </c>
      <c r="G823" s="89">
        <v>719.41019999999992</v>
      </c>
      <c r="H823" s="89">
        <v>1215</v>
      </c>
      <c r="I823" s="87">
        <v>874083.14999999991</v>
      </c>
      <c r="J823" s="54" t="s">
        <v>116</v>
      </c>
      <c r="K823" s="89" t="s">
        <v>156</v>
      </c>
      <c r="L823" s="45" t="s">
        <v>105</v>
      </c>
    </row>
    <row r="824" spans="1:12" s="53" customFormat="1" ht="20.149999999999999" customHeight="1">
      <c r="A824" s="44"/>
      <c r="B824" s="49"/>
      <c r="C824" s="45"/>
      <c r="D824" s="89"/>
      <c r="E824" s="89"/>
      <c r="F824" s="90"/>
      <c r="G824" s="89"/>
      <c r="H824" s="89"/>
      <c r="I824" s="88"/>
      <c r="J824" s="54"/>
      <c r="K824" s="89"/>
      <c r="L824" s="45"/>
    </row>
    <row r="825" spans="1:12" s="53" customFormat="1" ht="20.149999999999999" customHeight="1">
      <c r="A825" s="44">
        <v>42767</v>
      </c>
      <c r="B825" s="49"/>
      <c r="C825" s="45" t="s">
        <v>20</v>
      </c>
      <c r="D825" s="89">
        <v>1.6240000000000001</v>
      </c>
      <c r="E825" s="89">
        <v>1160.4146000000001</v>
      </c>
      <c r="F825" s="90">
        <v>7.5</v>
      </c>
      <c r="G825" s="89">
        <v>8703.1095000000005</v>
      </c>
      <c r="H825" s="89">
        <v>1215</v>
      </c>
      <c r="I825" s="87">
        <v>10574278.65</v>
      </c>
      <c r="J825" s="54" t="s">
        <v>116</v>
      </c>
      <c r="K825" s="89" t="s">
        <v>165</v>
      </c>
      <c r="L825" s="45" t="s">
        <v>105</v>
      </c>
    </row>
    <row r="826" spans="1:12" s="53" customFormat="1" ht="20.149999999999999" customHeight="1">
      <c r="A826" s="44">
        <v>42767</v>
      </c>
      <c r="B826" s="49"/>
      <c r="C826" s="45" t="s">
        <v>20</v>
      </c>
      <c r="D826" s="89">
        <v>0.44400000000000001</v>
      </c>
      <c r="E826" s="89">
        <v>317.25619999999998</v>
      </c>
      <c r="F826" s="90">
        <v>7.5</v>
      </c>
      <c r="G826" s="89">
        <v>2379.4214999999999</v>
      </c>
      <c r="H826" s="89">
        <v>1215</v>
      </c>
      <c r="I826" s="87">
        <v>2890995.3000000003</v>
      </c>
      <c r="J826" s="54" t="s">
        <v>116</v>
      </c>
      <c r="K826" s="89" t="s">
        <v>118</v>
      </c>
      <c r="L826" s="45" t="s">
        <v>105</v>
      </c>
    </row>
    <row r="827" spans="1:12" s="53" customFormat="1" ht="20.149999999999999" customHeight="1">
      <c r="A827" s="44">
        <v>42767</v>
      </c>
      <c r="B827" s="49"/>
      <c r="C827" s="45" t="s">
        <v>20</v>
      </c>
      <c r="D827" s="89">
        <v>13.795999999999999</v>
      </c>
      <c r="E827" s="89">
        <v>9857.8076000000001</v>
      </c>
      <c r="F827" s="90">
        <v>7.5</v>
      </c>
      <c r="G827" s="89">
        <v>73933.557000000001</v>
      </c>
      <c r="H827" s="89">
        <v>1215</v>
      </c>
      <c r="I827" s="87">
        <v>89829275.399999991</v>
      </c>
      <c r="J827" s="54" t="s">
        <v>116</v>
      </c>
      <c r="K827" s="89" t="s">
        <v>119</v>
      </c>
      <c r="L827" s="45" t="s">
        <v>105</v>
      </c>
    </row>
    <row r="828" spans="1:12" s="53" customFormat="1" ht="20.149999999999999" customHeight="1">
      <c r="A828" s="44">
        <v>42767</v>
      </c>
      <c r="B828" s="49"/>
      <c r="C828" s="45" t="s">
        <v>20</v>
      </c>
      <c r="D828" s="89">
        <v>13.266</v>
      </c>
      <c r="E828" s="89">
        <v>9479.1008999999995</v>
      </c>
      <c r="F828" s="90">
        <v>7.5</v>
      </c>
      <c r="G828" s="89">
        <v>71093.25675</v>
      </c>
      <c r="H828" s="89">
        <v>1215</v>
      </c>
      <c r="I828" s="87">
        <v>86378310.899999991</v>
      </c>
      <c r="J828" s="54" t="s">
        <v>116</v>
      </c>
      <c r="K828" s="89" t="s">
        <v>166</v>
      </c>
      <c r="L828" s="45" t="s">
        <v>105</v>
      </c>
    </row>
    <row r="829" spans="1:12" s="53" customFormat="1" ht="20.149999999999999" customHeight="1">
      <c r="A829" s="44">
        <v>42767</v>
      </c>
      <c r="B829" s="49"/>
      <c r="C829" s="45" t="s">
        <v>20</v>
      </c>
      <c r="D829" s="89">
        <v>5.2539999999999996</v>
      </c>
      <c r="E829" s="89">
        <v>3754.1984000000002</v>
      </c>
      <c r="F829" s="90">
        <v>7.5</v>
      </c>
      <c r="G829" s="89">
        <v>28156.488000000001</v>
      </c>
      <c r="H829" s="89">
        <v>1215</v>
      </c>
      <c r="I829" s="87">
        <v>34210135.350000001</v>
      </c>
      <c r="J829" s="54" t="s">
        <v>116</v>
      </c>
      <c r="K829" s="89" t="s">
        <v>132</v>
      </c>
      <c r="L829" s="45" t="s">
        <v>105</v>
      </c>
    </row>
    <row r="830" spans="1:12" s="53" customFormat="1" ht="20.149999999999999" customHeight="1">
      <c r="A830" s="44">
        <v>42767</v>
      </c>
      <c r="B830" s="49"/>
      <c r="C830" s="45" t="s">
        <v>20</v>
      </c>
      <c r="D830" s="89">
        <v>12.305</v>
      </c>
      <c r="E830" s="89">
        <v>8792.4269999999997</v>
      </c>
      <c r="F830" s="90">
        <v>7.5</v>
      </c>
      <c r="G830" s="89">
        <v>65943.202499999999</v>
      </c>
      <c r="H830" s="89">
        <v>1215</v>
      </c>
      <c r="I830" s="87">
        <v>80120988</v>
      </c>
      <c r="J830" s="54" t="s">
        <v>116</v>
      </c>
      <c r="K830" s="89" t="s">
        <v>133</v>
      </c>
      <c r="L830" s="45" t="s">
        <v>105</v>
      </c>
    </row>
    <row r="831" spans="1:12" s="53" customFormat="1" ht="20.149999999999999" customHeight="1">
      <c r="A831" s="44">
        <v>42767</v>
      </c>
      <c r="B831" s="49"/>
      <c r="C831" s="45" t="s">
        <v>20</v>
      </c>
      <c r="D831" s="89">
        <v>0.13700000000000001</v>
      </c>
      <c r="E831" s="89">
        <v>97.892099999999999</v>
      </c>
      <c r="F831" s="90">
        <v>7.5</v>
      </c>
      <c r="G831" s="89">
        <v>734.19074999999998</v>
      </c>
      <c r="H831" s="89">
        <v>1215</v>
      </c>
      <c r="I831" s="87">
        <v>892040.85000000009</v>
      </c>
      <c r="J831" s="54" t="s">
        <v>116</v>
      </c>
      <c r="K831" s="89" t="s">
        <v>121</v>
      </c>
      <c r="L831" s="45" t="s">
        <v>105</v>
      </c>
    </row>
    <row r="832" spans="1:12" s="53" customFormat="1" ht="20.149999999999999" customHeight="1">
      <c r="A832" s="44">
        <v>42767</v>
      </c>
      <c r="B832" s="49"/>
      <c r="C832" s="45" t="s">
        <v>20</v>
      </c>
      <c r="D832" s="89">
        <v>3.83</v>
      </c>
      <c r="E832" s="89">
        <v>2736.692</v>
      </c>
      <c r="F832" s="90">
        <v>7.5</v>
      </c>
      <c r="G832" s="89">
        <v>20525.189999999999</v>
      </c>
      <c r="H832" s="89">
        <v>1215</v>
      </c>
      <c r="I832" s="87">
        <v>24938105.849999998</v>
      </c>
      <c r="J832" s="54" t="s">
        <v>116</v>
      </c>
      <c r="K832" s="89" t="s">
        <v>122</v>
      </c>
      <c r="L832" s="45" t="s">
        <v>105</v>
      </c>
    </row>
    <row r="833" spans="1:12" s="53" customFormat="1" ht="20.149999999999999" customHeight="1">
      <c r="A833" s="44">
        <v>42767</v>
      </c>
      <c r="B833" s="49"/>
      <c r="C833" s="45" t="s">
        <v>20</v>
      </c>
      <c r="D833" s="89">
        <v>10.794</v>
      </c>
      <c r="E833" s="89">
        <v>7712.7556000000004</v>
      </c>
      <c r="F833" s="90">
        <v>7.5</v>
      </c>
      <c r="G833" s="89">
        <v>57845.667000000001</v>
      </c>
      <c r="H833" s="89">
        <v>1215</v>
      </c>
      <c r="I833" s="87">
        <v>70282489.049999997</v>
      </c>
      <c r="J833" s="54" t="s">
        <v>116</v>
      </c>
      <c r="K833" s="89" t="s">
        <v>123</v>
      </c>
      <c r="L833" s="45" t="s">
        <v>105</v>
      </c>
    </row>
    <row r="834" spans="1:12" s="53" customFormat="1" ht="20.149999999999999" customHeight="1">
      <c r="A834" s="44">
        <v>42767</v>
      </c>
      <c r="B834" s="49"/>
      <c r="C834" s="45" t="s">
        <v>20</v>
      </c>
      <c r="D834" s="89">
        <v>0.253</v>
      </c>
      <c r="E834" s="89">
        <v>180.77889999999999</v>
      </c>
      <c r="F834" s="90">
        <v>7.5</v>
      </c>
      <c r="G834" s="89">
        <v>1355.84175</v>
      </c>
      <c r="H834" s="89">
        <v>1215</v>
      </c>
      <c r="I834" s="87">
        <v>1647345.5999999999</v>
      </c>
      <c r="J834" s="54" t="s">
        <v>116</v>
      </c>
      <c r="K834" s="89" t="s">
        <v>124</v>
      </c>
      <c r="L834" s="45" t="s">
        <v>105</v>
      </c>
    </row>
    <row r="835" spans="1:12" s="53" customFormat="1" ht="20.149999999999999" customHeight="1">
      <c r="A835" s="44">
        <v>42767</v>
      </c>
      <c r="B835" s="49"/>
      <c r="C835" s="45" t="s">
        <v>20</v>
      </c>
      <c r="D835" s="89">
        <v>2.1999999999999999E-2</v>
      </c>
      <c r="E835" s="89">
        <v>15.719900000000001</v>
      </c>
      <c r="F835" s="90">
        <v>7.5</v>
      </c>
      <c r="G835" s="89">
        <v>117.89925000000001</v>
      </c>
      <c r="H835" s="89">
        <v>1215</v>
      </c>
      <c r="I835" s="87">
        <v>143248.5</v>
      </c>
      <c r="J835" s="54" t="s">
        <v>116</v>
      </c>
      <c r="K835" s="89" t="s">
        <v>125</v>
      </c>
      <c r="L835" s="45" t="s">
        <v>105</v>
      </c>
    </row>
    <row r="836" spans="1:12" s="53" customFormat="1" ht="20.149999999999999" customHeight="1">
      <c r="A836" s="44">
        <v>42767</v>
      </c>
      <c r="B836" s="49"/>
      <c r="C836" s="45" t="s">
        <v>20</v>
      </c>
      <c r="D836" s="89">
        <v>1.03</v>
      </c>
      <c r="E836" s="89">
        <v>735.97720000000004</v>
      </c>
      <c r="F836" s="90">
        <v>7.5</v>
      </c>
      <c r="G836" s="89">
        <v>5519.8290000000006</v>
      </c>
      <c r="H836" s="89">
        <v>1215</v>
      </c>
      <c r="I836" s="87">
        <v>6706593.4500000002</v>
      </c>
      <c r="J836" s="54" t="s">
        <v>116</v>
      </c>
      <c r="K836" s="89" t="s">
        <v>127</v>
      </c>
      <c r="L836" s="45" t="s">
        <v>105</v>
      </c>
    </row>
    <row r="837" spans="1:12" s="53" customFormat="1" ht="20.149999999999999" customHeight="1">
      <c r="A837" s="44">
        <v>42767</v>
      </c>
      <c r="B837" s="49"/>
      <c r="C837" s="45" t="s">
        <v>20</v>
      </c>
      <c r="D837" s="89">
        <v>0.46800000000000003</v>
      </c>
      <c r="E837" s="89">
        <v>334.40519999999998</v>
      </c>
      <c r="F837" s="90">
        <v>7.5</v>
      </c>
      <c r="G837" s="89">
        <v>2508.0389999999998</v>
      </c>
      <c r="H837" s="89">
        <v>1215</v>
      </c>
      <c r="I837" s="87">
        <v>3047268.6</v>
      </c>
      <c r="J837" s="54" t="s">
        <v>116</v>
      </c>
      <c r="K837" s="89" t="s">
        <v>129</v>
      </c>
      <c r="L837" s="45" t="s">
        <v>105</v>
      </c>
    </row>
    <row r="838" spans="1:12" s="53" customFormat="1" ht="20.149999999999999" customHeight="1">
      <c r="A838" s="44">
        <v>42767</v>
      </c>
      <c r="B838" s="49"/>
      <c r="C838" s="45" t="s">
        <v>20</v>
      </c>
      <c r="D838" s="89">
        <v>0.159</v>
      </c>
      <c r="E838" s="89">
        <v>113.61199999999999</v>
      </c>
      <c r="F838" s="90">
        <v>7.5</v>
      </c>
      <c r="G838" s="89">
        <v>852.08999999999992</v>
      </c>
      <c r="H838" s="89">
        <v>1215</v>
      </c>
      <c r="I838" s="87">
        <v>1035289.3500000001</v>
      </c>
      <c r="J838" s="54" t="s">
        <v>116</v>
      </c>
      <c r="K838" s="89" t="s">
        <v>130</v>
      </c>
      <c r="L838" s="45" t="s">
        <v>105</v>
      </c>
    </row>
    <row r="839" spans="1:12" s="53" customFormat="1" ht="20.149999999999999" customHeight="1">
      <c r="A839" s="44">
        <v>42767</v>
      </c>
      <c r="B839" s="49"/>
      <c r="C839" s="45" t="s">
        <v>20</v>
      </c>
      <c r="D839" s="89">
        <v>0.32200000000000001</v>
      </c>
      <c r="E839" s="89">
        <v>230.0822</v>
      </c>
      <c r="F839" s="90">
        <v>7.5</v>
      </c>
      <c r="G839" s="89">
        <v>1725.6165000000001</v>
      </c>
      <c r="H839" s="89">
        <v>1215</v>
      </c>
      <c r="I839" s="87">
        <v>2096628.2999999998</v>
      </c>
      <c r="J839" s="54" t="s">
        <v>116</v>
      </c>
      <c r="K839" s="89" t="s">
        <v>140</v>
      </c>
      <c r="L839" s="45" t="s">
        <v>105</v>
      </c>
    </row>
    <row r="840" spans="1:12" s="53" customFormat="1" ht="20.149999999999999" customHeight="1">
      <c r="A840" s="44">
        <v>42767</v>
      </c>
      <c r="B840" s="49"/>
      <c r="C840" s="45" t="s">
        <v>20</v>
      </c>
      <c r="D840" s="89">
        <v>84.602999999999994</v>
      </c>
      <c r="E840" s="89">
        <v>60452.3122</v>
      </c>
      <c r="F840" s="90">
        <v>7.5</v>
      </c>
      <c r="G840" s="89">
        <v>453392.34149999998</v>
      </c>
      <c r="H840" s="89">
        <v>1215</v>
      </c>
      <c r="I840" s="87">
        <v>550871693.10000002</v>
      </c>
      <c r="J840" s="54" t="s">
        <v>116</v>
      </c>
      <c r="K840" s="89" t="s">
        <v>162</v>
      </c>
      <c r="L840" s="45" t="s">
        <v>105</v>
      </c>
    </row>
    <row r="841" spans="1:12" s="53" customFormat="1" ht="20.149999999999999" customHeight="1">
      <c r="A841" s="44">
        <v>42767</v>
      </c>
      <c r="B841" s="49"/>
      <c r="C841" s="45" t="s">
        <v>20</v>
      </c>
      <c r="D841" s="89">
        <v>1.9</v>
      </c>
      <c r="E841" s="89">
        <v>1357.6279</v>
      </c>
      <c r="F841" s="90">
        <v>7.5</v>
      </c>
      <c r="G841" s="89">
        <v>10182.20925</v>
      </c>
      <c r="H841" s="89">
        <v>1215</v>
      </c>
      <c r="I841" s="87">
        <v>12371385.149999999</v>
      </c>
      <c r="J841" s="54" t="s">
        <v>116</v>
      </c>
      <c r="K841" s="89" t="s">
        <v>134</v>
      </c>
      <c r="L841" s="45" t="s">
        <v>105</v>
      </c>
    </row>
    <row r="842" spans="1:12" s="53" customFormat="1" ht="20.149999999999999" customHeight="1">
      <c r="A842" s="44">
        <v>42767</v>
      </c>
      <c r="B842" s="49"/>
      <c r="C842" s="45" t="s">
        <v>20</v>
      </c>
      <c r="D842" s="89">
        <v>0.81499999999999995</v>
      </c>
      <c r="E842" s="89">
        <v>582.35090000000002</v>
      </c>
      <c r="F842" s="90">
        <v>7.5</v>
      </c>
      <c r="G842" s="89">
        <v>4367.6317500000005</v>
      </c>
      <c r="H842" s="89">
        <v>1215</v>
      </c>
      <c r="I842" s="87">
        <v>5306670.45</v>
      </c>
      <c r="J842" s="54" t="s">
        <v>116</v>
      </c>
      <c r="K842" s="89" t="s">
        <v>202</v>
      </c>
      <c r="L842" s="45" t="s">
        <v>105</v>
      </c>
    </row>
    <row r="843" spans="1:12" s="53" customFormat="1" ht="20.149999999999999" customHeight="1">
      <c r="A843" s="44">
        <v>42767</v>
      </c>
      <c r="B843" s="49"/>
      <c r="C843" s="45" t="s">
        <v>20</v>
      </c>
      <c r="D843" s="89">
        <v>0.68799999999999994</v>
      </c>
      <c r="E843" s="89">
        <v>491.60419999999999</v>
      </c>
      <c r="F843" s="90">
        <v>7.5</v>
      </c>
      <c r="G843" s="89">
        <v>3687.0315000000001</v>
      </c>
      <c r="H843" s="89">
        <v>1215</v>
      </c>
      <c r="I843" s="87">
        <v>4479741.45</v>
      </c>
      <c r="J843" s="54" t="s">
        <v>116</v>
      </c>
      <c r="K843" s="89" t="s">
        <v>135</v>
      </c>
      <c r="L843" s="45" t="s">
        <v>105</v>
      </c>
    </row>
    <row r="844" spans="1:12" s="53" customFormat="1" ht="20.149999999999999" customHeight="1">
      <c r="A844" s="44">
        <v>42767</v>
      </c>
      <c r="B844" s="49"/>
      <c r="C844" s="45" t="s">
        <v>20</v>
      </c>
      <c r="D844" s="89">
        <v>99.888000000000005</v>
      </c>
      <c r="E844" s="89">
        <v>71374.071400000001</v>
      </c>
      <c r="F844" s="90">
        <v>7.5</v>
      </c>
      <c r="G844" s="89">
        <v>535305.5355</v>
      </c>
      <c r="H844" s="89">
        <v>1215</v>
      </c>
      <c r="I844" s="87">
        <v>650396231.10000002</v>
      </c>
      <c r="J844" s="54" t="s">
        <v>116</v>
      </c>
      <c r="K844" s="89" t="s">
        <v>136</v>
      </c>
      <c r="L844" s="45" t="s">
        <v>105</v>
      </c>
    </row>
    <row r="845" spans="1:12" s="53" customFormat="1" ht="20.149999999999999" customHeight="1">
      <c r="A845" s="44">
        <v>42767</v>
      </c>
      <c r="B845" s="49"/>
      <c r="C845" s="45" t="s">
        <v>20</v>
      </c>
      <c r="D845" s="89">
        <v>1.456</v>
      </c>
      <c r="E845" s="89">
        <v>1040.3716999999999</v>
      </c>
      <c r="F845" s="90">
        <v>7.5</v>
      </c>
      <c r="G845" s="89">
        <v>7802.7877499999995</v>
      </c>
      <c r="H845" s="89">
        <v>1215</v>
      </c>
      <c r="I845" s="87">
        <v>9480389.8499999996</v>
      </c>
      <c r="J845" s="54" t="s">
        <v>116</v>
      </c>
      <c r="K845" s="89" t="s">
        <v>146</v>
      </c>
      <c r="L845" s="45" t="s">
        <v>105</v>
      </c>
    </row>
    <row r="846" spans="1:12" s="53" customFormat="1" ht="20.149999999999999" customHeight="1">
      <c r="A846" s="44">
        <v>42767</v>
      </c>
      <c r="B846" s="49"/>
      <c r="C846" s="45" t="s">
        <v>20</v>
      </c>
      <c r="D846" s="89">
        <v>390.83199999999999</v>
      </c>
      <c r="E846" s="89">
        <v>279265.48810000002</v>
      </c>
      <c r="F846" s="90">
        <v>7.5</v>
      </c>
      <c r="G846" s="89">
        <v>2094491.16075</v>
      </c>
      <c r="H846" s="89">
        <v>1215</v>
      </c>
      <c r="I846" s="87">
        <v>2544806759.4000001</v>
      </c>
      <c r="J846" s="54" t="s">
        <v>116</v>
      </c>
      <c r="K846" s="89" t="s">
        <v>139</v>
      </c>
      <c r="L846" s="45" t="s">
        <v>105</v>
      </c>
    </row>
    <row r="847" spans="1:12" s="53" customFormat="1" ht="20.149999999999999" customHeight="1">
      <c r="A847" s="44">
        <v>42767</v>
      </c>
      <c r="B847" s="49"/>
      <c r="C847" s="45" t="s">
        <v>20</v>
      </c>
      <c r="D847" s="89">
        <v>938.18799999999999</v>
      </c>
      <c r="E847" s="89">
        <v>670373.79169999994</v>
      </c>
      <c r="F847" s="90">
        <v>7.5</v>
      </c>
      <c r="G847" s="89">
        <v>5027803.4377499996</v>
      </c>
      <c r="H847" s="89">
        <v>1215</v>
      </c>
      <c r="I847" s="87">
        <v>6108781179.6000004</v>
      </c>
      <c r="J847" s="54" t="s">
        <v>116</v>
      </c>
      <c r="K847" s="89" t="s">
        <v>199</v>
      </c>
      <c r="L847" s="45" t="s">
        <v>105</v>
      </c>
    </row>
    <row r="848" spans="1:12" s="53" customFormat="1" ht="20.149999999999999" customHeight="1">
      <c r="A848" s="44">
        <v>42767</v>
      </c>
      <c r="B848" s="49"/>
      <c r="C848" s="45" t="s">
        <v>20</v>
      </c>
      <c r="D848" s="89">
        <v>1069.145</v>
      </c>
      <c r="E848" s="89">
        <v>763947.93740000005</v>
      </c>
      <c r="F848" s="90">
        <v>7.5</v>
      </c>
      <c r="G848" s="89">
        <v>5729609.5305000003</v>
      </c>
      <c r="H848" s="89">
        <v>1215</v>
      </c>
      <c r="I848" s="87">
        <v>6961475578.9500008</v>
      </c>
      <c r="J848" s="54" t="s">
        <v>116</v>
      </c>
      <c r="K848" s="89" t="s">
        <v>182</v>
      </c>
      <c r="L848" s="45" t="s">
        <v>105</v>
      </c>
    </row>
    <row r="849" spans="1:12" s="53" customFormat="1" ht="20.149999999999999" customHeight="1">
      <c r="A849" s="44">
        <v>42767</v>
      </c>
      <c r="B849" s="49"/>
      <c r="C849" s="45" t="s">
        <v>20</v>
      </c>
      <c r="D849" s="89">
        <v>1199.528</v>
      </c>
      <c r="E849" s="89">
        <v>857111.93660000002</v>
      </c>
      <c r="F849" s="90">
        <v>7.5</v>
      </c>
      <c r="G849" s="89">
        <v>6428339.5245000003</v>
      </c>
      <c r="H849" s="89">
        <v>1215</v>
      </c>
      <c r="I849" s="87">
        <v>7810432516.7999992</v>
      </c>
      <c r="J849" s="54" t="s">
        <v>116</v>
      </c>
      <c r="K849" s="89" t="s">
        <v>174</v>
      </c>
      <c r="L849" s="45" t="s">
        <v>105</v>
      </c>
    </row>
    <row r="850" spans="1:12" s="53" customFormat="1" ht="20.149999999999999" customHeight="1">
      <c r="A850" s="44">
        <v>42767</v>
      </c>
      <c r="B850" s="49"/>
      <c r="C850" s="45" t="s">
        <v>20</v>
      </c>
      <c r="D850" s="89">
        <v>124.944</v>
      </c>
      <c r="E850" s="89">
        <v>89277.610700000005</v>
      </c>
      <c r="F850" s="90">
        <v>7.5</v>
      </c>
      <c r="G850" s="89">
        <v>669582.08025</v>
      </c>
      <c r="H850" s="89">
        <v>1215</v>
      </c>
      <c r="I850" s="87">
        <v>813542227.19999993</v>
      </c>
      <c r="J850" s="54" t="s">
        <v>116</v>
      </c>
      <c r="K850" s="89" t="s">
        <v>71</v>
      </c>
      <c r="L850" s="45" t="s">
        <v>105</v>
      </c>
    </row>
    <row r="851" spans="1:12" s="53" customFormat="1" ht="20.149999999999999" customHeight="1">
      <c r="A851" s="44">
        <v>42767</v>
      </c>
      <c r="B851" s="49"/>
      <c r="C851" s="45" t="s">
        <v>20</v>
      </c>
      <c r="D851" s="89">
        <v>1028.4469999999999</v>
      </c>
      <c r="E851" s="89">
        <v>734867.54779999994</v>
      </c>
      <c r="F851" s="90">
        <v>7.5</v>
      </c>
      <c r="G851" s="89">
        <v>5511506.6084999992</v>
      </c>
      <c r="H851" s="89">
        <v>1215</v>
      </c>
      <c r="I851" s="87">
        <v>6696480531.1500006</v>
      </c>
      <c r="J851" s="54" t="s">
        <v>116</v>
      </c>
      <c r="K851" s="89" t="s">
        <v>183</v>
      </c>
      <c r="L851" s="45" t="s">
        <v>105</v>
      </c>
    </row>
    <row r="852" spans="1:12" s="53" customFormat="1" ht="20.149999999999999" customHeight="1">
      <c r="A852" s="44">
        <v>42767</v>
      </c>
      <c r="B852" s="49"/>
      <c r="C852" s="45" t="s">
        <v>20</v>
      </c>
      <c r="D852" s="89">
        <v>0.93</v>
      </c>
      <c r="E852" s="89">
        <v>664.5231</v>
      </c>
      <c r="F852" s="90">
        <v>7.5</v>
      </c>
      <c r="G852" s="89">
        <v>4983.9232499999998</v>
      </c>
      <c r="H852" s="89">
        <v>1215</v>
      </c>
      <c r="I852" s="87">
        <v>6055462.7999999998</v>
      </c>
      <c r="J852" s="54" t="s">
        <v>116</v>
      </c>
      <c r="K852" s="89" t="s">
        <v>126</v>
      </c>
      <c r="L852" s="45" t="s">
        <v>105</v>
      </c>
    </row>
    <row r="853" spans="1:12" s="53" customFormat="1" ht="20.149999999999999" customHeight="1">
      <c r="A853" s="44">
        <v>42767</v>
      </c>
      <c r="B853" s="49"/>
      <c r="C853" s="45" t="s">
        <v>20</v>
      </c>
      <c r="D853" s="89">
        <v>10.102</v>
      </c>
      <c r="E853" s="89">
        <v>7218.2932000000001</v>
      </c>
      <c r="F853" s="90">
        <v>7.5</v>
      </c>
      <c r="G853" s="89">
        <v>54137.199000000001</v>
      </c>
      <c r="H853" s="89">
        <v>1215</v>
      </c>
      <c r="I853" s="87">
        <v>65776698</v>
      </c>
      <c r="J853" s="54" t="s">
        <v>116</v>
      </c>
      <c r="K853" s="89" t="s">
        <v>179</v>
      </c>
      <c r="L853" s="45" t="s">
        <v>105</v>
      </c>
    </row>
    <row r="854" spans="1:12" s="53" customFormat="1" ht="20.149999999999999" customHeight="1">
      <c r="A854" s="44">
        <v>42767</v>
      </c>
      <c r="B854" s="49"/>
      <c r="C854" s="45" t="s">
        <v>20</v>
      </c>
      <c r="D854" s="89">
        <v>2.1800000000000002</v>
      </c>
      <c r="E854" s="89">
        <v>1557.6994</v>
      </c>
      <c r="F854" s="90">
        <v>7.5</v>
      </c>
      <c r="G854" s="89">
        <v>11682.745499999999</v>
      </c>
      <c r="H854" s="89">
        <v>1215</v>
      </c>
      <c r="I854" s="87">
        <v>14194541.25</v>
      </c>
      <c r="J854" s="54" t="s">
        <v>116</v>
      </c>
      <c r="K854" s="89" t="s">
        <v>194</v>
      </c>
      <c r="L854" s="45" t="s">
        <v>105</v>
      </c>
    </row>
    <row r="855" spans="1:12" s="53" customFormat="1" ht="20.149999999999999" customHeight="1">
      <c r="A855" s="44">
        <v>42767</v>
      </c>
      <c r="B855" s="49"/>
      <c r="C855" s="45" t="s">
        <v>20</v>
      </c>
      <c r="D855" s="89">
        <v>6.9000000000000006E-2</v>
      </c>
      <c r="E855" s="89">
        <v>49.3033</v>
      </c>
      <c r="F855" s="90">
        <v>7.5</v>
      </c>
      <c r="G855" s="89">
        <v>369.77474999999998</v>
      </c>
      <c r="H855" s="89">
        <v>1215</v>
      </c>
      <c r="I855" s="87">
        <v>449270.55</v>
      </c>
      <c r="J855" s="54" t="s">
        <v>116</v>
      </c>
      <c r="K855" s="89" t="s">
        <v>203</v>
      </c>
      <c r="L855" s="45" t="s">
        <v>105</v>
      </c>
    </row>
    <row r="856" spans="1:12" s="53" customFormat="1" ht="20.149999999999999" customHeight="1">
      <c r="A856" s="44">
        <v>42767</v>
      </c>
      <c r="B856" s="49"/>
      <c r="C856" s="45" t="s">
        <v>20</v>
      </c>
      <c r="D856" s="89">
        <v>0.17399999999999999</v>
      </c>
      <c r="E856" s="89">
        <v>124.3301</v>
      </c>
      <c r="F856" s="90">
        <v>7.5</v>
      </c>
      <c r="G856" s="89">
        <v>932.47575000000006</v>
      </c>
      <c r="H856" s="89">
        <v>1215</v>
      </c>
      <c r="I856" s="87">
        <v>1132963.2</v>
      </c>
      <c r="J856" s="54" t="s">
        <v>116</v>
      </c>
      <c r="K856" s="89" t="s">
        <v>145</v>
      </c>
      <c r="L856" s="45" t="s">
        <v>105</v>
      </c>
    </row>
    <row r="857" spans="1:12" s="53" customFormat="1" ht="20.149999999999999" customHeight="1">
      <c r="A857" s="44">
        <v>42767</v>
      </c>
      <c r="B857" s="49"/>
      <c r="C857" s="45" t="s">
        <v>20</v>
      </c>
      <c r="D857" s="89">
        <v>7.4999999999999997E-2</v>
      </c>
      <c r="E857" s="89">
        <v>53.590600000000002</v>
      </c>
      <c r="F857" s="90">
        <v>2.5508000000000002</v>
      </c>
      <c r="G857" s="89">
        <v>191.31</v>
      </c>
      <c r="H857" s="89">
        <v>1215</v>
      </c>
      <c r="I857" s="87">
        <v>232441.65</v>
      </c>
      <c r="J857" s="54" t="s">
        <v>116</v>
      </c>
      <c r="K857" s="89" t="s">
        <v>204</v>
      </c>
      <c r="L857" s="45" t="s">
        <v>105</v>
      </c>
    </row>
    <row r="858" spans="1:12" s="53" customFormat="1" ht="20.149999999999999" customHeight="1">
      <c r="A858" s="44">
        <v>42767</v>
      </c>
      <c r="B858" s="49"/>
      <c r="C858" s="45" t="s">
        <v>20</v>
      </c>
      <c r="D858" s="89">
        <v>5.3999999999999999E-2</v>
      </c>
      <c r="E858" s="89">
        <v>38.5852</v>
      </c>
      <c r="F858" s="90">
        <v>2.5508000000000002</v>
      </c>
      <c r="G858" s="89">
        <v>137.7432</v>
      </c>
      <c r="H858" s="89">
        <v>1215</v>
      </c>
      <c r="I858" s="87">
        <v>167354.1</v>
      </c>
      <c r="J858" s="54" t="s">
        <v>116</v>
      </c>
      <c r="K858" s="89" t="s">
        <v>205</v>
      </c>
      <c r="L858" s="45" t="s">
        <v>105</v>
      </c>
    </row>
    <row r="859" spans="1:12" s="53" customFormat="1" ht="20.149999999999999" customHeight="1">
      <c r="A859" s="44">
        <v>42767</v>
      </c>
      <c r="B859" s="49"/>
      <c r="C859" s="45" t="s">
        <v>20</v>
      </c>
      <c r="D859" s="89">
        <v>0.61699999999999999</v>
      </c>
      <c r="E859" s="89">
        <v>440.87180000000001</v>
      </c>
      <c r="F859" s="90">
        <v>2.5508000000000002</v>
      </c>
      <c r="G859" s="89">
        <v>1573.8435999999999</v>
      </c>
      <c r="H859" s="89">
        <v>1215</v>
      </c>
      <c r="I859" s="87">
        <v>1912215.5999999999</v>
      </c>
      <c r="J859" s="54" t="s">
        <v>116</v>
      </c>
      <c r="K859" s="89" t="s">
        <v>147</v>
      </c>
      <c r="L859" s="45" t="s">
        <v>105</v>
      </c>
    </row>
    <row r="860" spans="1:12" s="53" customFormat="1" ht="20.149999999999999" customHeight="1">
      <c r="A860" s="44">
        <v>42767</v>
      </c>
      <c r="B860" s="49"/>
      <c r="C860" s="45" t="s">
        <v>20</v>
      </c>
      <c r="D860" s="89">
        <v>2.1389999999999998</v>
      </c>
      <c r="E860" s="89">
        <v>1528.4032</v>
      </c>
      <c r="F860" s="90">
        <v>2.5508000000000002</v>
      </c>
      <c r="G860" s="89">
        <v>5456.1611999999996</v>
      </c>
      <c r="H860" s="89">
        <v>1215</v>
      </c>
      <c r="I860" s="87">
        <v>6629234.3999999994</v>
      </c>
      <c r="J860" s="54" t="s">
        <v>116</v>
      </c>
      <c r="K860" s="89" t="s">
        <v>148</v>
      </c>
      <c r="L860" s="45" t="s">
        <v>105</v>
      </c>
    </row>
    <row r="861" spans="1:12" s="53" customFormat="1" ht="20.149999999999999" customHeight="1">
      <c r="A861" s="44">
        <v>42767</v>
      </c>
      <c r="B861" s="49"/>
      <c r="C861" s="45" t="s">
        <v>20</v>
      </c>
      <c r="D861" s="89">
        <v>0.34</v>
      </c>
      <c r="E861" s="89">
        <v>242.94390000000001</v>
      </c>
      <c r="F861" s="90">
        <v>2.5508000000000002</v>
      </c>
      <c r="G861" s="89">
        <v>867.27200000000016</v>
      </c>
      <c r="H861" s="89">
        <v>1215</v>
      </c>
      <c r="I861" s="87">
        <v>1053733.05</v>
      </c>
      <c r="J861" s="54" t="s">
        <v>116</v>
      </c>
      <c r="K861" s="89" t="s">
        <v>149</v>
      </c>
      <c r="L861" s="45" t="s">
        <v>105</v>
      </c>
    </row>
    <row r="862" spans="1:12" s="53" customFormat="1" ht="20.149999999999999" customHeight="1">
      <c r="A862" s="44">
        <v>42767</v>
      </c>
      <c r="B862" s="49"/>
      <c r="C862" s="45" t="s">
        <v>20</v>
      </c>
      <c r="D862" s="89">
        <v>0.26400000000000001</v>
      </c>
      <c r="E862" s="89">
        <v>188.6388</v>
      </c>
      <c r="F862" s="90">
        <v>2.5508000000000002</v>
      </c>
      <c r="G862" s="89">
        <v>673.41120000000012</v>
      </c>
      <c r="H862" s="89">
        <v>1215</v>
      </c>
      <c r="I862" s="87">
        <v>818193.14999999991</v>
      </c>
      <c r="J862" s="54" t="s">
        <v>116</v>
      </c>
      <c r="K862" s="89" t="s">
        <v>150</v>
      </c>
      <c r="L862" s="45" t="s">
        <v>105</v>
      </c>
    </row>
    <row r="863" spans="1:12" s="53" customFormat="1" ht="20.149999999999999" customHeight="1">
      <c r="A863" s="44">
        <v>42767</v>
      </c>
      <c r="B863" s="49"/>
      <c r="C863" s="45" t="s">
        <v>20</v>
      </c>
      <c r="D863" s="89">
        <v>6.8000000000000005E-2</v>
      </c>
      <c r="E863" s="89">
        <v>48.588799999999999</v>
      </c>
      <c r="F863" s="90">
        <v>2.5508000000000002</v>
      </c>
      <c r="G863" s="89">
        <v>173.45440000000005</v>
      </c>
      <c r="H863" s="89">
        <v>1215</v>
      </c>
      <c r="I863" s="87">
        <v>210741.75</v>
      </c>
      <c r="J863" s="54" t="s">
        <v>116</v>
      </c>
      <c r="K863" s="89" t="s">
        <v>151</v>
      </c>
      <c r="L863" s="45" t="s">
        <v>105</v>
      </c>
    </row>
    <row r="864" spans="1:12" s="53" customFormat="1" ht="20.149999999999999" customHeight="1">
      <c r="A864" s="44">
        <v>42767</v>
      </c>
      <c r="B864" s="49"/>
      <c r="C864" s="45" t="s">
        <v>20</v>
      </c>
      <c r="D864" s="89">
        <v>1.3140000000000001</v>
      </c>
      <c r="E864" s="89">
        <v>938.90689999999995</v>
      </c>
      <c r="F864" s="90">
        <v>2.5508000000000002</v>
      </c>
      <c r="G864" s="89">
        <v>3351.7512000000002</v>
      </c>
      <c r="H864" s="89">
        <v>1215</v>
      </c>
      <c r="I864" s="87">
        <v>4072376.25</v>
      </c>
      <c r="J864" s="54" t="s">
        <v>116</v>
      </c>
      <c r="K864" s="89" t="s">
        <v>152</v>
      </c>
      <c r="L864" s="45" t="s">
        <v>105</v>
      </c>
    </row>
    <row r="865" spans="1:12" s="53" customFormat="1" ht="20.149999999999999" customHeight="1">
      <c r="A865" s="44">
        <v>42767</v>
      </c>
      <c r="B865" s="49"/>
      <c r="C865" s="45" t="s">
        <v>20</v>
      </c>
      <c r="D865" s="89">
        <v>1.712</v>
      </c>
      <c r="E865" s="89">
        <v>1223.2942</v>
      </c>
      <c r="F865" s="90">
        <v>2.5508000000000002</v>
      </c>
      <c r="G865" s="89">
        <v>4366.9696000000004</v>
      </c>
      <c r="H865" s="89">
        <v>1215</v>
      </c>
      <c r="I865" s="87">
        <v>5305868.5500000007</v>
      </c>
      <c r="J865" s="54" t="s">
        <v>116</v>
      </c>
      <c r="K865" s="89" t="s">
        <v>159</v>
      </c>
      <c r="L865" s="45" t="s">
        <v>105</v>
      </c>
    </row>
    <row r="866" spans="1:12" s="53" customFormat="1" ht="20.149999999999999" customHeight="1">
      <c r="A866" s="44">
        <v>42767</v>
      </c>
      <c r="B866" s="49"/>
      <c r="C866" s="45" t="s">
        <v>20</v>
      </c>
      <c r="D866" s="89">
        <v>4.8339999999999996</v>
      </c>
      <c r="E866" s="89">
        <v>3454.0911999999998</v>
      </c>
      <c r="F866" s="90">
        <v>2.5508000000000002</v>
      </c>
      <c r="G866" s="89">
        <v>12330.557199999999</v>
      </c>
      <c r="H866" s="89">
        <v>1215</v>
      </c>
      <c r="I866" s="87">
        <v>14981630.399999999</v>
      </c>
      <c r="J866" s="54" t="s">
        <v>116</v>
      </c>
      <c r="K866" s="89" t="s">
        <v>153</v>
      </c>
      <c r="L866" s="45" t="s">
        <v>105</v>
      </c>
    </row>
    <row r="867" spans="1:12" s="53" customFormat="1" ht="20.149999999999999" customHeight="1">
      <c r="A867" s="44">
        <v>42767</v>
      </c>
      <c r="B867" s="49"/>
      <c r="C867" s="45" t="s">
        <v>20</v>
      </c>
      <c r="D867" s="89">
        <v>0.70299999999999996</v>
      </c>
      <c r="E867" s="89">
        <v>502.32229999999998</v>
      </c>
      <c r="F867" s="90">
        <v>2.5508000000000002</v>
      </c>
      <c r="G867" s="89">
        <v>1793.2124000000001</v>
      </c>
      <c r="H867" s="89">
        <v>1215</v>
      </c>
      <c r="I867" s="87">
        <v>2178750.15</v>
      </c>
      <c r="J867" s="54" t="s">
        <v>116</v>
      </c>
      <c r="K867" s="89" t="s">
        <v>154</v>
      </c>
      <c r="L867" s="45" t="s">
        <v>105</v>
      </c>
    </row>
    <row r="868" spans="1:12" s="53" customFormat="1" ht="20.149999999999999" customHeight="1">
      <c r="A868" s="44">
        <v>42767</v>
      </c>
      <c r="B868" s="49"/>
      <c r="C868" s="45" t="s">
        <v>20</v>
      </c>
      <c r="D868" s="89">
        <v>10.553000000000001</v>
      </c>
      <c r="E868" s="89">
        <v>7540.5511999999999</v>
      </c>
      <c r="F868" s="90">
        <v>2.5508000000000002</v>
      </c>
      <c r="G868" s="89">
        <v>26918.592400000005</v>
      </c>
      <c r="H868" s="89">
        <v>1215</v>
      </c>
      <c r="I868" s="87">
        <v>32706086.850000001</v>
      </c>
      <c r="J868" s="54" t="s">
        <v>116</v>
      </c>
      <c r="K868" s="89" t="s">
        <v>178</v>
      </c>
      <c r="L868" s="45" t="s">
        <v>105</v>
      </c>
    </row>
    <row r="869" spans="1:12" s="53" customFormat="1" ht="20.149999999999999" customHeight="1">
      <c r="A869" s="44">
        <v>42767</v>
      </c>
      <c r="B869" s="49"/>
      <c r="C869" s="45" t="s">
        <v>20</v>
      </c>
      <c r="D869" s="89">
        <v>0.90500000000000003</v>
      </c>
      <c r="E869" s="89">
        <v>646.65959999999995</v>
      </c>
      <c r="F869" s="90">
        <v>2.5508000000000002</v>
      </c>
      <c r="G869" s="89">
        <v>2308.4740000000002</v>
      </c>
      <c r="H869" s="89">
        <v>1215</v>
      </c>
      <c r="I869" s="87">
        <v>2804791.05</v>
      </c>
      <c r="J869" s="54" t="s">
        <v>116</v>
      </c>
      <c r="K869" s="89" t="s">
        <v>160</v>
      </c>
      <c r="L869" s="45" t="s">
        <v>105</v>
      </c>
    </row>
    <row r="870" spans="1:12" s="53" customFormat="1" ht="20.149999999999999" customHeight="1">
      <c r="A870" s="44">
        <v>42767</v>
      </c>
      <c r="B870" s="49"/>
      <c r="C870" s="45" t="s">
        <v>20</v>
      </c>
      <c r="D870" s="89">
        <v>0.23400000000000001</v>
      </c>
      <c r="E870" s="89">
        <v>167.20259999999999</v>
      </c>
      <c r="F870" s="90">
        <v>2.5508000000000002</v>
      </c>
      <c r="G870" s="89">
        <v>596.87720000000002</v>
      </c>
      <c r="H870" s="89">
        <v>1215</v>
      </c>
      <c r="I870" s="87">
        <v>725209.2</v>
      </c>
      <c r="J870" s="54" t="s">
        <v>116</v>
      </c>
      <c r="K870" s="89" t="s">
        <v>201</v>
      </c>
      <c r="L870" s="45" t="s">
        <v>105</v>
      </c>
    </row>
    <row r="871" spans="1:12" s="53" customFormat="1" ht="20.149999999999999" customHeight="1">
      <c r="A871" s="44">
        <v>42767</v>
      </c>
      <c r="B871" s="49"/>
      <c r="C871" s="45" t="s">
        <v>20</v>
      </c>
      <c r="D871" s="89">
        <v>0.26800000000000002</v>
      </c>
      <c r="E871" s="89">
        <v>191.49700000000001</v>
      </c>
      <c r="F871" s="90">
        <v>2.5508000000000002</v>
      </c>
      <c r="G871" s="89">
        <v>683.61440000000005</v>
      </c>
      <c r="H871" s="89">
        <v>1215</v>
      </c>
      <c r="I871" s="87">
        <v>830586.15</v>
      </c>
      <c r="J871" s="54" t="s">
        <v>116</v>
      </c>
      <c r="K871" s="89" t="s">
        <v>156</v>
      </c>
      <c r="L871" s="45" t="s">
        <v>105</v>
      </c>
    </row>
    <row r="872" spans="1:12" s="53" customFormat="1" ht="20.149999999999999" customHeight="1">
      <c r="A872" s="44"/>
      <c r="B872" s="49"/>
      <c r="C872" s="45"/>
      <c r="D872" s="89"/>
      <c r="E872" s="89"/>
      <c r="F872" s="90"/>
      <c r="G872" s="89"/>
      <c r="H872" s="89"/>
      <c r="I872" s="88"/>
      <c r="J872" s="54"/>
      <c r="K872" s="89"/>
      <c r="L872" s="45"/>
    </row>
    <row r="873" spans="1:12" s="53" customFormat="1" ht="20.149999999999999" customHeight="1">
      <c r="A873" s="44">
        <v>42795</v>
      </c>
      <c r="B873" s="49"/>
      <c r="C873" s="45" t="s">
        <v>20</v>
      </c>
      <c r="D873" s="89">
        <v>1.45</v>
      </c>
      <c r="E873" s="89">
        <v>1034.4821999999999</v>
      </c>
      <c r="F873" s="90">
        <v>7.5</v>
      </c>
      <c r="G873" s="89">
        <v>7758.6164999999992</v>
      </c>
      <c r="H873" s="89">
        <v>1215</v>
      </c>
      <c r="I873" s="87">
        <v>9426723.3000000007</v>
      </c>
      <c r="J873" s="54" t="s">
        <v>116</v>
      </c>
      <c r="K873" s="89" t="s">
        <v>165</v>
      </c>
      <c r="L873" s="45" t="s">
        <v>105</v>
      </c>
    </row>
    <row r="874" spans="1:12" s="53" customFormat="1" ht="20.149999999999999" customHeight="1">
      <c r="A874" s="44">
        <v>42795</v>
      </c>
      <c r="B874" s="49"/>
      <c r="C874" s="45" t="s">
        <v>20</v>
      </c>
      <c r="D874" s="89">
        <v>0.80700000000000005</v>
      </c>
      <c r="E874" s="89">
        <v>575.74289999999996</v>
      </c>
      <c r="F874" s="90">
        <v>7.5</v>
      </c>
      <c r="G874" s="89">
        <v>4318.0717500000001</v>
      </c>
      <c r="H874" s="89">
        <v>1215</v>
      </c>
      <c r="I874" s="87">
        <v>5246455.05</v>
      </c>
      <c r="J874" s="54" t="s">
        <v>116</v>
      </c>
      <c r="K874" s="89" t="s">
        <v>118</v>
      </c>
      <c r="L874" s="45" t="s">
        <v>105</v>
      </c>
    </row>
    <row r="875" spans="1:12" s="53" customFormat="1" ht="20.149999999999999" customHeight="1">
      <c r="A875" s="44">
        <v>42795</v>
      </c>
      <c r="B875" s="49"/>
      <c r="C875" s="45" t="s">
        <v>20</v>
      </c>
      <c r="D875" s="89">
        <v>9.8989999999999991</v>
      </c>
      <c r="E875" s="89">
        <v>7062.3029999999999</v>
      </c>
      <c r="F875" s="90">
        <v>7.5</v>
      </c>
      <c r="G875" s="89">
        <v>52967.272499999999</v>
      </c>
      <c r="H875" s="89">
        <v>1215</v>
      </c>
      <c r="I875" s="87">
        <v>64355233.049999997</v>
      </c>
      <c r="J875" s="54" t="s">
        <v>116</v>
      </c>
      <c r="K875" s="89" t="s">
        <v>119</v>
      </c>
      <c r="L875" s="45" t="s">
        <v>105</v>
      </c>
    </row>
    <row r="876" spans="1:12" s="53" customFormat="1" ht="20.149999999999999" customHeight="1">
      <c r="A876" s="44">
        <v>42795</v>
      </c>
      <c r="B876" s="49"/>
      <c r="C876" s="45" t="s">
        <v>20</v>
      </c>
      <c r="D876" s="89">
        <v>9.1449999999999996</v>
      </c>
      <c r="E876" s="89">
        <v>6524.3721999999998</v>
      </c>
      <c r="F876" s="90">
        <v>7.5</v>
      </c>
      <c r="G876" s="89">
        <v>48932.791499999999</v>
      </c>
      <c r="H876" s="89">
        <v>1215</v>
      </c>
      <c r="I876" s="87">
        <v>59453339.850000001</v>
      </c>
      <c r="J876" s="54" t="s">
        <v>116</v>
      </c>
      <c r="K876" s="89" t="s">
        <v>166</v>
      </c>
      <c r="L876" s="45" t="s">
        <v>105</v>
      </c>
    </row>
    <row r="877" spans="1:12" s="53" customFormat="1" ht="20.149999999999999" customHeight="1">
      <c r="A877" s="44">
        <v>42795</v>
      </c>
      <c r="B877" s="49"/>
      <c r="C877" s="45" t="s">
        <v>20</v>
      </c>
      <c r="D877" s="89">
        <v>4.0010000000000003</v>
      </c>
      <c r="E877" s="89">
        <v>2854.4573999999998</v>
      </c>
      <c r="F877" s="90">
        <v>7.5</v>
      </c>
      <c r="G877" s="89">
        <v>21408.430499999999</v>
      </c>
      <c r="H877" s="89">
        <v>1215</v>
      </c>
      <c r="I877" s="87">
        <v>26011242.449999999</v>
      </c>
      <c r="J877" s="54" t="s">
        <v>116</v>
      </c>
      <c r="K877" s="89" t="s">
        <v>132</v>
      </c>
      <c r="L877" s="45" t="s">
        <v>105</v>
      </c>
    </row>
    <row r="878" spans="1:12" s="53" customFormat="1" ht="20.149999999999999" customHeight="1">
      <c r="A878" s="44">
        <v>42795</v>
      </c>
      <c r="B878" s="49"/>
      <c r="C878" s="45" t="s">
        <v>20</v>
      </c>
      <c r="D878" s="89">
        <v>5.9160000000000004</v>
      </c>
      <c r="E878" s="89">
        <v>4220.6873999999998</v>
      </c>
      <c r="F878" s="90">
        <v>7.5</v>
      </c>
      <c r="G878" s="89">
        <v>31655.155499999997</v>
      </c>
      <c r="H878" s="89">
        <v>1215</v>
      </c>
      <c r="I878" s="87">
        <v>38461019.399999999</v>
      </c>
      <c r="J878" s="54" t="s">
        <v>116</v>
      </c>
      <c r="K878" s="89" t="s">
        <v>133</v>
      </c>
      <c r="L878" s="45" t="s">
        <v>105</v>
      </c>
    </row>
    <row r="879" spans="1:12" s="53" customFormat="1" ht="20.149999999999999" customHeight="1">
      <c r="A879" s="44">
        <v>42795</v>
      </c>
      <c r="B879" s="49"/>
      <c r="C879" s="45" t="s">
        <v>20</v>
      </c>
      <c r="D879" s="89">
        <v>0.13100000000000001</v>
      </c>
      <c r="E879" s="89">
        <v>93.460099999999997</v>
      </c>
      <c r="F879" s="90">
        <v>7.5</v>
      </c>
      <c r="G879" s="89">
        <v>700.95074999999997</v>
      </c>
      <c r="H879" s="89">
        <v>1215</v>
      </c>
      <c r="I879" s="87">
        <v>851654.25</v>
      </c>
      <c r="J879" s="54" t="s">
        <v>116</v>
      </c>
      <c r="K879" s="89" t="s">
        <v>121</v>
      </c>
      <c r="L879" s="45" t="s">
        <v>105</v>
      </c>
    </row>
    <row r="880" spans="1:12" s="53" customFormat="1" ht="20.149999999999999" customHeight="1">
      <c r="A880" s="44">
        <v>42795</v>
      </c>
      <c r="B880" s="49"/>
      <c r="C880" s="45" t="s">
        <v>20</v>
      </c>
      <c r="D880" s="89">
        <v>2.7959999999999998</v>
      </c>
      <c r="E880" s="89">
        <v>1994.7671</v>
      </c>
      <c r="F880" s="90">
        <v>7.5</v>
      </c>
      <c r="G880" s="89">
        <v>14960.75325</v>
      </c>
      <c r="H880" s="89">
        <v>1215</v>
      </c>
      <c r="I880" s="87">
        <v>18177311.25</v>
      </c>
      <c r="J880" s="54" t="s">
        <v>116</v>
      </c>
      <c r="K880" s="89" t="s">
        <v>122</v>
      </c>
      <c r="L880" s="45" t="s">
        <v>105</v>
      </c>
    </row>
    <row r="881" spans="1:12" s="53" customFormat="1" ht="20.149999999999999" customHeight="1">
      <c r="A881" s="44">
        <v>42795</v>
      </c>
      <c r="B881" s="49"/>
      <c r="C881" s="45" t="s">
        <v>20</v>
      </c>
      <c r="D881" s="89">
        <v>7.9880000000000004</v>
      </c>
      <c r="E881" s="89">
        <v>5698.9268000000002</v>
      </c>
      <c r="F881" s="90">
        <v>7.5</v>
      </c>
      <c r="G881" s="89">
        <v>42741.951000000001</v>
      </c>
      <c r="H881" s="89">
        <v>1215</v>
      </c>
      <c r="I881" s="87">
        <v>51931469.25</v>
      </c>
      <c r="J881" s="54" t="s">
        <v>116</v>
      </c>
      <c r="K881" s="89" t="s">
        <v>123</v>
      </c>
      <c r="L881" s="45" t="s">
        <v>105</v>
      </c>
    </row>
    <row r="882" spans="1:12" s="53" customFormat="1" ht="20.149999999999999" customHeight="1">
      <c r="A882" s="44">
        <v>42795</v>
      </c>
      <c r="B882" s="49"/>
      <c r="C882" s="45" t="s">
        <v>20</v>
      </c>
      <c r="D882" s="89">
        <v>0.14899999999999999</v>
      </c>
      <c r="E882" s="89">
        <v>106.30200000000001</v>
      </c>
      <c r="F882" s="90">
        <v>7.5</v>
      </c>
      <c r="G882" s="89">
        <v>797.2650000000001</v>
      </c>
      <c r="H882" s="89">
        <v>1215</v>
      </c>
      <c r="I882" s="87">
        <v>968683.04999999993</v>
      </c>
      <c r="J882" s="54" t="s">
        <v>116</v>
      </c>
      <c r="K882" s="89" t="s">
        <v>124</v>
      </c>
      <c r="L882" s="45" t="s">
        <v>105</v>
      </c>
    </row>
    <row r="883" spans="1:12" s="53" customFormat="1" ht="20.149999999999999" customHeight="1">
      <c r="A883" s="44">
        <v>42795</v>
      </c>
      <c r="B883" s="49"/>
      <c r="C883" s="45" t="s">
        <v>20</v>
      </c>
      <c r="D883" s="89">
        <v>2.1999999999999999E-2</v>
      </c>
      <c r="E883" s="89">
        <v>15.695600000000001</v>
      </c>
      <c r="F883" s="90">
        <v>7.5</v>
      </c>
      <c r="G883" s="89">
        <v>117.717</v>
      </c>
      <c r="H883" s="89">
        <v>1215</v>
      </c>
      <c r="I883" s="87">
        <v>143029.79999999999</v>
      </c>
      <c r="J883" s="54" t="s">
        <v>116</v>
      </c>
      <c r="K883" s="89" t="s">
        <v>125</v>
      </c>
      <c r="L883" s="45" t="s">
        <v>105</v>
      </c>
    </row>
    <row r="884" spans="1:12" s="53" customFormat="1" ht="20.149999999999999" customHeight="1">
      <c r="A884" s="44">
        <v>42795</v>
      </c>
      <c r="B884" s="49"/>
      <c r="C884" s="45" t="s">
        <v>20</v>
      </c>
      <c r="D884" s="89">
        <v>1.393</v>
      </c>
      <c r="E884" s="89">
        <v>993.81629999999996</v>
      </c>
      <c r="F884" s="90">
        <v>7.5</v>
      </c>
      <c r="G884" s="89">
        <v>7453.6222499999994</v>
      </c>
      <c r="H884" s="89">
        <v>1215</v>
      </c>
      <c r="I884" s="87">
        <v>9056148.3000000007</v>
      </c>
      <c r="J884" s="54" t="s">
        <v>116</v>
      </c>
      <c r="K884" s="89" t="s">
        <v>127</v>
      </c>
      <c r="L884" s="45" t="s">
        <v>105</v>
      </c>
    </row>
    <row r="885" spans="1:12" s="53" customFormat="1" ht="20.149999999999999" customHeight="1">
      <c r="A885" s="44">
        <v>42795</v>
      </c>
      <c r="B885" s="49"/>
      <c r="C885" s="45" t="s">
        <v>20</v>
      </c>
      <c r="D885" s="89">
        <v>0.29399999999999998</v>
      </c>
      <c r="E885" s="89">
        <v>209.75020000000001</v>
      </c>
      <c r="F885" s="90">
        <v>7.5</v>
      </c>
      <c r="G885" s="89">
        <v>1573.1265000000001</v>
      </c>
      <c r="H885" s="89">
        <v>1215</v>
      </c>
      <c r="I885" s="87">
        <v>1911352.9500000002</v>
      </c>
      <c r="J885" s="54" t="s">
        <v>116</v>
      </c>
      <c r="K885" s="89" t="s">
        <v>129</v>
      </c>
      <c r="L885" s="45" t="s">
        <v>105</v>
      </c>
    </row>
    <row r="886" spans="1:12" s="53" customFormat="1" ht="20.149999999999999" customHeight="1">
      <c r="A886" s="44">
        <v>42795</v>
      </c>
      <c r="B886" s="49"/>
      <c r="C886" s="45" t="s">
        <v>20</v>
      </c>
      <c r="D886" s="89">
        <v>0.35</v>
      </c>
      <c r="E886" s="89">
        <v>249.70259999999999</v>
      </c>
      <c r="F886" s="90">
        <v>7.5</v>
      </c>
      <c r="G886" s="89">
        <v>1872.7694999999999</v>
      </c>
      <c r="H886" s="89">
        <v>1215</v>
      </c>
      <c r="I886" s="87">
        <v>2275415.5499999998</v>
      </c>
      <c r="J886" s="54" t="s">
        <v>116</v>
      </c>
      <c r="K886" s="89" t="s">
        <v>206</v>
      </c>
      <c r="L886" s="45" t="s">
        <v>105</v>
      </c>
    </row>
    <row r="887" spans="1:12" s="53" customFormat="1" ht="20.149999999999999" customHeight="1">
      <c r="A887" s="44">
        <v>42795</v>
      </c>
      <c r="B887" s="49"/>
      <c r="C887" s="45" t="s">
        <v>20</v>
      </c>
      <c r="D887" s="89">
        <v>129.86500000000001</v>
      </c>
      <c r="E887" s="89">
        <v>92650.366099999999</v>
      </c>
      <c r="F887" s="90">
        <v>7.5</v>
      </c>
      <c r="G887" s="89">
        <v>694877.74575</v>
      </c>
      <c r="H887" s="89">
        <v>1215</v>
      </c>
      <c r="I887" s="87">
        <v>844276466.25</v>
      </c>
      <c r="J887" s="54" t="s">
        <v>116</v>
      </c>
      <c r="K887" s="89" t="s">
        <v>162</v>
      </c>
      <c r="L887" s="45" t="s">
        <v>105</v>
      </c>
    </row>
    <row r="888" spans="1:12" s="53" customFormat="1" ht="20.149999999999999" customHeight="1">
      <c r="A888" s="44">
        <v>42795</v>
      </c>
      <c r="B888" s="49"/>
      <c r="C888" s="45" t="s">
        <v>20</v>
      </c>
      <c r="D888" s="89">
        <v>1.6739999999999999</v>
      </c>
      <c r="E888" s="89">
        <v>1194.2918999999999</v>
      </c>
      <c r="F888" s="90">
        <v>7.5</v>
      </c>
      <c r="G888" s="89">
        <v>8957.1892499999994</v>
      </c>
      <c r="H888" s="89">
        <v>1215</v>
      </c>
      <c r="I888" s="87">
        <v>10882985.850000001</v>
      </c>
      <c r="J888" s="54" t="s">
        <v>116</v>
      </c>
      <c r="K888" s="89" t="s">
        <v>134</v>
      </c>
      <c r="L888" s="45" t="s">
        <v>105</v>
      </c>
    </row>
    <row r="889" spans="1:12" s="53" customFormat="1" ht="20.149999999999999" customHeight="1">
      <c r="A889" s="44">
        <v>42795</v>
      </c>
      <c r="B889" s="49"/>
      <c r="C889" s="45" t="s">
        <v>20</v>
      </c>
      <c r="D889" s="89">
        <v>0.753</v>
      </c>
      <c r="E889" s="89">
        <v>537.21730000000002</v>
      </c>
      <c r="F889" s="90">
        <v>7.5</v>
      </c>
      <c r="G889" s="89">
        <v>4029.1297500000001</v>
      </c>
      <c r="H889" s="89">
        <v>1215</v>
      </c>
      <c r="I889" s="87">
        <v>4895392.95</v>
      </c>
      <c r="J889" s="54" t="s">
        <v>116</v>
      </c>
      <c r="K889" s="89" t="s">
        <v>202</v>
      </c>
      <c r="L889" s="45" t="s">
        <v>105</v>
      </c>
    </row>
    <row r="890" spans="1:12" s="53" customFormat="1" ht="20.149999999999999" customHeight="1">
      <c r="A890" s="44">
        <v>42795</v>
      </c>
      <c r="B890" s="49"/>
      <c r="C890" s="45" t="s">
        <v>20</v>
      </c>
      <c r="D890" s="89">
        <v>171.32499999999999</v>
      </c>
      <c r="E890" s="89">
        <v>122229.4227</v>
      </c>
      <c r="F890" s="90">
        <v>7.5</v>
      </c>
      <c r="G890" s="89">
        <v>916720.67024999997</v>
      </c>
      <c r="H890" s="89">
        <v>1215</v>
      </c>
      <c r="I890" s="87">
        <v>1113815614.05</v>
      </c>
      <c r="J890" s="54" t="s">
        <v>116</v>
      </c>
      <c r="K890" s="89" t="s">
        <v>136</v>
      </c>
      <c r="L890" s="45" t="s">
        <v>105</v>
      </c>
    </row>
    <row r="891" spans="1:12" s="53" customFormat="1" ht="20.149999999999999" customHeight="1">
      <c r="A891" s="44">
        <v>42795</v>
      </c>
      <c r="B891" s="49"/>
      <c r="C891" s="45" t="s">
        <v>20</v>
      </c>
      <c r="D891" s="89">
        <v>1.3380000000000001</v>
      </c>
      <c r="E891" s="89">
        <v>954.57740000000001</v>
      </c>
      <c r="F891" s="90">
        <v>7.5</v>
      </c>
      <c r="G891" s="89">
        <v>7159.3305</v>
      </c>
      <c r="H891" s="89">
        <v>1215</v>
      </c>
      <c r="I891" s="87">
        <v>8698585.9499999993</v>
      </c>
      <c r="J891" s="54" t="s">
        <v>116</v>
      </c>
      <c r="K891" s="89" t="s">
        <v>146</v>
      </c>
      <c r="L891" s="45" t="s">
        <v>105</v>
      </c>
    </row>
    <row r="892" spans="1:12" s="53" customFormat="1" ht="20.149999999999999" customHeight="1">
      <c r="A892" s="44">
        <v>42795</v>
      </c>
      <c r="B892" s="49"/>
      <c r="C892" s="45" t="s">
        <v>20</v>
      </c>
      <c r="D892" s="89">
        <v>377.25099999999998</v>
      </c>
      <c r="E892" s="89">
        <v>269144.44439999998</v>
      </c>
      <c r="F892" s="90">
        <v>7.5</v>
      </c>
      <c r="G892" s="89">
        <v>2018583.3329999999</v>
      </c>
      <c r="H892" s="89">
        <v>1215</v>
      </c>
      <c r="I892" s="87">
        <v>2452578745.9500003</v>
      </c>
      <c r="J892" s="54" t="s">
        <v>116</v>
      </c>
      <c r="K892" s="89" t="s">
        <v>139</v>
      </c>
      <c r="L892" s="45" t="s">
        <v>105</v>
      </c>
    </row>
    <row r="893" spans="1:12" s="53" customFormat="1" ht="20.149999999999999" customHeight="1">
      <c r="A893" s="44">
        <v>42795</v>
      </c>
      <c r="B893" s="49"/>
      <c r="C893" s="45" t="s">
        <v>20</v>
      </c>
      <c r="D893" s="89">
        <v>0.35699999999999998</v>
      </c>
      <c r="E893" s="89">
        <v>254.69669999999999</v>
      </c>
      <c r="F893" s="90">
        <v>7.5</v>
      </c>
      <c r="G893" s="89">
        <v>1910.22525</v>
      </c>
      <c r="H893" s="89">
        <v>1215</v>
      </c>
      <c r="I893" s="87">
        <v>2320929.4500000002</v>
      </c>
      <c r="J893" s="54" t="s">
        <v>116</v>
      </c>
      <c r="K893" s="89" t="s">
        <v>140</v>
      </c>
      <c r="L893" s="45" t="s">
        <v>105</v>
      </c>
    </row>
    <row r="894" spans="1:12" s="53" customFormat="1" ht="20.149999999999999" customHeight="1">
      <c r="A894" s="44">
        <v>42795</v>
      </c>
      <c r="B894" s="49"/>
      <c r="C894" s="45" t="s">
        <v>20</v>
      </c>
      <c r="D894" s="89">
        <v>737.44899999999996</v>
      </c>
      <c r="E894" s="89">
        <v>526122.66480000003</v>
      </c>
      <c r="F894" s="90">
        <v>7.5</v>
      </c>
      <c r="G894" s="89">
        <v>3945919.986</v>
      </c>
      <c r="H894" s="89">
        <v>1215</v>
      </c>
      <c r="I894" s="87">
        <v>4794292787.8500004</v>
      </c>
      <c r="J894" s="54" t="s">
        <v>116</v>
      </c>
      <c r="K894" s="89" t="s">
        <v>199</v>
      </c>
      <c r="L894" s="45" t="s">
        <v>105</v>
      </c>
    </row>
    <row r="895" spans="1:12" s="53" customFormat="1" ht="20.149999999999999" customHeight="1">
      <c r="A895" s="44">
        <v>42795</v>
      </c>
      <c r="B895" s="49"/>
      <c r="C895" s="45" t="s">
        <v>20</v>
      </c>
      <c r="D895" s="89">
        <v>938.55200000000002</v>
      </c>
      <c r="E895" s="89">
        <v>669596.78469999996</v>
      </c>
      <c r="F895" s="90">
        <v>7.5</v>
      </c>
      <c r="G895" s="89">
        <v>5021975.8852499994</v>
      </c>
      <c r="H895" s="89">
        <v>1215</v>
      </c>
      <c r="I895" s="87">
        <v>6101700706.3499994</v>
      </c>
      <c r="J895" s="54" t="s">
        <v>116</v>
      </c>
      <c r="K895" s="89" t="s">
        <v>182</v>
      </c>
      <c r="L895" s="45" t="s">
        <v>105</v>
      </c>
    </row>
    <row r="896" spans="1:12" s="53" customFormat="1" ht="20.149999999999999" customHeight="1">
      <c r="A896" s="44">
        <v>42795</v>
      </c>
      <c r="B896" s="49"/>
      <c r="C896" s="45" t="s">
        <v>20</v>
      </c>
      <c r="D896" s="89">
        <v>1066.8109999999999</v>
      </c>
      <c r="E896" s="89">
        <v>761101.3726</v>
      </c>
      <c r="F896" s="90">
        <v>7.5</v>
      </c>
      <c r="G896" s="89">
        <v>5708260.2944999998</v>
      </c>
      <c r="H896" s="89">
        <v>1215</v>
      </c>
      <c r="I896" s="87">
        <v>6935536252.3500004</v>
      </c>
      <c r="J896" s="54" t="s">
        <v>116</v>
      </c>
      <c r="K896" s="89" t="s">
        <v>174</v>
      </c>
      <c r="L896" s="45" t="s">
        <v>105</v>
      </c>
    </row>
    <row r="897" spans="1:12" s="53" customFormat="1" ht="20.149999999999999" customHeight="1">
      <c r="A897" s="44">
        <v>42795</v>
      </c>
      <c r="B897" s="49"/>
      <c r="C897" s="45" t="s">
        <v>20</v>
      </c>
      <c r="D897" s="89">
        <v>1307.4880000000001</v>
      </c>
      <c r="E897" s="89">
        <v>932809.00879999995</v>
      </c>
      <c r="F897" s="90">
        <v>7.5</v>
      </c>
      <c r="G897" s="89">
        <v>6996067.5659999996</v>
      </c>
      <c r="H897" s="89">
        <v>1215</v>
      </c>
      <c r="I897" s="87">
        <v>8500222097.5500002</v>
      </c>
      <c r="J897" s="54" t="s">
        <v>116</v>
      </c>
      <c r="K897" s="89" t="s">
        <v>183</v>
      </c>
      <c r="L897" s="45" t="s">
        <v>105</v>
      </c>
    </row>
    <row r="898" spans="1:12" s="53" customFormat="1" ht="20.149999999999999" customHeight="1">
      <c r="A898" s="44">
        <v>42795</v>
      </c>
      <c r="B898" s="49"/>
      <c r="C898" s="45" t="s">
        <v>20</v>
      </c>
      <c r="D898" s="89">
        <v>0.77800000000000002</v>
      </c>
      <c r="E898" s="89">
        <v>555.05319999999995</v>
      </c>
      <c r="F898" s="90">
        <v>7.5</v>
      </c>
      <c r="G898" s="89">
        <v>4162.8989999999994</v>
      </c>
      <c r="H898" s="89">
        <v>1215</v>
      </c>
      <c r="I898" s="87">
        <v>5057923.5</v>
      </c>
      <c r="J898" s="54" t="s">
        <v>116</v>
      </c>
      <c r="K898" s="89" t="s">
        <v>126</v>
      </c>
      <c r="L898" s="45" t="s">
        <v>105</v>
      </c>
    </row>
    <row r="899" spans="1:12" s="53" customFormat="1" ht="20.149999999999999" customHeight="1">
      <c r="A899" s="44">
        <v>42795</v>
      </c>
      <c r="B899" s="49"/>
      <c r="C899" s="45" t="s">
        <v>20</v>
      </c>
      <c r="D899" s="89">
        <v>8.8320000000000007</v>
      </c>
      <c r="E899" s="89">
        <v>6301.0667999999996</v>
      </c>
      <c r="F899" s="90">
        <v>7.5</v>
      </c>
      <c r="G899" s="89">
        <v>47258.000999999997</v>
      </c>
      <c r="H899" s="89">
        <v>1215</v>
      </c>
      <c r="I899" s="87">
        <v>57418470</v>
      </c>
      <c r="J899" s="54" t="s">
        <v>116</v>
      </c>
      <c r="K899" s="89" t="s">
        <v>179</v>
      </c>
      <c r="L899" s="45" t="s">
        <v>105</v>
      </c>
    </row>
    <row r="900" spans="1:12" s="53" customFormat="1" ht="20.149999999999999" customHeight="1">
      <c r="A900" s="44">
        <v>42795</v>
      </c>
      <c r="B900" s="49"/>
      <c r="C900" s="45" t="s">
        <v>20</v>
      </c>
      <c r="D900" s="89">
        <v>1.4430000000000001</v>
      </c>
      <c r="E900" s="89">
        <v>1029.4881</v>
      </c>
      <c r="F900" s="90">
        <v>7.5</v>
      </c>
      <c r="G900" s="89">
        <v>7721.16075</v>
      </c>
      <c r="H900" s="89">
        <v>1215</v>
      </c>
      <c r="I900" s="87">
        <v>9381209.4000000004</v>
      </c>
      <c r="J900" s="54" t="s">
        <v>116</v>
      </c>
      <c r="K900" s="89" t="s">
        <v>194</v>
      </c>
      <c r="L900" s="45" t="s">
        <v>105</v>
      </c>
    </row>
    <row r="901" spans="1:12" s="53" customFormat="1" ht="20.149999999999999" customHeight="1">
      <c r="A901" s="44">
        <v>42795</v>
      </c>
      <c r="B901" s="49"/>
      <c r="C901" s="45" t="s">
        <v>20</v>
      </c>
      <c r="D901" s="89">
        <v>1.2E-2</v>
      </c>
      <c r="E901" s="89">
        <v>8.5611999999999995</v>
      </c>
      <c r="F901" s="90">
        <v>7.5</v>
      </c>
      <c r="G901" s="89">
        <v>64.209000000000003</v>
      </c>
      <c r="H901" s="89">
        <v>1215</v>
      </c>
      <c r="I901" s="87">
        <v>78015.149999999994</v>
      </c>
      <c r="J901" s="54" t="s">
        <v>116</v>
      </c>
      <c r="K901" s="89" t="s">
        <v>203</v>
      </c>
      <c r="L901" s="45" t="s">
        <v>105</v>
      </c>
    </row>
    <row r="902" spans="1:12" s="53" customFormat="1" ht="20.149999999999999" customHeight="1">
      <c r="A902" s="44">
        <v>42795</v>
      </c>
      <c r="B902" s="49"/>
      <c r="C902" s="45" t="s">
        <v>20</v>
      </c>
      <c r="D902" s="89">
        <v>1.2509999999999999</v>
      </c>
      <c r="E902" s="89">
        <v>892.50840000000005</v>
      </c>
      <c r="F902" s="90">
        <v>7.5</v>
      </c>
      <c r="G902" s="89">
        <v>6693.8130000000001</v>
      </c>
      <c r="H902" s="89">
        <v>1215</v>
      </c>
      <c r="I902" s="87">
        <v>8132979.1500000004</v>
      </c>
      <c r="J902" s="54" t="s">
        <v>116</v>
      </c>
      <c r="K902" s="89" t="s">
        <v>145</v>
      </c>
      <c r="L902" s="45" t="s">
        <v>105</v>
      </c>
    </row>
    <row r="903" spans="1:12" s="53" customFormat="1" ht="20.149999999999999" customHeight="1">
      <c r="A903" s="44">
        <v>42795</v>
      </c>
      <c r="B903" s="49"/>
      <c r="C903" s="45" t="s">
        <v>20</v>
      </c>
      <c r="D903" s="89">
        <v>0.442</v>
      </c>
      <c r="E903" s="89">
        <v>315.33870000000002</v>
      </c>
      <c r="F903" s="90">
        <v>2.5468999999999999</v>
      </c>
      <c r="G903" s="89">
        <v>1125.7298000000001</v>
      </c>
      <c r="H903" s="89">
        <v>1215</v>
      </c>
      <c r="I903" s="87">
        <v>1367761.95</v>
      </c>
      <c r="J903" s="54" t="s">
        <v>116</v>
      </c>
      <c r="K903" s="89" t="s">
        <v>147</v>
      </c>
      <c r="L903" s="45" t="s">
        <v>105</v>
      </c>
    </row>
    <row r="904" spans="1:12" s="53" customFormat="1" ht="20.149999999999999" customHeight="1">
      <c r="A904" s="44">
        <v>42795</v>
      </c>
      <c r="B904" s="49"/>
      <c r="C904" s="45" t="s">
        <v>20</v>
      </c>
      <c r="D904" s="89">
        <v>1.802</v>
      </c>
      <c r="E904" s="89">
        <v>1285.6116999999999</v>
      </c>
      <c r="F904" s="90">
        <v>2.5468999999999999</v>
      </c>
      <c r="G904" s="89">
        <v>4589.5137999999997</v>
      </c>
      <c r="H904" s="89">
        <v>1215</v>
      </c>
      <c r="I904" s="87">
        <v>5576254.6500000004</v>
      </c>
      <c r="J904" s="54" t="s">
        <v>116</v>
      </c>
      <c r="K904" s="89" t="s">
        <v>148</v>
      </c>
      <c r="L904" s="45" t="s">
        <v>105</v>
      </c>
    </row>
    <row r="905" spans="1:12" s="53" customFormat="1" ht="20.149999999999999" customHeight="1">
      <c r="A905" s="44">
        <v>42795</v>
      </c>
      <c r="B905" s="49"/>
      <c r="C905" s="45" t="s">
        <v>20</v>
      </c>
      <c r="D905" s="89">
        <v>0.29799999999999999</v>
      </c>
      <c r="E905" s="89">
        <v>212.60390000000001</v>
      </c>
      <c r="F905" s="90">
        <v>2.5468999999999999</v>
      </c>
      <c r="G905" s="89">
        <v>758.97619999999995</v>
      </c>
      <c r="H905" s="89">
        <v>1215</v>
      </c>
      <c r="I905" s="87">
        <v>922160.70000000007</v>
      </c>
      <c r="J905" s="54" t="s">
        <v>116</v>
      </c>
      <c r="K905" s="89" t="s">
        <v>149</v>
      </c>
      <c r="L905" s="45" t="s">
        <v>105</v>
      </c>
    </row>
    <row r="906" spans="1:12" s="53" customFormat="1" ht="20.149999999999999" customHeight="1">
      <c r="A906" s="44">
        <v>42795</v>
      </c>
      <c r="B906" s="49"/>
      <c r="C906" s="45" t="s">
        <v>20</v>
      </c>
      <c r="D906" s="89">
        <v>0.218</v>
      </c>
      <c r="E906" s="89">
        <v>155.529</v>
      </c>
      <c r="F906" s="90">
        <v>2.5468999999999999</v>
      </c>
      <c r="G906" s="89">
        <v>555.23419999999999</v>
      </c>
      <c r="H906" s="89">
        <v>1215</v>
      </c>
      <c r="I906" s="87">
        <v>674604.45000000007</v>
      </c>
      <c r="J906" s="54" t="s">
        <v>116</v>
      </c>
      <c r="K906" s="89" t="s">
        <v>150</v>
      </c>
      <c r="L906" s="45" t="s">
        <v>105</v>
      </c>
    </row>
    <row r="907" spans="1:12" s="53" customFormat="1" ht="20.149999999999999" customHeight="1">
      <c r="A907" s="44">
        <v>42795</v>
      </c>
      <c r="B907" s="49"/>
      <c r="C907" s="45" t="s">
        <v>20</v>
      </c>
      <c r="D907" s="89">
        <v>6.8000000000000005E-2</v>
      </c>
      <c r="E907" s="89">
        <v>48.513599999999997</v>
      </c>
      <c r="F907" s="90">
        <v>2.5468999999999999</v>
      </c>
      <c r="G907" s="89">
        <v>173.18920000000003</v>
      </c>
      <c r="H907" s="89">
        <v>1215</v>
      </c>
      <c r="I907" s="87">
        <v>210425.85</v>
      </c>
      <c r="J907" s="54" t="s">
        <v>116</v>
      </c>
      <c r="K907" s="89" t="s">
        <v>151</v>
      </c>
      <c r="L907" s="45" t="s">
        <v>105</v>
      </c>
    </row>
    <row r="908" spans="1:12" s="53" customFormat="1" ht="20.149999999999999" customHeight="1">
      <c r="A908" s="44">
        <v>42795</v>
      </c>
      <c r="B908" s="49"/>
      <c r="C908" s="45" t="s">
        <v>20</v>
      </c>
      <c r="D908" s="89">
        <v>1.0680000000000001</v>
      </c>
      <c r="E908" s="89">
        <v>761.94960000000003</v>
      </c>
      <c r="F908" s="90">
        <v>2.5468999999999999</v>
      </c>
      <c r="G908" s="89">
        <v>2720.0891999999999</v>
      </c>
      <c r="H908" s="89">
        <v>1215</v>
      </c>
      <c r="I908" s="87">
        <v>3304909.35</v>
      </c>
      <c r="J908" s="54" t="s">
        <v>116</v>
      </c>
      <c r="K908" s="89" t="s">
        <v>152</v>
      </c>
      <c r="L908" s="45" t="s">
        <v>105</v>
      </c>
    </row>
    <row r="909" spans="1:12" s="53" customFormat="1" ht="20.149999999999999" customHeight="1">
      <c r="A909" s="44">
        <v>42795</v>
      </c>
      <c r="B909" s="49"/>
      <c r="C909" s="45" t="s">
        <v>20</v>
      </c>
      <c r="D909" s="89">
        <v>3.4369999999999998</v>
      </c>
      <c r="E909" s="89">
        <v>2452.0794999999998</v>
      </c>
      <c r="F909" s="90">
        <v>2.5468999999999999</v>
      </c>
      <c r="G909" s="89">
        <v>8753.6952999999994</v>
      </c>
      <c r="H909" s="89">
        <v>1215</v>
      </c>
      <c r="I909" s="87">
        <v>10635745.5</v>
      </c>
      <c r="J909" s="54" t="s">
        <v>116</v>
      </c>
      <c r="K909" s="89" t="s">
        <v>159</v>
      </c>
      <c r="L909" s="45" t="s">
        <v>105</v>
      </c>
    </row>
    <row r="910" spans="1:12" s="53" customFormat="1" ht="20.149999999999999" customHeight="1">
      <c r="A910" s="44">
        <v>42795</v>
      </c>
      <c r="B910" s="49"/>
      <c r="C910" s="45" t="s">
        <v>20</v>
      </c>
      <c r="D910" s="89">
        <v>2.9319999999999999</v>
      </c>
      <c r="E910" s="89">
        <v>2091.7944000000002</v>
      </c>
      <c r="F910" s="90">
        <v>2.5468999999999999</v>
      </c>
      <c r="G910" s="89">
        <v>7467.5107999999991</v>
      </c>
      <c r="H910" s="89">
        <v>1215</v>
      </c>
      <c r="I910" s="87">
        <v>9073024.6500000004</v>
      </c>
      <c r="J910" s="54" t="s">
        <v>116</v>
      </c>
      <c r="K910" s="89" t="s">
        <v>153</v>
      </c>
      <c r="L910" s="45" t="s">
        <v>105</v>
      </c>
    </row>
    <row r="911" spans="1:12" s="53" customFormat="1" ht="20.149999999999999" customHeight="1">
      <c r="A911" s="44">
        <v>42795</v>
      </c>
      <c r="B911" s="49"/>
      <c r="C911" s="45" t="s">
        <v>20</v>
      </c>
      <c r="D911" s="89">
        <v>0.64300000000000002</v>
      </c>
      <c r="E911" s="89">
        <v>458.73930000000001</v>
      </c>
      <c r="F911" s="90">
        <v>2.5468999999999999</v>
      </c>
      <c r="G911" s="89">
        <v>1637.6567</v>
      </c>
      <c r="H911" s="89">
        <v>1215</v>
      </c>
      <c r="I911" s="87">
        <v>1989756.9000000001</v>
      </c>
      <c r="J911" s="54" t="s">
        <v>116</v>
      </c>
      <c r="K911" s="89" t="s">
        <v>154</v>
      </c>
      <c r="L911" s="45" t="s">
        <v>105</v>
      </c>
    </row>
    <row r="912" spans="1:12" s="53" customFormat="1" ht="20.149999999999999" customHeight="1">
      <c r="A912" s="44">
        <v>42795</v>
      </c>
      <c r="B912" s="49"/>
      <c r="C912" s="45" t="s">
        <v>20</v>
      </c>
      <c r="D912" s="89">
        <v>9.4090000000000007</v>
      </c>
      <c r="E912" s="89">
        <v>6712.7192999999997</v>
      </c>
      <c r="F912" s="90">
        <v>2.5468999999999999</v>
      </c>
      <c r="G912" s="89">
        <v>23963.7821</v>
      </c>
      <c r="H912" s="89">
        <v>1215</v>
      </c>
      <c r="I912" s="87">
        <v>29115992.699999999</v>
      </c>
      <c r="J912" s="54" t="s">
        <v>116</v>
      </c>
      <c r="K912" s="89" t="s">
        <v>178</v>
      </c>
      <c r="L912" s="45" t="s">
        <v>105</v>
      </c>
    </row>
    <row r="913" spans="1:12" s="53" customFormat="1" ht="20.149999999999999" customHeight="1">
      <c r="A913" s="44">
        <v>42795</v>
      </c>
      <c r="B913" s="49"/>
      <c r="C913" s="45" t="s">
        <v>20</v>
      </c>
      <c r="D913" s="89">
        <v>0.59199999999999997</v>
      </c>
      <c r="E913" s="89">
        <v>422.35410000000002</v>
      </c>
      <c r="F913" s="90">
        <v>2.5468999999999999</v>
      </c>
      <c r="G913" s="89">
        <v>1507.7747999999999</v>
      </c>
      <c r="H913" s="89">
        <v>1215</v>
      </c>
      <c r="I913" s="87">
        <v>1831940.55</v>
      </c>
      <c r="J913" s="54" t="s">
        <v>116</v>
      </c>
      <c r="K913" s="89" t="s">
        <v>160</v>
      </c>
      <c r="L913" s="45" t="s">
        <v>105</v>
      </c>
    </row>
    <row r="914" spans="1:12" s="53" customFormat="1" ht="20.149999999999999" customHeight="1">
      <c r="A914" s="44">
        <v>42795</v>
      </c>
      <c r="B914" s="49"/>
      <c r="C914" s="45" t="s">
        <v>20</v>
      </c>
      <c r="D914" s="89">
        <v>0.311</v>
      </c>
      <c r="E914" s="89">
        <v>221.87860000000001</v>
      </c>
      <c r="F914" s="90">
        <v>2.5468999999999999</v>
      </c>
      <c r="G914" s="89">
        <v>792.08590000000004</v>
      </c>
      <c r="H914" s="89">
        <v>1215</v>
      </c>
      <c r="I914" s="87">
        <v>962389.35000000009</v>
      </c>
      <c r="J914" s="54" t="s">
        <v>116</v>
      </c>
      <c r="K914" s="89" t="s">
        <v>201</v>
      </c>
      <c r="L914" s="45" t="s">
        <v>105</v>
      </c>
    </row>
    <row r="915" spans="1:12" s="53" customFormat="1" ht="20.149999999999999" customHeight="1">
      <c r="A915" s="44">
        <v>42795</v>
      </c>
      <c r="B915" s="49"/>
      <c r="C915" s="45" t="s">
        <v>20</v>
      </c>
      <c r="D915" s="89">
        <v>0.23599999999999999</v>
      </c>
      <c r="E915" s="89">
        <v>168.37090000000001</v>
      </c>
      <c r="F915" s="90">
        <v>2.5468999999999999</v>
      </c>
      <c r="G915" s="89">
        <v>601.0684</v>
      </c>
      <c r="H915" s="89">
        <v>1215</v>
      </c>
      <c r="I915" s="87">
        <v>730300.05</v>
      </c>
      <c r="J915" s="54" t="s">
        <v>116</v>
      </c>
      <c r="K915" s="89" t="s">
        <v>156</v>
      </c>
      <c r="L915" s="45" t="s">
        <v>105</v>
      </c>
    </row>
    <row r="916" spans="1:12" s="53" customFormat="1" ht="20.149999999999999" customHeight="1">
      <c r="A916" s="94"/>
      <c r="B916" s="95"/>
      <c r="C916" s="96"/>
      <c r="D916" s="111" t="s">
        <v>207</v>
      </c>
      <c r="E916" s="111"/>
      <c r="F916" s="111"/>
      <c r="G916" s="97"/>
      <c r="H916" s="97"/>
      <c r="I916" s="98">
        <f>SUM(I370:I915)</f>
        <v>383986107874.79987</v>
      </c>
      <c r="J916" s="99"/>
      <c r="K916" s="97"/>
      <c r="L916" s="100"/>
    </row>
    <row r="917" spans="1:12" ht="19.5" customHeight="1">
      <c r="A917" s="56"/>
      <c r="B917" s="57"/>
      <c r="C917" s="57"/>
      <c r="D917" s="57"/>
      <c r="E917" s="57"/>
      <c r="F917" s="58"/>
      <c r="G917" s="112" t="s">
        <v>208</v>
      </c>
      <c r="H917" s="112"/>
      <c r="I917" s="59">
        <f>I105+I334+I369+I916</f>
        <v>854913183360.44995</v>
      </c>
      <c r="J917" s="59">
        <f>SUM(J68:J916)</f>
        <v>0</v>
      </c>
      <c r="K917" s="93"/>
      <c r="L917" s="57"/>
    </row>
  </sheetData>
  <mergeCells count="5">
    <mergeCell ref="A105:F105"/>
    <mergeCell ref="D334:F334"/>
    <mergeCell ref="D369:F369"/>
    <mergeCell ref="D916:F916"/>
    <mergeCell ref="G917:H917"/>
  </mergeCells>
  <printOptions horizontalCentered="1"/>
  <pageMargins left="0.2" right="0.2" top="0.75" bottom="0.25" header="0.3" footer="0.3"/>
  <pageSetup paperSize="9" scale="23" orientation="landscape" r:id="rId1"/>
  <ignoredErrors>
    <ignoredError sqref="G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MOGE's Sale (Onshore)</vt:lpstr>
      <vt:lpstr>MOGE's Sale (Offshore)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Aye Thagyan</dc:creator>
  <cp:lastModifiedBy>April Aye Thagyan</cp:lastModifiedBy>
  <dcterms:created xsi:type="dcterms:W3CDTF">2019-03-30T05:37:40Z</dcterms:created>
  <dcterms:modified xsi:type="dcterms:W3CDTF">2019-04-11T20:49:39Z</dcterms:modified>
</cp:coreProperties>
</file>