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etoki\Documents\SUAI_09.03.02\4_semester\ИТ\4 лр\"/>
    </mc:Choice>
  </mc:AlternateContent>
  <xr:revisionPtr revIDLastSave="0" documentId="13_ncr:1_{1EDF27DE-6624-4EF5-8A77-CCE4DC6E9E92}" xr6:coauthVersionLast="47" xr6:coauthVersionMax="47" xr10:uidLastSave="{00000000-0000-0000-0000-000000000000}"/>
  <bookViews>
    <workbookView xWindow="-60" yWindow="-60" windowWidth="19320" windowHeight="12120" tabRatio="807" activeTab="5" xr2:uid="{00000000-000D-0000-FFFF-FFFF00000000}"/>
  </bookViews>
  <sheets>
    <sheet name="Сведенья о сотрудниках" sheetId="1" r:id="rId1"/>
    <sheet name="Премиальные баллы" sheetId="3" r:id="rId2"/>
    <sheet name="Штрафные баллы" sheetId="5" r:id="rId3"/>
    <sheet name="Рассчёты" sheetId="2" r:id="rId4"/>
    <sheet name="Поиск информации" sheetId="6" r:id="rId5"/>
    <sheet name="Отчёты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5" l="1"/>
  <c r="F5" i="6"/>
  <c r="E5" i="6"/>
  <c r="D5" i="6"/>
  <c r="B11" i="6"/>
  <c r="C11" i="6"/>
  <c r="D11" i="6"/>
  <c r="E11" i="6"/>
  <c r="A11" i="6"/>
  <c r="B8" i="6"/>
  <c r="C8" i="6"/>
  <c r="A8" i="6"/>
  <c r="B5" i="6"/>
  <c r="A5" i="6"/>
  <c r="B1" i="6"/>
  <c r="D6" i="2" l="1"/>
  <c r="D7" i="2"/>
  <c r="D8" i="2"/>
  <c r="D9" i="2"/>
  <c r="D10" i="2"/>
  <c r="D12" i="2"/>
  <c r="D15" i="2"/>
  <c r="D5" i="2"/>
  <c r="C14" i="6" s="1"/>
  <c r="A2" i="2"/>
  <c r="C10" i="2"/>
  <c r="C13" i="2"/>
  <c r="E5" i="3"/>
  <c r="C8" i="2" s="1"/>
  <c r="E2" i="3"/>
  <c r="D8" i="6" s="1"/>
  <c r="G3" i="1"/>
  <c r="B6" i="2" s="1" a="1"/>
  <c r="B6" i="2" s="1"/>
  <c r="G4" i="1"/>
  <c r="B7" i="2" s="1" a="1"/>
  <c r="B7" i="2" s="1"/>
  <c r="G5" i="1"/>
  <c r="B8" i="2" s="1" a="1"/>
  <c r="B8" i="2" s="1"/>
  <c r="G6" i="1"/>
  <c r="B9" i="2" s="1" a="1"/>
  <c r="B9" i="2" s="1"/>
  <c r="G7" i="1"/>
  <c r="B10" i="2" s="1" a="1"/>
  <c r="B10" i="2" s="1"/>
  <c r="G8" i="1"/>
  <c r="B11" i="2" s="1" a="1"/>
  <c r="B11" i="2" s="1"/>
  <c r="G9" i="1"/>
  <c r="B12" i="2" s="1" a="1"/>
  <c r="B12" i="2" s="1"/>
  <c r="G10" i="1"/>
  <c r="B13" i="2" s="1" a="1"/>
  <c r="B13" i="2" s="1"/>
  <c r="G11" i="1"/>
  <c r="B14" i="2" s="1" a="1"/>
  <c r="B14" i="2" s="1"/>
  <c r="G12" i="1"/>
  <c r="B15" i="2" s="1" a="1"/>
  <c r="B15" i="2" s="1"/>
  <c r="G2" i="1"/>
  <c r="B5" i="2" s="1" a="1"/>
  <c r="B5" i="2" s="1"/>
  <c r="F6" i="5"/>
  <c r="F7" i="5"/>
  <c r="F8" i="5"/>
  <c r="F9" i="5"/>
  <c r="F10" i="5"/>
  <c r="D13" i="2" s="1"/>
  <c r="F11" i="5"/>
  <c r="F5" i="5"/>
  <c r="F4" i="5"/>
  <c r="F3" i="5"/>
  <c r="F2" i="5"/>
  <c r="E3" i="3"/>
  <c r="C6" i="2" s="1"/>
  <c r="E4" i="3"/>
  <c r="C7" i="2" s="1"/>
  <c r="E6" i="3"/>
  <c r="C9" i="2" s="1"/>
  <c r="E7" i="3"/>
  <c r="E8" i="3"/>
  <c r="C11" i="2" s="1"/>
  <c r="E9" i="3"/>
  <c r="E10" i="3"/>
  <c r="E11" i="3"/>
  <c r="C14" i="2" s="1"/>
  <c r="E12" i="3"/>
  <c r="C15" i="2" s="1"/>
  <c r="B2" i="2"/>
  <c r="C2" i="7" l="1"/>
  <c r="A4" i="7" s="1"/>
  <c r="C4" i="7" s="1"/>
  <c r="C5" i="2"/>
  <c r="B14" i="6" s="1"/>
  <c r="C12" i="2"/>
  <c r="D4" i="7"/>
  <c r="B4" i="7"/>
  <c r="E10" i="2"/>
  <c r="C2" i="2"/>
  <c r="E9" i="2"/>
  <c r="H2" i="7"/>
  <c r="F4" i="7"/>
  <c r="D14" i="2"/>
  <c r="D11" i="2"/>
  <c r="E11" i="2" s="1"/>
  <c r="C5" i="6"/>
  <c r="E8" i="2"/>
  <c r="E7" i="2"/>
  <c r="E6" i="2"/>
  <c r="E15" i="2"/>
  <c r="E14" i="2"/>
  <c r="E13" i="2"/>
  <c r="E12" i="2"/>
  <c r="H4" i="7" l="1"/>
  <c r="G4" i="7"/>
  <c r="I4" i="7"/>
  <c r="E5" i="2"/>
  <c r="D14" i="6" s="1"/>
  <c r="A14" i="6"/>
  <c r="E16" i="2" l="1"/>
  <c r="F16" i="2" s="1" a="1"/>
  <c r="F16" i="2" s="1"/>
  <c r="F12" i="2" l="1" a="1"/>
  <c r="F12" i="2" s="1"/>
  <c r="F8" i="2" a="1"/>
  <c r="F8" i="2" s="1"/>
  <c r="F9" i="2" a="1"/>
  <c r="F9" i="2" s="1"/>
  <c r="F10" i="2" a="1"/>
  <c r="F10" i="2" s="1"/>
  <c r="F7" i="2" a="1"/>
  <c r="F7" i="2" s="1"/>
  <c r="F11" i="2" a="1"/>
  <c r="F11" i="2" s="1"/>
  <c r="F13" i="2" a="1"/>
  <c r="F13" i="2" s="1"/>
  <c r="F14" i="2" a="1"/>
  <c r="F14" i="2" s="1"/>
  <c r="F15" i="2" a="1"/>
  <c r="F15" i="2" s="1"/>
  <c r="F5" i="2" a="1"/>
  <c r="F5" i="2" s="1"/>
  <c r="E14" i="6" s="1"/>
  <c r="F6" i="2" a="1"/>
  <c r="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<sst xmlns="http://schemas.openxmlformats.org/spreadsheetml/2006/main" count="134" uniqueCount="103">
  <si>
    <t>ID</t>
  </si>
  <si>
    <t>Имя</t>
  </si>
  <si>
    <t>Фамилия</t>
  </si>
  <si>
    <t>Отчество</t>
  </si>
  <si>
    <t>Бахтина</t>
  </si>
  <si>
    <t>Татьяна</t>
  </si>
  <si>
    <t>Алексеевна</t>
  </si>
  <si>
    <t>Матвеева</t>
  </si>
  <si>
    <t>Антонина</t>
  </si>
  <si>
    <t>Миркулова</t>
  </si>
  <si>
    <t>Анастасия</t>
  </si>
  <si>
    <t>Павловна</t>
  </si>
  <si>
    <t>Сергеевна</t>
  </si>
  <si>
    <t>Кравченко</t>
  </si>
  <si>
    <t>Фёдор</t>
  </si>
  <si>
    <t>Михайлович</t>
  </si>
  <si>
    <t>Веселов</t>
  </si>
  <si>
    <t>Алексей</t>
  </si>
  <si>
    <t>Сергеевич</t>
  </si>
  <si>
    <t>Ремизова</t>
  </si>
  <si>
    <t>Михайловна</t>
  </si>
  <si>
    <t>Ламова</t>
  </si>
  <si>
    <t>Елизавета</t>
  </si>
  <si>
    <t>Пастушенко</t>
  </si>
  <si>
    <t>Майя</t>
  </si>
  <si>
    <t>Максимовна</t>
  </si>
  <si>
    <t>Романенко</t>
  </si>
  <si>
    <t>Наталья</t>
  </si>
  <si>
    <t>Николаевна</t>
  </si>
  <si>
    <t>Сагайдачная</t>
  </si>
  <si>
    <t>Грек</t>
  </si>
  <si>
    <t>Зоя</t>
  </si>
  <si>
    <t>Антоновна</t>
  </si>
  <si>
    <t>Стаж</t>
  </si>
  <si>
    <t>Зарплата</t>
  </si>
  <si>
    <t>Средняя зп</t>
  </si>
  <si>
    <t>Затраты на зп</t>
  </si>
  <si>
    <t>Благодарность клиента</t>
  </si>
  <si>
    <t>Сверхурочная работа</t>
  </si>
  <si>
    <t>Перевыполнение плана</t>
  </si>
  <si>
    <t>Итого</t>
  </si>
  <si>
    <t>ID сотрудника</t>
  </si>
  <si>
    <t>Кол-во работников</t>
  </si>
  <si>
    <t>Жалобы клиентов</t>
  </si>
  <si>
    <t>Опоздание</t>
  </si>
  <si>
    <t>Прогул</t>
  </si>
  <si>
    <t>Нарушение требований безопасности</t>
  </si>
  <si>
    <t>Дата поступления</t>
  </si>
  <si>
    <t>Адрес</t>
  </si>
  <si>
    <t>Телефон</t>
  </si>
  <si>
    <t>ул.Рандомная, д.1</t>
  </si>
  <si>
    <t>ул.Рандомная, д.2</t>
  </si>
  <si>
    <t>ул.Рандомная, д.3</t>
  </si>
  <si>
    <t>ул.Рандомная, д.4</t>
  </si>
  <si>
    <t>ул.Рандомная, д.5</t>
  </si>
  <si>
    <t>ул.Рандомная, д.6</t>
  </si>
  <si>
    <t>ул.Рандомная, д.7</t>
  </si>
  <si>
    <t>ул.Рандомная, д.8</t>
  </si>
  <si>
    <t>ул.Рандомная, д.9</t>
  </si>
  <si>
    <t>ул.Рандомная, д.10</t>
  </si>
  <si>
    <t>ул.Рандомная, д.11</t>
  </si>
  <si>
    <t>"+7(111) 111-11-11"</t>
  </si>
  <si>
    <t>"+7(222) 222-22-22"</t>
  </si>
  <si>
    <t>"+7(333) 333-33-33"</t>
  </si>
  <si>
    <t>"+7(444) 444-44-44"</t>
  </si>
  <si>
    <t>"+7(555) 555-55-55"</t>
  </si>
  <si>
    <t>"+7(666) 666-66-66"</t>
  </si>
  <si>
    <t>"+7(777) 777-77-77"</t>
  </si>
  <si>
    <t>"+7(888) 888-88-88"</t>
  </si>
  <si>
    <t>"+7(999) 999-99-99"</t>
  </si>
  <si>
    <t>"+7(100) 000-00-00"</t>
  </si>
  <si>
    <t>"+7(211) 111-11-11"</t>
  </si>
  <si>
    <t>Цена за год стажа</t>
  </si>
  <si>
    <t>Цена за премиальный балл</t>
  </si>
  <si>
    <t>Цена за штрафной балл</t>
  </si>
  <si>
    <t>Премия за стаж</t>
  </si>
  <si>
    <t>Премия за баллы</t>
  </si>
  <si>
    <t>Штраф за баллы</t>
  </si>
  <si>
    <t>Премия без учёта сметы</t>
  </si>
  <si>
    <t>Премия с учётом сметы</t>
  </si>
  <si>
    <t>Смета на премию</t>
  </si>
  <si>
    <t>Итого:</t>
  </si>
  <si>
    <t>Дата приёма на работу</t>
  </si>
  <si>
    <t>Штрафы</t>
  </si>
  <si>
    <t>Итого без сметы</t>
  </si>
  <si>
    <t>Итого со сметой</t>
  </si>
  <si>
    <t>Должность</t>
  </si>
  <si>
    <t>Генеральный директор</t>
  </si>
  <si>
    <t>Исполнительный директор</t>
  </si>
  <si>
    <t>Руководитель отдела А</t>
  </si>
  <si>
    <t>Бухгалтер</t>
  </si>
  <si>
    <t>Технический писатель</t>
  </si>
  <si>
    <t>Консультант</t>
  </si>
  <si>
    <t>Сисадмин</t>
  </si>
  <si>
    <t>Юрист</t>
  </si>
  <si>
    <t>Уборщица</t>
  </si>
  <si>
    <t>Разработчик</t>
  </si>
  <si>
    <t>Дизайнер</t>
  </si>
  <si>
    <t>Номер</t>
  </si>
  <si>
    <t>Балл</t>
  </si>
  <si>
    <t>Сотрудники с максимальным плюсом:</t>
  </si>
  <si>
    <t>Сотрудники с максимальным минусом:</t>
  </si>
  <si>
    <t>тут нада 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</si>
</sst>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4" fillId="3" borderId="1" xfId="0" applyFont="1" applyFill="1" applyBorder="1"/>
    <xf numFmtId="0" fontId="1" fillId="5" borderId="1" xfId="2" applyBorder="1"/>
    <xf numFmtId="0" fontId="4" fillId="4" borderId="1" xfId="1" applyFont="1" applyBorder="1"/>
  </cellXfs>
  <cellStyles count="3">
    <cellStyle name="20% — акцент4" xfId="1" builtinId="42"/>
    <cellStyle name="60% — акцент4" xfId="2" builtinId="44"/>
    <cellStyle name="Обычный" xfId="0" builtinId="0"/>
  </cellStyles>
  <dxfs count="1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numFmt numFmtId="0" formatCode="General"/>
    </dxf>
    <dxf>
      <numFmt numFmtId="164" formatCode="#,##0.00\ &quot;₽&quot;"/>
    </dxf>
    <dxf>
      <numFmt numFmtId="164" formatCode="#,##0.00\ &quot;₽&quot;"/>
    </dxf>
    <dxf>
      <numFmt numFmtId="164" formatCode="#,##0.00\ &quot;₽&quot;"/>
    </dxf>
    <dxf>
      <numFmt numFmtId="164" formatCode="#,##0.00\ &quot;₽&quot;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numFmt numFmtId="19" formatCode="dd/mm/yyyy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штажа сотрудников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'Сведенья о сотрудниках'!$A$2:$B$12</c:f>
              <c:multiLvlStrCache>
                <c:ptCount val="11"/>
                <c:lvl>
                  <c:pt idx="0">
                    <c:v>Бахтина</c:v>
                  </c:pt>
                  <c:pt idx="1">
                    <c:v>Матвеева</c:v>
                  </c:pt>
                  <c:pt idx="2">
                    <c:v>Миркулова</c:v>
                  </c:pt>
                  <c:pt idx="3">
                    <c:v>Кравченко</c:v>
                  </c:pt>
                  <c:pt idx="4">
                    <c:v>Веселов</c:v>
                  </c:pt>
                  <c:pt idx="5">
                    <c:v>Ремизова</c:v>
                  </c:pt>
                  <c:pt idx="6">
                    <c:v>Ламова</c:v>
                  </c:pt>
                  <c:pt idx="7">
                    <c:v>Пастушенко</c:v>
                  </c:pt>
                  <c:pt idx="8">
                    <c:v>Романенко</c:v>
                  </c:pt>
                  <c:pt idx="9">
                    <c:v>Сагайдачная</c:v>
                  </c:pt>
                  <c:pt idx="10">
                    <c:v>Грек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</c:lvl>
              </c:multiLvlStrCache>
            </c:multiLvlStrRef>
          </c:cat>
          <c:val>
            <c:numRef>
              <c:f>'Сведенья о сотрудниках'!$G$2:$G$12</c:f>
              <c:numCache>
                <c:formatCode>0.00</c:formatCode>
                <c:ptCount val="11"/>
                <c:pt idx="0">
                  <c:v>23</c:v>
                </c:pt>
                <c:pt idx="1">
                  <c:v>22</c:v>
                </c:pt>
                <c:pt idx="2">
                  <c:v>23</c:v>
                </c:pt>
                <c:pt idx="3">
                  <c:v>21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31</c:v>
                </c:pt>
                <c:pt idx="9">
                  <c:v>35</c:v>
                </c:pt>
                <c:pt idx="1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1-4239-BEA5-1E07C054D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694320"/>
        <c:axId val="1732687120"/>
      </c:barChart>
      <c:catAx>
        <c:axId val="173269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2687120"/>
        <c:crosses val="autoZero"/>
        <c:auto val="1"/>
        <c:lblAlgn val="ctr"/>
        <c:lblOffset val="100"/>
        <c:noMultiLvlLbl val="0"/>
      </c:catAx>
      <c:valAx>
        <c:axId val="173268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269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13</xdr:row>
      <xdr:rowOff>0</xdr:rowOff>
    </xdr:from>
    <xdr:to>
      <xdr:col>7</xdr:col>
      <xdr:colOff>9526</xdr:colOff>
      <xdr:row>28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A3662B6-8FDF-CF2B-8AC9-504F71480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752B64-10C9-4630-8739-C44408A24514}" name="Сотрудники" displayName="Сотрудники" ref="A1:J12" totalsRowShown="0">
  <autoFilter ref="A1:J12" xr:uid="{52752B64-10C9-4630-8739-C44408A24514}"/>
  <tableColumns count="10">
    <tableColumn id="1" xr3:uid="{DF07C117-DEA8-4BB1-BD38-7766AC990305}" name="ID"/>
    <tableColumn id="2" xr3:uid="{B90E1636-22F6-4652-A6EA-4589E20831AA}" name="Фамилия"/>
    <tableColumn id="3" xr3:uid="{07466E81-CD5D-47F9-837A-D13637824B19}" name="Имя"/>
    <tableColumn id="4" xr3:uid="{308F2825-8017-4694-8452-BB09BA6B3F59}" name="Отчество"/>
    <tableColumn id="5" xr3:uid="{69FE0A1F-67A2-4B5E-B252-9660B3401FEB}" name="Зарплата"/>
    <tableColumn id="6" xr3:uid="{0BEE6AB4-5308-42B0-83F0-B4B55BD50757}" name="Дата поступления" dataDxfId="11"/>
    <tableColumn id="7" xr3:uid="{33B10771-DDA1-43FE-8917-B42CE1848953}" name="Стаж" dataDxfId="10">
      <calculatedColumnFormula>(YEAR(NOW())-YEAR(F2))</calculatedColumnFormula>
    </tableColumn>
    <tableColumn id="8" xr3:uid="{3E0C944F-00B3-437B-80F1-1891A19BE574}" name="Адрес" dataDxfId="9"/>
    <tableColumn id="9" xr3:uid="{548B8B76-F99B-4F24-8D36-B4742753138B}" name="Телефон"/>
    <tableColumn id="10" xr3:uid="{49E2DD79-FDC6-4FEB-9AF9-E7E7B97EFA42}" name="Должность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E7FA52-B4C6-48DB-8CF3-539AA9B2CFEA}" name="ПлюсБ" displayName="ПлюсБ" ref="A1:E12" totalsRowShown="0" headerRowDxfId="1">
  <autoFilter ref="A1:E12" xr:uid="{5FE7FA52-B4C6-48DB-8CF3-539AA9B2CFEA}"/>
  <tableColumns count="5">
    <tableColumn id="1" xr3:uid="{8AD58E7B-392E-4F2B-9F43-1DE8FFA3963B}" name="ID сотрудника" dataDxfId="0"/>
    <tableColumn id="2" xr3:uid="{47B4CDDF-DDA6-4942-A058-29FEF161B2C1}" name="Благодарность клиента"/>
    <tableColumn id="3" xr3:uid="{C6F59C56-0D68-487E-BB3C-8A9DFA70547B}" name="Сверхурочная работа"/>
    <tableColumn id="4" xr3:uid="{D99035DB-2FF0-4C57-AAB0-40911CFF500D}" name="Перевыполнение плана"/>
    <tableColumn id="5" xr3:uid="{B7F08B3D-6D14-41D1-A9C2-78A137DF10B4}" name="Итого">
      <calculatedColumnFormula>SUM(B2:D2)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6E4A36-6F42-42F2-828F-114B1AE7C6A2}" name="МинусБ" displayName="МинусБ" ref="A1:F12" totalsRowShown="0" headerRowDxfId="8">
  <autoFilter ref="A1:F12" xr:uid="{7A6E4A36-6F42-42F2-828F-114B1AE7C6A2}"/>
  <tableColumns count="6">
    <tableColumn id="1" xr3:uid="{C2213CC2-E053-459E-B235-C72EB21A99AA}" name="ID сотрудника" dataDxfId="7"/>
    <tableColumn id="2" xr3:uid="{BDF0809E-1E5E-4E20-B699-48E0F125BABB}" name="Жалобы клиентов"/>
    <tableColumn id="3" xr3:uid="{4A95AB2C-2CC3-4B41-85D9-FBB45E774345}" name="Нарушение требований безопасности"/>
    <tableColumn id="4" xr3:uid="{E07F1268-5599-43F8-BC1A-26B08F5AF0F6}" name="Опоздание"/>
    <tableColumn id="5" xr3:uid="{91902793-1055-4747-A1A5-4328367C26F6}" name="Прогул"/>
    <tableColumn id="6" xr3:uid="{56E6B701-F83C-4AA1-AF9F-0C9FF85CC245}" name="Итого">
      <calculatedColumnFormula>SUM(B2:E2)</calculatedColumnFormula>
    </tableColumn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3D32D6-F533-4B39-9F02-A2D85F6757EE}" name="ДанныеДляРассчётов" displayName="ДанныеДляРассчётов" ref="A1:G2" totalsRowShown="0">
  <autoFilter ref="A1:G2" xr:uid="{F83D32D6-F533-4B39-9F02-A2D85F6757EE}"/>
  <tableColumns count="7">
    <tableColumn id="1" xr3:uid="{90541A7A-10AE-4B17-B899-F7F881A30609}" name="Затраты на зп">
      <calculatedColumnFormula>SUM('Сведенья о сотрудниках'!E2:E99)</calculatedColumnFormula>
    </tableColumn>
    <tableColumn id="2" xr3:uid="{DDEBC38B-2545-4CD2-BD2F-4556E66F9729}" name="Кол-во работников">
      <calculatedColumnFormula>COUNT('Сведенья о сотрудниках'!E2:E99)</calculatedColumnFormula>
    </tableColumn>
    <tableColumn id="3" xr3:uid="{BC7B23B6-917D-434B-9892-989A0CB19E75}" name="Средняя зп">
      <calculatedColumnFormula>A2/B2</calculatedColumnFormula>
    </tableColumn>
    <tableColumn id="5" xr3:uid="{E06C6A80-3A50-4113-83C9-293F43135EE9}" name="Цена за год стажа" dataDxfId="6"/>
    <tableColumn id="6" xr3:uid="{EAB0172A-16D0-47DD-BCD3-D57DF50F3FE5}" name="Цена за премиальный балл" dataDxfId="5"/>
    <tableColumn id="7" xr3:uid="{0EBD3BD1-85F2-41B4-B848-4550362DEF45}" name="Цена за штрафной балл" dataDxfId="4"/>
    <tableColumn id="8" xr3:uid="{A6BFA2E2-E335-4878-87F2-E2248967BF29}" name="Смета на премию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B29990C-3662-4D34-A7FD-16C9E8C1AB4E}" name="Рассчёты" displayName="Рассчёты" ref="A4:F16" totalsRowShown="0">
  <autoFilter ref="A4:F16" xr:uid="{AB29990C-3662-4D34-A7FD-16C9E8C1AB4E}"/>
  <tableColumns count="6">
    <tableColumn id="1" xr3:uid="{942CBD5C-D011-45F9-8BC3-6CDAD71FFDF3}" name="ID сотрудника"/>
    <tableColumn id="2" xr3:uid="{BCF9F4E8-7026-4E61-A344-3BA3D9F7B80D}" name="Премия за стаж"/>
    <tableColumn id="3" xr3:uid="{77B7A7A6-E05C-4D79-8387-B2D6AF55D93B}" name="Премия за баллы"/>
    <tableColumn id="4" xr3:uid="{E019215C-216D-4FF8-A286-9E699FAF08F8}" name="Штраф за баллы"/>
    <tableColumn id="5" xr3:uid="{089DB22B-239D-4FD8-9B6D-453F96B83285}" name="Премия без учёта сметы"/>
    <tableColumn id="6" xr3:uid="{A676F692-2F68-46B9-906D-E93A711BBBF4}" name="Премия с учётом сметы" dataDxfId="2">
      <calculatedColumnFormula array="1">Рассчёты[[#This Row],[Премия без учёта сметы]]/$E$16 * ДанныеДляРассчётов[Смета на премию]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12"/>
  <sheetViews>
    <sheetView workbookViewId="0">
      <selection activeCell="I24" sqref="I24"/>
    </sheetView>
  </sheetViews>
  <sheetFormatPr defaultRowHeight="15" x14ac:dyDescent="0.25"/>
  <cols>
    <col min="2" max="2" width="18.7109375" customWidth="1"/>
    <col min="3" max="3" width="15.7109375" customWidth="1"/>
    <col min="4" max="4" width="18.85546875" customWidth="1"/>
    <col min="5" max="5" width="10.140625" customWidth="1"/>
    <col min="6" max="6" width="17.5703125" customWidth="1"/>
    <col min="7" max="7" width="9.7109375" bestFit="1" customWidth="1"/>
    <col min="8" max="8" width="18.28515625" customWidth="1"/>
    <col min="9" max="9" width="23.7109375" customWidth="1"/>
    <col min="10" max="10" width="25.28515625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34</v>
      </c>
      <c r="F1" t="s">
        <v>47</v>
      </c>
      <c r="G1" t="s">
        <v>33</v>
      </c>
      <c r="H1" t="s">
        <v>48</v>
      </c>
      <c r="I1" t="s">
        <v>49</v>
      </c>
      <c r="J1" t="s">
        <v>86</v>
      </c>
    </row>
    <row r="2" spans="1:10" x14ac:dyDescent="0.25">
      <c r="A2">
        <v>1</v>
      </c>
      <c r="B2" t="s">
        <v>4</v>
      </c>
      <c r="C2" t="s">
        <v>5</v>
      </c>
      <c r="D2" t="s">
        <v>6</v>
      </c>
      <c r="E2">
        <v>30000</v>
      </c>
      <c r="F2" s="1">
        <v>37464</v>
      </c>
      <c r="G2" s="3">
        <f ca="1">(YEAR(NOW())-YEAR(F2))</f>
        <v>23</v>
      </c>
      <c r="H2" s="1" t="s">
        <v>50</v>
      </c>
      <c r="I2" t="s">
        <v>61</v>
      </c>
      <c r="J2" t="s">
        <v>87</v>
      </c>
    </row>
    <row r="3" spans="1:10" x14ac:dyDescent="0.25">
      <c r="A3">
        <v>2</v>
      </c>
      <c r="B3" t="s">
        <v>7</v>
      </c>
      <c r="C3" t="s">
        <v>8</v>
      </c>
      <c r="D3" t="s">
        <v>32</v>
      </c>
      <c r="E3">
        <v>10000</v>
      </c>
      <c r="F3" s="1">
        <v>37970</v>
      </c>
      <c r="G3" s="3">
        <f t="shared" ref="G3:G12" ca="1" si="0">(YEAR(NOW())-YEAR(F3))</f>
        <v>22</v>
      </c>
      <c r="H3" s="1" t="s">
        <v>51</v>
      </c>
      <c r="I3" t="s">
        <v>62</v>
      </c>
      <c r="J3" t="s">
        <v>89</v>
      </c>
    </row>
    <row r="4" spans="1:10" x14ac:dyDescent="0.25">
      <c r="A4">
        <v>3</v>
      </c>
      <c r="B4" t="s">
        <v>9</v>
      </c>
      <c r="C4" t="s">
        <v>10</v>
      </c>
      <c r="D4" t="s">
        <v>11</v>
      </c>
      <c r="E4">
        <v>30000</v>
      </c>
      <c r="F4" s="1">
        <v>37343</v>
      </c>
      <c r="G4" s="3">
        <f t="shared" ca="1" si="0"/>
        <v>23</v>
      </c>
      <c r="H4" s="1" t="s">
        <v>52</v>
      </c>
      <c r="I4" t="s">
        <v>63</v>
      </c>
      <c r="J4" t="s">
        <v>88</v>
      </c>
    </row>
    <row r="5" spans="1:10" x14ac:dyDescent="0.25">
      <c r="A5">
        <v>4</v>
      </c>
      <c r="B5" t="s">
        <v>13</v>
      </c>
      <c r="C5" t="s">
        <v>14</v>
      </c>
      <c r="D5" t="s">
        <v>15</v>
      </c>
      <c r="E5">
        <v>30000</v>
      </c>
      <c r="F5" s="1">
        <v>38196</v>
      </c>
      <c r="G5" s="3">
        <f t="shared" ca="1" si="0"/>
        <v>21</v>
      </c>
      <c r="H5" s="1" t="s">
        <v>53</v>
      </c>
      <c r="I5" t="s">
        <v>64</v>
      </c>
      <c r="J5" t="s">
        <v>93</v>
      </c>
    </row>
    <row r="6" spans="1:10" x14ac:dyDescent="0.25">
      <c r="A6">
        <v>5</v>
      </c>
      <c r="B6" t="s">
        <v>16</v>
      </c>
      <c r="C6" t="s">
        <v>17</v>
      </c>
      <c r="D6" t="s">
        <v>18</v>
      </c>
      <c r="E6">
        <v>10000</v>
      </c>
      <c r="F6" s="1">
        <v>38650</v>
      </c>
      <c r="G6" s="3">
        <f t="shared" ca="1" si="0"/>
        <v>20</v>
      </c>
      <c r="H6" s="1" t="s">
        <v>54</v>
      </c>
      <c r="I6" t="s">
        <v>65</v>
      </c>
      <c r="J6" t="s">
        <v>92</v>
      </c>
    </row>
    <row r="7" spans="1:10" x14ac:dyDescent="0.25">
      <c r="A7">
        <v>6</v>
      </c>
      <c r="B7" t="s">
        <v>19</v>
      </c>
      <c r="C7" t="s">
        <v>10</v>
      </c>
      <c r="D7" t="s">
        <v>20</v>
      </c>
      <c r="E7">
        <v>30000</v>
      </c>
      <c r="F7" s="1">
        <v>38419</v>
      </c>
      <c r="G7" s="3">
        <f t="shared" ca="1" si="0"/>
        <v>20</v>
      </c>
      <c r="H7" s="1" t="s">
        <v>55</v>
      </c>
      <c r="I7" t="s">
        <v>66</v>
      </c>
      <c r="J7" t="s">
        <v>90</v>
      </c>
    </row>
    <row r="8" spans="1:10" x14ac:dyDescent="0.25">
      <c r="A8">
        <v>7</v>
      </c>
      <c r="B8" t="s">
        <v>21</v>
      </c>
      <c r="C8" t="s">
        <v>22</v>
      </c>
      <c r="D8" t="s">
        <v>12</v>
      </c>
      <c r="E8">
        <v>20000</v>
      </c>
      <c r="F8" s="1">
        <v>38609</v>
      </c>
      <c r="G8" s="3">
        <f t="shared" ca="1" si="0"/>
        <v>20</v>
      </c>
      <c r="H8" s="1" t="s">
        <v>56</v>
      </c>
      <c r="I8" t="s">
        <v>67</v>
      </c>
      <c r="J8" t="s">
        <v>94</v>
      </c>
    </row>
    <row r="9" spans="1:10" x14ac:dyDescent="0.25">
      <c r="A9">
        <v>8</v>
      </c>
      <c r="B9" t="s">
        <v>23</v>
      </c>
      <c r="C9" t="s">
        <v>24</v>
      </c>
      <c r="D9" t="s">
        <v>25</v>
      </c>
      <c r="E9">
        <v>15000</v>
      </c>
      <c r="F9" s="1">
        <v>38430</v>
      </c>
      <c r="G9" s="3">
        <f t="shared" ca="1" si="0"/>
        <v>20</v>
      </c>
      <c r="H9" s="1" t="s">
        <v>57</v>
      </c>
      <c r="I9" t="s">
        <v>68</v>
      </c>
      <c r="J9" t="s">
        <v>91</v>
      </c>
    </row>
    <row r="10" spans="1:10" x14ac:dyDescent="0.25">
      <c r="A10">
        <v>9</v>
      </c>
      <c r="B10" t="s">
        <v>26</v>
      </c>
      <c r="C10" t="s">
        <v>27</v>
      </c>
      <c r="D10" t="s">
        <v>28</v>
      </c>
      <c r="E10">
        <v>27000</v>
      </c>
      <c r="F10" s="1">
        <v>34370</v>
      </c>
      <c r="G10" s="3">
        <f t="shared" ca="1" si="0"/>
        <v>31</v>
      </c>
      <c r="H10" s="1" t="s">
        <v>58</v>
      </c>
      <c r="I10" t="s">
        <v>69</v>
      </c>
      <c r="J10" t="s">
        <v>95</v>
      </c>
    </row>
    <row r="11" spans="1:10" x14ac:dyDescent="0.25">
      <c r="A11">
        <v>10</v>
      </c>
      <c r="B11" t="s">
        <v>29</v>
      </c>
      <c r="C11" t="s">
        <v>10</v>
      </c>
      <c r="D11" t="s">
        <v>28</v>
      </c>
      <c r="E11">
        <v>40000</v>
      </c>
      <c r="F11" s="1">
        <v>32874</v>
      </c>
      <c r="G11" s="3">
        <f t="shared" ca="1" si="0"/>
        <v>35</v>
      </c>
      <c r="H11" s="1" t="s">
        <v>59</v>
      </c>
      <c r="I11" t="s">
        <v>70</v>
      </c>
      <c r="J11" t="s">
        <v>96</v>
      </c>
    </row>
    <row r="12" spans="1:10" x14ac:dyDescent="0.25">
      <c r="A12">
        <v>11</v>
      </c>
      <c r="B12" t="s">
        <v>30</v>
      </c>
      <c r="C12" t="s">
        <v>31</v>
      </c>
      <c r="D12" t="s">
        <v>28</v>
      </c>
      <c r="E12">
        <v>50000</v>
      </c>
      <c r="F12" s="1">
        <v>30682</v>
      </c>
      <c r="G12" s="3">
        <f t="shared" ca="1" si="0"/>
        <v>41</v>
      </c>
      <c r="H12" s="1" t="s">
        <v>60</v>
      </c>
      <c r="I12" t="s">
        <v>71</v>
      </c>
      <c r="J12" t="s">
        <v>97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82CC-5947-46A8-A03D-A48A6E972511}">
  <sheetPr codeName="Лист2"/>
  <dimension ref="A1:E12"/>
  <sheetViews>
    <sheetView workbookViewId="0">
      <selection activeCell="D20" sqref="D20"/>
    </sheetView>
  </sheetViews>
  <sheetFormatPr defaultRowHeight="15" x14ac:dyDescent="0.25"/>
  <cols>
    <col min="1" max="1" width="15" customWidth="1"/>
    <col min="2" max="2" width="22.28515625" customWidth="1"/>
    <col min="3" max="3" width="20.5703125" customWidth="1"/>
    <col min="4" max="4" width="22.85546875" customWidth="1"/>
  </cols>
  <sheetData>
    <row r="1" spans="1:5" x14ac:dyDescent="0.25">
      <c r="A1" s="2" t="s">
        <v>41</v>
      </c>
      <c r="B1" s="2" t="s">
        <v>37</v>
      </c>
      <c r="C1" s="2" t="s">
        <v>38</v>
      </c>
      <c r="D1" s="2" t="s">
        <v>39</v>
      </c>
      <c r="E1" s="2" t="s">
        <v>40</v>
      </c>
    </row>
    <row r="2" spans="1:5" x14ac:dyDescent="0.25">
      <c r="A2" s="4">
        <v>1</v>
      </c>
      <c r="B2">
        <v>2</v>
      </c>
      <c r="C2">
        <v>3</v>
      </c>
      <c r="D2">
        <v>4</v>
      </c>
      <c r="E2">
        <f>SUM(B2:D2)</f>
        <v>9</v>
      </c>
    </row>
    <row r="3" spans="1:5" x14ac:dyDescent="0.25">
      <c r="A3" s="4">
        <v>2</v>
      </c>
      <c r="B3">
        <v>6</v>
      </c>
      <c r="C3">
        <v>7</v>
      </c>
      <c r="D3">
        <v>8</v>
      </c>
      <c r="E3">
        <f t="shared" ref="E3:E12" si="0">SUM(B3:D3)</f>
        <v>21</v>
      </c>
    </row>
    <row r="4" spans="1:5" x14ac:dyDescent="0.25">
      <c r="A4" s="4">
        <v>3</v>
      </c>
      <c r="B4">
        <v>10</v>
      </c>
      <c r="C4">
        <v>11</v>
      </c>
      <c r="D4">
        <v>12</v>
      </c>
      <c r="E4">
        <f t="shared" si="0"/>
        <v>33</v>
      </c>
    </row>
    <row r="5" spans="1:5" x14ac:dyDescent="0.25">
      <c r="A5" s="4">
        <v>4</v>
      </c>
      <c r="B5">
        <v>14</v>
      </c>
      <c r="C5">
        <v>15</v>
      </c>
      <c r="D5">
        <v>16</v>
      </c>
      <c r="E5">
        <f>SUM(B5:D5)</f>
        <v>45</v>
      </c>
    </row>
    <row r="6" spans="1:5" x14ac:dyDescent="0.25">
      <c r="A6" s="4">
        <v>5</v>
      </c>
      <c r="B6">
        <v>18</v>
      </c>
      <c r="C6">
        <v>19</v>
      </c>
      <c r="D6">
        <v>20</v>
      </c>
      <c r="E6">
        <f t="shared" si="0"/>
        <v>57</v>
      </c>
    </row>
    <row r="7" spans="1:5" x14ac:dyDescent="0.25">
      <c r="A7" s="4">
        <v>6</v>
      </c>
      <c r="B7">
        <v>22</v>
      </c>
      <c r="C7">
        <v>23</v>
      </c>
      <c r="D7">
        <v>24</v>
      </c>
      <c r="E7">
        <f t="shared" si="0"/>
        <v>69</v>
      </c>
    </row>
    <row r="8" spans="1:5" x14ac:dyDescent="0.25">
      <c r="A8" s="4">
        <v>7</v>
      </c>
      <c r="B8">
        <v>26</v>
      </c>
      <c r="C8">
        <v>27</v>
      </c>
      <c r="D8">
        <v>28</v>
      </c>
      <c r="E8">
        <f t="shared" si="0"/>
        <v>81</v>
      </c>
    </row>
    <row r="9" spans="1:5" x14ac:dyDescent="0.25">
      <c r="A9" s="4">
        <v>8</v>
      </c>
      <c r="B9">
        <v>30</v>
      </c>
      <c r="C9">
        <v>31</v>
      </c>
      <c r="D9">
        <v>20</v>
      </c>
      <c r="E9">
        <f t="shared" si="0"/>
        <v>81</v>
      </c>
    </row>
    <row r="10" spans="1:5" x14ac:dyDescent="0.25">
      <c r="A10" s="4">
        <v>9</v>
      </c>
      <c r="B10">
        <v>34</v>
      </c>
      <c r="C10">
        <v>35</v>
      </c>
      <c r="D10">
        <v>36</v>
      </c>
      <c r="E10">
        <f t="shared" si="0"/>
        <v>105</v>
      </c>
    </row>
    <row r="11" spans="1:5" x14ac:dyDescent="0.25">
      <c r="A11" s="4">
        <v>10</v>
      </c>
      <c r="B11">
        <v>38</v>
      </c>
      <c r="C11">
        <v>39</v>
      </c>
      <c r="D11">
        <v>40</v>
      </c>
      <c r="E11">
        <f t="shared" si="0"/>
        <v>117</v>
      </c>
    </row>
    <row r="12" spans="1:5" x14ac:dyDescent="0.25">
      <c r="A12" s="4">
        <v>11</v>
      </c>
      <c r="B12">
        <v>42</v>
      </c>
      <c r="C12">
        <v>43</v>
      </c>
      <c r="D12">
        <v>44</v>
      </c>
      <c r="E12">
        <f t="shared" si="0"/>
        <v>129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37AC-E05C-4B1E-99D0-549AEC24DE74}">
  <sheetPr codeName="Лист3"/>
  <dimension ref="A1:F12"/>
  <sheetViews>
    <sheetView zoomScaleNormal="100" workbookViewId="0">
      <selection activeCell="E11" sqref="E11"/>
    </sheetView>
  </sheetViews>
  <sheetFormatPr defaultRowHeight="15" x14ac:dyDescent="0.25"/>
  <cols>
    <col min="1" max="1" width="15" style="4" customWidth="1"/>
    <col min="2" max="2" width="20.7109375" customWidth="1"/>
    <col min="3" max="3" width="34.28515625" customWidth="1"/>
    <col min="4" max="5" width="20.7109375" customWidth="1"/>
  </cols>
  <sheetData>
    <row r="1" spans="1:6" x14ac:dyDescent="0.25">
      <c r="A1" s="5" t="s">
        <v>41</v>
      </c>
      <c r="B1" s="2" t="s">
        <v>43</v>
      </c>
      <c r="C1" s="2" t="s">
        <v>46</v>
      </c>
      <c r="D1" s="2" t="s">
        <v>44</v>
      </c>
      <c r="E1" s="2" t="s">
        <v>45</v>
      </c>
      <c r="F1" s="2" t="s">
        <v>40</v>
      </c>
    </row>
    <row r="2" spans="1:6" x14ac:dyDescent="0.25">
      <c r="A2" s="4">
        <v>1</v>
      </c>
      <c r="B2">
        <v>1</v>
      </c>
      <c r="C2">
        <v>1</v>
      </c>
      <c r="D2">
        <v>1</v>
      </c>
      <c r="E2">
        <v>1</v>
      </c>
      <c r="F2">
        <f>SUM(B2:E2)</f>
        <v>4</v>
      </c>
    </row>
    <row r="3" spans="1:6" x14ac:dyDescent="0.25">
      <c r="A3" s="4">
        <v>2</v>
      </c>
      <c r="B3">
        <v>2</v>
      </c>
      <c r="C3">
        <v>2</v>
      </c>
      <c r="D3">
        <v>2</v>
      </c>
      <c r="E3">
        <v>2</v>
      </c>
      <c r="F3">
        <f>SUM(B3:E3)</f>
        <v>8</v>
      </c>
    </row>
    <row r="4" spans="1:6" x14ac:dyDescent="0.25">
      <c r="A4" s="4">
        <v>3</v>
      </c>
      <c r="B4">
        <v>3</v>
      </c>
      <c r="C4">
        <v>3</v>
      </c>
      <c r="D4">
        <v>3</v>
      </c>
      <c r="E4">
        <v>3</v>
      </c>
      <c r="F4">
        <f>SUM(B4:E4)</f>
        <v>12</v>
      </c>
    </row>
    <row r="5" spans="1:6" x14ac:dyDescent="0.25">
      <c r="A5" s="4">
        <v>4</v>
      </c>
      <c r="B5">
        <v>4</v>
      </c>
      <c r="C5">
        <v>4</v>
      </c>
      <c r="D5">
        <v>4</v>
      </c>
      <c r="E5">
        <v>1</v>
      </c>
      <c r="F5">
        <f>SUM(B5:E5)</f>
        <v>13</v>
      </c>
    </row>
    <row r="6" spans="1:6" x14ac:dyDescent="0.25">
      <c r="A6" s="4">
        <v>5</v>
      </c>
      <c r="B6">
        <v>5</v>
      </c>
      <c r="C6">
        <v>5</v>
      </c>
      <c r="D6">
        <v>5</v>
      </c>
      <c r="E6">
        <v>2</v>
      </c>
      <c r="F6">
        <f t="shared" ref="F6:F12" si="0">SUM(B6:E6)</f>
        <v>17</v>
      </c>
    </row>
    <row r="7" spans="1:6" x14ac:dyDescent="0.25">
      <c r="A7" s="4">
        <v>6</v>
      </c>
      <c r="B7">
        <v>1</v>
      </c>
      <c r="C7">
        <v>1</v>
      </c>
      <c r="D7">
        <v>1</v>
      </c>
      <c r="E7">
        <v>3</v>
      </c>
      <c r="F7">
        <f t="shared" si="0"/>
        <v>6</v>
      </c>
    </row>
    <row r="8" spans="1:6" x14ac:dyDescent="0.25">
      <c r="A8" s="4">
        <v>7</v>
      </c>
      <c r="B8">
        <v>2</v>
      </c>
      <c r="C8">
        <v>7</v>
      </c>
      <c r="D8">
        <v>2</v>
      </c>
      <c r="E8">
        <v>1</v>
      </c>
      <c r="F8">
        <f t="shared" si="0"/>
        <v>12</v>
      </c>
    </row>
    <row r="9" spans="1:6" x14ac:dyDescent="0.25">
      <c r="A9" s="4">
        <v>8</v>
      </c>
      <c r="B9">
        <v>3</v>
      </c>
      <c r="C9">
        <v>3</v>
      </c>
      <c r="D9">
        <v>3</v>
      </c>
      <c r="E9">
        <v>2</v>
      </c>
      <c r="F9">
        <f t="shared" si="0"/>
        <v>11</v>
      </c>
    </row>
    <row r="10" spans="1:6" x14ac:dyDescent="0.25">
      <c r="A10" s="4">
        <v>9</v>
      </c>
      <c r="B10">
        <v>4</v>
      </c>
      <c r="C10">
        <v>4</v>
      </c>
      <c r="D10">
        <v>4</v>
      </c>
      <c r="E10">
        <v>5</v>
      </c>
      <c r="F10">
        <f t="shared" si="0"/>
        <v>17</v>
      </c>
    </row>
    <row r="11" spans="1:6" x14ac:dyDescent="0.25">
      <c r="A11" s="4">
        <v>10</v>
      </c>
      <c r="B11">
        <v>5</v>
      </c>
      <c r="C11">
        <v>5</v>
      </c>
      <c r="D11">
        <v>5</v>
      </c>
      <c r="E11">
        <v>2</v>
      </c>
      <c r="F11">
        <f t="shared" si="0"/>
        <v>17</v>
      </c>
    </row>
    <row r="12" spans="1:6" x14ac:dyDescent="0.25">
      <c r="A12" s="4">
        <v>11</v>
      </c>
      <c r="B12">
        <v>6</v>
      </c>
      <c r="C12">
        <v>0</v>
      </c>
      <c r="D12">
        <v>6</v>
      </c>
      <c r="E12">
        <v>2</v>
      </c>
      <c r="F12">
        <f>SUM(B12:E12)</f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DEA8-2A43-4FC3-9EB9-F18F791418BF}">
  <sheetPr codeName="Лист4"/>
  <dimension ref="A1:G16"/>
  <sheetViews>
    <sheetView workbookViewId="0">
      <selection activeCell="G7" sqref="G7"/>
    </sheetView>
  </sheetViews>
  <sheetFormatPr defaultRowHeight="15" x14ac:dyDescent="0.25"/>
  <cols>
    <col min="1" max="1" width="16" customWidth="1"/>
    <col min="2" max="2" width="21.85546875" customWidth="1"/>
    <col min="3" max="3" width="17.42578125" customWidth="1"/>
    <col min="4" max="4" width="22.42578125" customWidth="1"/>
    <col min="5" max="5" width="28.85546875" customWidth="1"/>
    <col min="6" max="6" width="25.85546875" customWidth="1"/>
    <col min="7" max="7" width="22.7109375" customWidth="1"/>
    <col min="8" max="8" width="17.5703125" customWidth="1"/>
  </cols>
  <sheetData>
    <row r="1" spans="1:7" x14ac:dyDescent="0.25">
      <c r="A1" t="s">
        <v>36</v>
      </c>
      <c r="B1" t="s">
        <v>42</v>
      </c>
      <c r="C1" t="s">
        <v>35</v>
      </c>
      <c r="D1" t="s">
        <v>72</v>
      </c>
      <c r="E1" t="s">
        <v>73</v>
      </c>
      <c r="F1" t="s">
        <v>74</v>
      </c>
      <c r="G1" t="s">
        <v>80</v>
      </c>
    </row>
    <row r="2" spans="1:7" x14ac:dyDescent="0.25">
      <c r="A2">
        <f>SUM('Сведенья о сотрудниках'!E2:E99)</f>
        <v>292000</v>
      </c>
      <c r="B2">
        <f>COUNT('Сведенья о сотрудниках'!E2:E99)</f>
        <v>11</v>
      </c>
      <c r="C2">
        <f>A2/B2</f>
        <v>26545.454545454544</v>
      </c>
      <c r="D2" s="6">
        <v>500</v>
      </c>
      <c r="E2" s="6">
        <v>200</v>
      </c>
      <c r="F2" s="6">
        <v>300</v>
      </c>
      <c r="G2" s="6">
        <v>50000</v>
      </c>
    </row>
    <row r="3" spans="1:7" x14ac:dyDescent="0.25">
      <c r="E3" s="3"/>
      <c r="F3" s="3"/>
      <c r="G3" s="3"/>
    </row>
    <row r="4" spans="1:7" x14ac:dyDescent="0.25">
      <c r="A4" t="s">
        <v>41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</row>
    <row r="5" spans="1:7" x14ac:dyDescent="0.25">
      <c r="A5">
        <v>1</v>
      </c>
      <c r="B5" s="6" cm="1">
        <f t="array" aca="1" ref="B5" ca="1">$D$2*'Сведенья о сотрудниках'!G2*('Сведенья о сотрудниках'!E2/ДанныеДляРассчётов[Средняя зп])</f>
        <v>12996.575342465754</v>
      </c>
      <c r="C5">
        <f>$E$2*'Премиальные баллы'!E2</f>
        <v>1800</v>
      </c>
      <c r="D5">
        <f>$F$2*'Штрафные баллы'!F2</f>
        <v>1200</v>
      </c>
      <c r="E5" s="6">
        <f ca="1">SUM(B5:D5)</f>
        <v>15996.575342465754</v>
      </c>
      <c r="F5" s="6" cm="1">
        <f t="array" aca="1" ref="F5" ca="1">Рассчёты[[#This Row],[Премия без учёта сметы]]/$E$16 * ДанныеДляРассчётов[Смета на премию]</f>
        <v>2354.4794589183407</v>
      </c>
    </row>
    <row r="6" spans="1:7" x14ac:dyDescent="0.25">
      <c r="A6">
        <v>2</v>
      </c>
      <c r="B6" s="6" cm="1">
        <f t="array" aca="1" ref="B6" ca="1">$D$2*'Сведенья о сотрудниках'!G3*('Сведенья о сотрудниках'!E3/ДанныеДляРассчётов[Средняя зп])</f>
        <v>4143.8356164383558</v>
      </c>
      <c r="C6">
        <f>$E$2*'Премиальные баллы'!E3</f>
        <v>4200</v>
      </c>
      <c r="D6">
        <f>$F$2*'Штрафные баллы'!F3</f>
        <v>2400</v>
      </c>
      <c r="E6" s="6">
        <f t="shared" ref="E6:E15" ca="1" si="0">SUM(B6:D6)</f>
        <v>10743.835616438355</v>
      </c>
      <c r="F6" s="6" cm="1">
        <f t="array" aca="1" ref="F6" ca="1">Рассчёты[[#This Row],[Премия без учёта сметы]]/$E$16 * ДанныеДляРассчётов[Смета на премию]</f>
        <v>1581.3472401024655</v>
      </c>
    </row>
    <row r="7" spans="1:7" x14ac:dyDescent="0.25">
      <c r="A7">
        <v>3</v>
      </c>
      <c r="B7" s="6" cm="1">
        <f t="array" aca="1" ref="B7" ca="1">$D$2*'Сведенья о сотрудниках'!G4*('Сведенья о сотрудниках'!E4/ДанныеДляРассчётов[Средняя зп])</f>
        <v>12996.575342465754</v>
      </c>
      <c r="C7">
        <f>$E$2*'Премиальные баллы'!E4</f>
        <v>6600</v>
      </c>
      <c r="D7">
        <f>$F$2*'Штрафные баллы'!F4</f>
        <v>3600</v>
      </c>
      <c r="E7" s="6">
        <f t="shared" ca="1" si="0"/>
        <v>23196.575342465752</v>
      </c>
      <c r="F7" s="6" cm="1">
        <f t="array" aca="1" ref="F7" ca="1">Рассчёты[[#This Row],[Премия без учёта сметы]]/$E$16 * ДанныеДляРассчётов[Смета на премию]</f>
        <v>3414.2220438958439</v>
      </c>
    </row>
    <row r="8" spans="1:7" x14ac:dyDescent="0.25">
      <c r="A8">
        <v>4</v>
      </c>
      <c r="B8" s="6" cm="1">
        <f t="array" aca="1" ref="B8" ca="1">$D$2*'Сведенья о сотрудниках'!G5*('Сведенья о сотрудниках'!E5/ДанныеДляРассчётов[Средняя зп])</f>
        <v>11866.438356164384</v>
      </c>
      <c r="C8">
        <f>$E$2*'Премиальные баллы'!E5</f>
        <v>9000</v>
      </c>
      <c r="D8">
        <f>$F$2*'Штрафные баллы'!F5</f>
        <v>3900</v>
      </c>
      <c r="E8" s="6">
        <f t="shared" ca="1" si="0"/>
        <v>24766.438356164384</v>
      </c>
      <c r="F8" s="6" cm="1">
        <f t="array" aca="1" ref="F8" ca="1">Рассчёты[[#This Row],[Премия без учёта сметы]]/$E$16 * ДанныеДляРассчётов[Смета на премию]</f>
        <v>3645.2846394788385</v>
      </c>
    </row>
    <row r="9" spans="1:7" x14ac:dyDescent="0.25">
      <c r="A9">
        <v>5</v>
      </c>
      <c r="B9" s="6" cm="1">
        <f t="array" aca="1" ref="B9" ca="1">$D$2*'Сведенья о сотрудниках'!G6*('Сведенья о сотрудниках'!E6/ДанныеДляРассчётов[Средняя зп])</f>
        <v>3767.1232876712329</v>
      </c>
      <c r="C9">
        <f>$E$2*'Премиальные баллы'!E6</f>
        <v>11400</v>
      </c>
      <c r="D9">
        <f>$F$2*'Штрафные баллы'!F6</f>
        <v>5100</v>
      </c>
      <c r="E9" s="6">
        <f t="shared" ca="1" si="0"/>
        <v>20267.123287671231</v>
      </c>
      <c r="F9" s="6" cm="1">
        <f t="array" aca="1" ref="F9" ca="1">Рассчёты[[#This Row],[Премия без учёта сметы]]/$E$16 * ДанныеДляРассчётов[Смета на премию]</f>
        <v>2983.0463365186765</v>
      </c>
    </row>
    <row r="10" spans="1:7" x14ac:dyDescent="0.25">
      <c r="A10">
        <v>6</v>
      </c>
      <c r="B10" s="6" cm="1">
        <f t="array" aca="1" ref="B10" ca="1">$D$2*'Сведенья о сотрудниках'!G7*('Сведенья о сотрудниках'!E7/ДанныеДляРассчётов[Средняя зп])</f>
        <v>11301.369863013699</v>
      </c>
      <c r="C10">
        <f>$E$2*'Премиальные баллы'!E7</f>
        <v>13800</v>
      </c>
      <c r="D10">
        <f>$F$2*'Штрафные баллы'!F7</f>
        <v>1800</v>
      </c>
      <c r="E10" s="6">
        <f t="shared" ca="1" si="0"/>
        <v>26901.369863013701</v>
      </c>
      <c r="F10" s="6" cm="1">
        <f t="array" aca="1" ref="F10" ca="1">Рассчёты[[#This Row],[Премия без учёта сметы]]/$E$16 * ДанныеДляРассчётов[Смета на премию]</f>
        <v>3959.5176719536184</v>
      </c>
    </row>
    <row r="11" spans="1:7" x14ac:dyDescent="0.25">
      <c r="A11">
        <v>7</v>
      </c>
      <c r="B11" s="6" cm="1">
        <f t="array" aca="1" ref="B11" ca="1">$D$2*'Сведенья о сотрудниках'!G8*('Сведенья о сотрудниках'!E8/ДанныеДляРассчётов[Средняя зп])</f>
        <v>7534.2465753424658</v>
      </c>
      <c r="C11">
        <f>$E$2*'Премиальные баллы'!E8</f>
        <v>16200</v>
      </c>
      <c r="D11">
        <f>$F$2*'Штрафные баллы'!F8</f>
        <v>3600</v>
      </c>
      <c r="E11" s="6">
        <f t="shared" ca="1" si="0"/>
        <v>27334.246575342466</v>
      </c>
      <c r="F11" s="6" cm="1">
        <f t="array" aca="1" ref="F11" ca="1">Рассчёты[[#This Row],[Премия без учёта сметы]]/$E$16 * ДанныеДляРассчётов[Смета на премию]</f>
        <v>4023.2312672452636</v>
      </c>
    </row>
    <row r="12" spans="1:7" x14ac:dyDescent="0.25">
      <c r="A12">
        <v>8</v>
      </c>
      <c r="B12" s="6" cm="1">
        <f t="array" aca="1" ref="B12" ca="1">$D$2*'Сведенья о сотрудниках'!G9*('Сведенья о сотрудниках'!E9/ДанныеДляРассчётов[Средняя зп])</f>
        <v>5650.6849315068494</v>
      </c>
      <c r="C12">
        <f>$E$2*'Премиальные баллы'!E9</f>
        <v>16200</v>
      </c>
      <c r="D12">
        <f>$F$2*'Штрафные баллы'!F9</f>
        <v>3300</v>
      </c>
      <c r="E12" s="6">
        <f t="shared" ca="1" si="0"/>
        <v>25150.68493150685</v>
      </c>
      <c r="F12" s="6" cm="1">
        <f t="array" aca="1" ref="F12" ca="1">Рассчёты[[#This Row],[Премия без учёта сметы]]/$E$16 * ДанныеДляРассчётов[Смета на премию]</f>
        <v>3701.8405365652525</v>
      </c>
    </row>
    <row r="13" spans="1:7" x14ac:dyDescent="0.25">
      <c r="A13">
        <v>9</v>
      </c>
      <c r="B13" s="6" cm="1">
        <f t="array" aca="1" ref="B13" ca="1">$D$2*'Сведенья о сотрудниках'!G10*('Сведенья о сотрудниках'!E10/ДанныеДляРассчётов[Средняя зп])</f>
        <v>15765.410958904109</v>
      </c>
      <c r="C13">
        <f>$E$2*'Премиальные баллы'!E10</f>
        <v>21000</v>
      </c>
      <c r="D13">
        <f>$F$2*'Штрафные баллы'!F10</f>
        <v>5100</v>
      </c>
      <c r="E13" s="6">
        <f t="shared" ca="1" si="0"/>
        <v>41865.410958904111</v>
      </c>
      <c r="F13" s="6" cm="1">
        <f t="array" aca="1" ref="F13" ca="1">Рассчёты[[#This Row],[Премия без учёта сметы]]/$E$16 * ДанныеДляРассчётов[Смета на премию]</f>
        <v>6162.0220598242431</v>
      </c>
    </row>
    <row r="14" spans="1:7" x14ac:dyDescent="0.25">
      <c r="A14">
        <v>10</v>
      </c>
      <c r="B14" s="6" cm="1">
        <f t="array" aca="1" ref="B14" ca="1">$D$2*'Сведенья о сотрудниках'!G11*('Сведенья о сотрудниках'!E11/ДанныеДляРассчётов[Средняя зп])</f>
        <v>26369.863013698632</v>
      </c>
      <c r="C14">
        <f>$E$2*'Премиальные баллы'!E11</f>
        <v>23400</v>
      </c>
      <c r="D14">
        <f>$F$2*'Штрафные баллы'!F11</f>
        <v>5100</v>
      </c>
      <c r="E14" s="6">
        <f t="shared" ca="1" si="0"/>
        <v>54869.863013698632</v>
      </c>
      <c r="F14" s="6" cm="1">
        <f t="array" aca="1" ref="F14" ca="1">Рассчёты[[#This Row],[Премия без учёта сметы]]/$E$16 * ДанныеДляРассчётов[Смета на премию]</f>
        <v>8076.1014538192376</v>
      </c>
    </row>
    <row r="15" spans="1:7" x14ac:dyDescent="0.25">
      <c r="A15">
        <v>11</v>
      </c>
      <c r="B15" s="6" cm="1">
        <f t="array" aca="1" ref="B15" ca="1">$D$2*'Сведенья о сотрудниках'!G12*('Сведенья о сотрудниках'!E12/ДанныеДляРассчётов[Средняя зп])</f>
        <v>38613.013698630144</v>
      </c>
      <c r="C15">
        <f>$E$2*'Премиальные баллы'!E12</f>
        <v>25800</v>
      </c>
      <c r="D15">
        <f>$F$2*'Штрафные баллы'!F12</f>
        <v>4200</v>
      </c>
      <c r="E15" s="6">
        <f t="shared" ca="1" si="0"/>
        <v>68613.013698630151</v>
      </c>
      <c r="F15" s="6" cm="1">
        <f t="array" aca="1" ref="F15" ca="1">Рассчёты[[#This Row],[Премия без учёта сметы]]/$E$16 * ДанныеДляРассчётов[Смета на премию]</f>
        <v>10098.907291678219</v>
      </c>
    </row>
    <row r="16" spans="1:7" x14ac:dyDescent="0.25">
      <c r="D16" s="2" t="s">
        <v>81</v>
      </c>
      <c r="E16" s="2">
        <f ca="1">SUM(E5:E15)</f>
        <v>339705.1369863014</v>
      </c>
      <c r="F16" s="2" cm="1">
        <f t="array" aca="1" ref="F16" ca="1">Рассчёты[[#This Row],[Премия без учёта сметы]]/$E$16 * ДанныеДляРассчётов[Смета на премию]</f>
        <v>50000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524C-56D0-405E-B1ED-A0BF9C8BE4F9}">
  <sheetPr codeName="Лист5"/>
  <dimension ref="A1:F14"/>
  <sheetViews>
    <sheetView workbookViewId="0">
      <selection activeCell="D18" sqref="D18"/>
    </sheetView>
  </sheetViews>
  <sheetFormatPr defaultRowHeight="15" x14ac:dyDescent="0.25"/>
  <cols>
    <col min="1" max="1" width="26.28515625" customWidth="1"/>
    <col min="2" max="2" width="33.140625" customWidth="1"/>
    <col min="3" max="3" width="25.28515625" customWidth="1"/>
    <col min="4" max="5" width="17.7109375" customWidth="1"/>
    <col min="6" max="6" width="18" customWidth="1"/>
  </cols>
  <sheetData>
    <row r="1" spans="1:6" x14ac:dyDescent="0.25">
      <c r="A1" s="10" t="s">
        <v>2</v>
      </c>
      <c r="B1" s="7" t="str">
        <f>VLOOKUP($B$2,Сотрудники[],2,FALSE)</f>
        <v>Бахтина</v>
      </c>
    </row>
    <row r="2" spans="1:6" x14ac:dyDescent="0.25">
      <c r="A2" s="10" t="s">
        <v>0</v>
      </c>
      <c r="B2" s="11">
        <v>1</v>
      </c>
    </row>
    <row r="4" spans="1:6" x14ac:dyDescent="0.25">
      <c r="A4" s="10" t="s">
        <v>34</v>
      </c>
      <c r="B4" s="10" t="s">
        <v>82</v>
      </c>
      <c r="C4" s="10" t="s">
        <v>33</v>
      </c>
      <c r="D4" s="10" t="s">
        <v>86</v>
      </c>
      <c r="E4" s="10" t="s">
        <v>98</v>
      </c>
      <c r="F4" s="10" t="s">
        <v>48</v>
      </c>
    </row>
    <row r="5" spans="1:6" x14ac:dyDescent="0.25">
      <c r="A5" s="7">
        <f>VLOOKUP($B$2,Сотрудники[],5,FALSE)</f>
        <v>30000</v>
      </c>
      <c r="B5" s="8">
        <f>VLOOKUP($B$2,Сотрудники[],6,FALSE)</f>
        <v>37464</v>
      </c>
      <c r="C5" s="7">
        <f ca="1">VLOOKUP($B$2,Сотрудники[],7,FALSE)</f>
        <v>23</v>
      </c>
      <c r="D5" s="7" t="str">
        <f>VLOOKUP($B$2,Сотрудники[],10,FALSE)</f>
        <v>Генеральный директор</v>
      </c>
      <c r="E5" s="7" t="str">
        <f>VLOOKUP($B$2,Сотрудники[],9,FALSE)</f>
        <v>"+7(111) 111-11-11"</v>
      </c>
      <c r="F5" s="7" t="str">
        <f>VLOOKUP($B$2,Сотрудники[],8,FALSE)</f>
        <v>ул.Рандомная, д.1</v>
      </c>
    </row>
    <row r="7" spans="1:6" x14ac:dyDescent="0.25">
      <c r="A7" s="10" t="s">
        <v>37</v>
      </c>
      <c r="B7" s="10" t="s">
        <v>38</v>
      </c>
      <c r="C7" s="10" t="s">
        <v>39</v>
      </c>
      <c r="D7" s="10" t="s">
        <v>40</v>
      </c>
    </row>
    <row r="8" spans="1:6" x14ac:dyDescent="0.25">
      <c r="A8" s="7">
        <f>VLOOKUP($B$2,ПлюсБ[],COLUMN(A7)+1,FALSE)</f>
        <v>2</v>
      </c>
      <c r="B8" s="7">
        <f>VLOOKUP($B$2,ПлюсБ[],COLUMN(B7)+1,FALSE)</f>
        <v>3</v>
      </c>
      <c r="C8" s="7">
        <f>VLOOKUP($B$2,ПлюсБ[],COLUMN(C7)+1,FALSE)</f>
        <v>4</v>
      </c>
      <c r="D8" s="7">
        <f>VLOOKUP($B$2,ПлюсБ[],COLUMN(D7)+1,FALSE)</f>
        <v>9</v>
      </c>
    </row>
    <row r="10" spans="1:6" x14ac:dyDescent="0.25">
      <c r="A10" s="10" t="s">
        <v>43</v>
      </c>
      <c r="B10" s="10" t="s">
        <v>46</v>
      </c>
      <c r="C10" s="10" t="s">
        <v>44</v>
      </c>
      <c r="D10" s="10" t="s">
        <v>45</v>
      </c>
      <c r="E10" s="10" t="s">
        <v>40</v>
      </c>
    </row>
    <row r="11" spans="1:6" x14ac:dyDescent="0.25">
      <c r="A11" s="7">
        <f>VLOOKUP($B$2,МинусБ[],COLUMN(A10)+1,FALSE)</f>
        <v>1</v>
      </c>
      <c r="B11" s="7">
        <f>VLOOKUP($B$2,МинусБ[],COLUMN(B10)+1,FALSE)</f>
        <v>1</v>
      </c>
      <c r="C11" s="7">
        <f>VLOOKUP($B$2,МинусБ[],COLUMN(C10)+1,FALSE)</f>
        <v>1</v>
      </c>
      <c r="D11" s="7">
        <f>VLOOKUP($B$2,МинусБ[],COLUMN(D10)+1,FALSE)</f>
        <v>1</v>
      </c>
      <c r="E11" s="7">
        <f>VLOOKUP($B$2,МинусБ[],COLUMN(E10)+1,FALSE)</f>
        <v>4</v>
      </c>
    </row>
    <row r="13" spans="1:6" x14ac:dyDescent="0.25">
      <c r="A13" s="10" t="s">
        <v>75</v>
      </c>
      <c r="B13" s="10" t="s">
        <v>76</v>
      </c>
      <c r="C13" s="10" t="s">
        <v>83</v>
      </c>
      <c r="D13" s="10" t="s">
        <v>84</v>
      </c>
      <c r="E13" s="10" t="s">
        <v>85</v>
      </c>
    </row>
    <row r="14" spans="1:6" x14ac:dyDescent="0.25">
      <c r="A14" s="9">
        <f ca="1">VLOOKUP($B$2,Рассчёты[],COLUMN(A13)+1,FALSE)</f>
        <v>12996.575342465754</v>
      </c>
      <c r="B14" s="9">
        <f>VLOOKUP($B$2,Рассчёты[],COLUMN(B13)+1,FALSE)</f>
        <v>1800</v>
      </c>
      <c r="C14" s="9">
        <f>VLOOKUP($B$2,Рассчёты[],COLUMN(C13)+1,FALSE)</f>
        <v>1200</v>
      </c>
      <c r="D14" s="9">
        <f ca="1">VLOOKUP($B$2,Рассчёты[],COLUMN(D13)+1,FALSE)</f>
        <v>15996.575342465754</v>
      </c>
      <c r="E14" s="9">
        <f ca="1">VLOOKUP($B$2,Рассчёты[],COLUMN(E13)+1,FALSE)</f>
        <v>2354.4794589183407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FE66-D33B-442A-8C14-2957AA7FE188}">
  <sheetPr codeName="Лист6"/>
  <dimension ref="A1:I5"/>
  <sheetViews>
    <sheetView tabSelected="1" workbookViewId="0">
      <selection activeCell="E6" sqref="E6"/>
    </sheetView>
  </sheetViews>
  <sheetFormatPr defaultRowHeight="15" x14ac:dyDescent="0.25"/>
  <cols>
    <col min="2" max="2" width="35.140625" customWidth="1"/>
    <col min="3" max="3" width="9.42578125" customWidth="1"/>
    <col min="4" max="4" width="20" customWidth="1"/>
    <col min="6" max="6" width="7.85546875" customWidth="1"/>
    <col min="7" max="7" width="36.7109375" customWidth="1"/>
    <col min="9" max="9" width="14.7109375" customWidth="1"/>
  </cols>
  <sheetData>
    <row r="1" spans="1:9" x14ac:dyDescent="0.25">
      <c r="E1" t="s">
        <v>102</v>
      </c>
    </row>
    <row r="2" spans="1:9" x14ac:dyDescent="0.25">
      <c r="A2" s="7"/>
      <c r="B2" s="12" t="s">
        <v>100</v>
      </c>
      <c r="C2" s="13">
        <f>MAX('Премиальные баллы'!E:E)</f>
        <v>129</v>
      </c>
      <c r="D2" s="7"/>
      <c r="F2" s="7"/>
      <c r="G2" s="12" t="s">
        <v>101</v>
      </c>
      <c r="H2" s="13">
        <f>MAX('Штрафные баллы'!F:F)</f>
        <v>17</v>
      </c>
      <c r="I2" s="7"/>
    </row>
    <row r="3" spans="1:9" x14ac:dyDescent="0.25">
      <c r="A3" s="12" t="s">
        <v>0</v>
      </c>
      <c r="B3" s="12" t="s">
        <v>2</v>
      </c>
      <c r="C3" s="12" t="s">
        <v>99</v>
      </c>
      <c r="D3" s="12" t="s">
        <v>86</v>
      </c>
      <c r="F3" s="12" t="s">
        <v>0</v>
      </c>
      <c r="G3" s="12" t="s">
        <v>2</v>
      </c>
      <c r="H3" s="12" t="s">
        <v>99</v>
      </c>
      <c r="I3" s="12" t="s">
        <v>86</v>
      </c>
    </row>
    <row r="4" spans="1:9" x14ac:dyDescent="0.25">
      <c r="A4" s="7">
        <f>MATCH($C$2,ПлюсБ[Итого],0)</f>
        <v>11</v>
      </c>
      <c r="B4" s="7" t="str">
        <f>VLOOKUP(A4,Сотрудники[],2,FALSE)</f>
        <v>Грек</v>
      </c>
      <c r="C4" s="7">
        <f>VLOOKUP(A4,ПлюсБ[],5,FALSE)</f>
        <v>129</v>
      </c>
      <c r="D4" s="7" t="str">
        <f>VLOOKUP(A4,Сотрудники[],10,FALSE)</f>
        <v>Дизайнер</v>
      </c>
      <c r="F4" s="7">
        <f>MATCH($H$2,МинусБ[Итого],0)</f>
        <v>5</v>
      </c>
      <c r="G4" s="7" t="str">
        <f>VLOOKUP(F4,Сотрудники[],2,FALSE)</f>
        <v>Веселов</v>
      </c>
      <c r="H4" s="7">
        <f>VLOOKUP(F4,МинусБ[],6,FALSE)</f>
        <v>17</v>
      </c>
      <c r="I4" s="7" t="str">
        <f>VLOOKUP(F4,Сотрудники[],10,FALSE)</f>
        <v>Консультант</v>
      </c>
    </row>
    <row r="5" spans="1:9" x14ac:dyDescent="0.25">
      <c r="F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Сведенья о сотрудниках</vt:lpstr>
      <vt:lpstr>Премиальные баллы</vt:lpstr>
      <vt:lpstr>Штрафные баллы</vt:lpstr>
      <vt:lpstr>Рассчёты</vt:lpstr>
      <vt:lpstr>Поиск информации</vt:lpstr>
      <vt:lpstr>Отчёты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Shapovalova</dc:creator>
  <cp:lastModifiedBy>Дарья Шаповалова</cp:lastModifiedBy>
  <dcterms:created xsi:type="dcterms:W3CDTF">2015-06-05T18:17:20Z</dcterms:created>
  <dcterms:modified xsi:type="dcterms:W3CDTF">2025-03-12T13:04:30Z</dcterms:modified>
</cp:coreProperties>
</file>