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" sheetId="1" state="visible" r:id="rId2"/>
    <sheet name="Euro 3 Track with Vent" sheetId="2" state="visible" r:id="rId3"/>
    <sheet name="Euro 3 Track without Vent" sheetId="3" state="visible" r:id="rId4"/>
    <sheet name="Euro 2 Track with Vent" sheetId="4" state="visible" r:id="rId5"/>
    <sheet name="Euro 2 Track without Vent" sheetId="5" state="visible" r:id="rId6"/>
    <sheet name="Dubai 3 Track with Vent" sheetId="6" state="visible" r:id="rId7"/>
    <sheet name="Dubai 3 Track without Vent" sheetId="7" state="visible" r:id="rId8"/>
    <sheet name="Dubai 2 Track without Vent" sheetId="8" state="visible" r:id="rId9"/>
    <sheet name=" China 3 Track with Vent" sheetId="9" state="visible" r:id="rId10"/>
    <sheet name=" China 3 Track without Vent" sheetId="10" state="visible" r:id="rId11"/>
    <sheet name="3-4 Series India" sheetId="11" state="visible" r:id="rId12"/>
    <sheet name="Dubai PJ" sheetId="12" state="visible" r:id="rId13"/>
    <sheet name="Euro PJ" sheetId="13" state="visible" r:id="rId14"/>
    <sheet name="44 Column Door - Single Door" sheetId="14" state="visible" r:id="rId15"/>
    <sheet name="44 Column Door - Double Door" sheetId="15" state="visible" r:id="rId16"/>
    <sheet name="6000 Series Euro Door - Single" sheetId="16" state="visible" r:id="rId17"/>
    <sheet name="6000 Series Euro Door - Double" sheetId="17" state="visible" r:id="rId18"/>
    <sheet name="Euro Fix Window" sheetId="18" state="visible" r:id="rId19"/>
    <sheet name="Fix Window or Partition" sheetId="19" state="visible" r:id="rId20"/>
    <sheet name="Sheet2" sheetId="20" state="visible" r:id="rId21"/>
    <sheet name="Sheet4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<sst xmlns="http://schemas.openxmlformats.org/spreadsheetml/2006/main" count="3718" uniqueCount="418">
  <si>
    <t xml:space="preserve">size</t>
  </si>
  <si>
    <t xml:space="preserve">pcs</t>
  </si>
  <si>
    <t xml:space="preserve">for vent 300 mm</t>
  </si>
  <si>
    <t xml:space="preserve">check number of window</t>
  </si>
  <si>
    <t xml:space="preserve">Euro Series with Vent of 300mm on Top (2 Track)</t>
  </si>
  <si>
    <t xml:space="preserve">Sr. No.</t>
  </si>
  <si>
    <t xml:space="preserve">Sizes</t>
  </si>
  <si>
    <t xml:space="preserve">Width</t>
  </si>
  <si>
    <t xml:space="preserve">Hight without Vent 300mm</t>
  </si>
  <si>
    <t xml:space="preserve">Hight with Vent 300mm</t>
  </si>
  <si>
    <t xml:space="preserve">QTY</t>
  </si>
  <si>
    <t xml:space="preserve">Total Width</t>
  </si>
  <si>
    <t xml:space="preserve">Total Hight with Vent</t>
  </si>
  <si>
    <t xml:space="preserve">Total Hight</t>
  </si>
  <si>
    <t xml:space="preserve">Sqm</t>
  </si>
  <si>
    <t xml:space="preserve">Sqm with Vent</t>
  </si>
  <si>
    <t xml:space="preserve">Total Sqm without Vent</t>
  </si>
  <si>
    <t xml:space="preserve">Total Sqm with Vent</t>
  </si>
  <si>
    <t xml:space="preserve">w. size</t>
  </si>
  <si>
    <t xml:space="preserve">Total</t>
  </si>
  <si>
    <t xml:space="preserve">Required Material For Window</t>
  </si>
  <si>
    <t xml:space="preserve">Profile</t>
  </si>
  <si>
    <t xml:space="preserve">Type</t>
  </si>
  <si>
    <t xml:space="preserve">Total Length</t>
  </si>
  <si>
    <t xml:space="preserve">extra 10%</t>
  </si>
  <si>
    <t xml:space="preserve">Pcs</t>
  </si>
  <si>
    <t xml:space="preserve">Roundup</t>
  </si>
  <si>
    <t xml:space="preserve">Weight / Pcs</t>
  </si>
  <si>
    <t xml:space="preserve">Used Weight </t>
  </si>
  <si>
    <t xml:space="preserve">Frame</t>
  </si>
  <si>
    <t xml:space="preserve">Shutter</t>
  </si>
  <si>
    <t xml:space="preserve">Interlock</t>
  </si>
  <si>
    <t xml:space="preserve">Net</t>
  </si>
  <si>
    <t xml:space="preserve">Clit Angle for Shutter</t>
  </si>
  <si>
    <t xml:space="preserve">Angle</t>
  </si>
  <si>
    <t xml:space="preserve">Required Material For Vent 300mm</t>
  </si>
  <si>
    <t xml:space="preserve">Extra 10%</t>
  </si>
  <si>
    <t xml:space="preserve">Weight</t>
  </si>
  <si>
    <t xml:space="preserve">Comment</t>
  </si>
  <si>
    <t xml:space="preserve">Vent Partition Sgl</t>
  </si>
  <si>
    <t xml:space="preserve">Length each window 2 - Hight 300mm X 2</t>
  </si>
  <si>
    <t xml:space="preserve">Vent Partition Dbl</t>
  </si>
  <si>
    <t xml:space="preserve">Hight only 300mm X 1</t>
  </si>
  <si>
    <t xml:space="preserve">U Channel</t>
  </si>
  <si>
    <t xml:space="preserve">Hight each window 300mm X 4</t>
  </si>
  <si>
    <t xml:space="preserve">Louver</t>
  </si>
  <si>
    <t xml:space="preserve">Length each window 5</t>
  </si>
  <si>
    <t xml:space="preserve">Mesh Net</t>
  </si>
  <si>
    <t xml:space="preserve">Length each window 2 - Hight 300mm X 4</t>
  </si>
  <si>
    <t xml:space="preserve">Grand Total</t>
  </si>
  <si>
    <t xml:space="preserve">Required Accessories For Fix One Side</t>
  </si>
  <si>
    <t xml:space="preserve">Unit</t>
  </si>
  <si>
    <t xml:space="preserve">Qty (Each Window)</t>
  </si>
  <si>
    <t xml:space="preserve">Total Qty </t>
  </si>
  <si>
    <t xml:space="preserve">Unit Rate</t>
  </si>
  <si>
    <t xml:space="preserve">Total Amount</t>
  </si>
  <si>
    <t xml:space="preserve">Rollers</t>
  </si>
  <si>
    <t xml:space="preserve">Nos</t>
  </si>
  <si>
    <t xml:space="preserve">Locks</t>
  </si>
  <si>
    <t xml:space="preserve">Push Angle</t>
  </si>
  <si>
    <t xml:space="preserve">Corner Clip</t>
  </si>
  <si>
    <t xml:space="preserve">Wool Pile</t>
  </si>
  <si>
    <t xml:space="preserve">Mtr</t>
  </si>
  <si>
    <t xml:space="preserve">Lenth X 3, Hight X 8</t>
  </si>
  <si>
    <t xml:space="preserve">Rubber</t>
  </si>
  <si>
    <t xml:space="preserve">Lenth X 6, Hight with Vent X 16 (Double Side)</t>
  </si>
  <si>
    <t xml:space="preserve">Screw(3"*75 mm)</t>
  </si>
  <si>
    <t xml:space="preserve">Wall Plug</t>
  </si>
  <si>
    <t xml:space="preserve">Silicon</t>
  </si>
  <si>
    <t xml:space="preserve">1 tube for each 1.5sqm if both side</t>
  </si>
  <si>
    <t xml:space="preserve">Glass</t>
  </si>
  <si>
    <t xml:space="preserve">Each Window Sqm without Vent</t>
  </si>
  <si>
    <t xml:space="preserve">70% of Sqm</t>
  </si>
  <si>
    <t xml:space="preserve">Required Accessories For Both Moving</t>
  </si>
  <si>
    <t xml:space="preserve">Qty Each Window</t>
  </si>
  <si>
    <t xml:space="preserve">Both Moving</t>
  </si>
  <si>
    <t xml:space="preserve">Rollers - GD52</t>
  </si>
  <si>
    <t xml:space="preserve">Locks - GD36</t>
  </si>
  <si>
    <t xml:space="preserve">Push Angle - GD49</t>
  </si>
  <si>
    <t xml:space="preserve">Corner Clip - GD48</t>
  </si>
  <si>
    <t xml:space="preserve">Wool Pile - GD02</t>
  </si>
  <si>
    <t xml:space="preserve">Rubber - GD45</t>
  </si>
  <si>
    <t xml:space="preserve">Lenth X 6, Hight with ventX 16 (Double Side)</t>
  </si>
  <si>
    <t xml:space="preserve">Screw(3"*75 mm) - GD07A</t>
  </si>
  <si>
    <t xml:space="preserve">Wall Plug - GD14B</t>
  </si>
  <si>
    <t xml:space="preserve">Silicon 1 tube per sqm - GD111A</t>
  </si>
  <si>
    <t xml:space="preserve">Mesh Net - GD30</t>
  </si>
  <si>
    <t xml:space="preserve">Silicon Balls (Double Glazzind Only) - </t>
  </si>
  <si>
    <t xml:space="preserve">Grams</t>
  </si>
  <si>
    <t xml:space="preserve">20-30 per Sqm ($15/kg)</t>
  </si>
  <si>
    <t xml:space="preserve">Spacer (Double Glazzing Only)</t>
  </si>
  <si>
    <t xml:space="preserve">Width X 2 + Hight X 2 ($10/30mtrs)</t>
  </si>
  <si>
    <t xml:space="preserve">Plastic Corners (Double Glazzing Only)</t>
  </si>
  <si>
    <t xml:space="preserve">Total Cost ForFix One Side</t>
  </si>
  <si>
    <t xml:space="preserve">Total Cost For Both Moving</t>
  </si>
  <si>
    <t xml:space="preserve">Sr. No</t>
  </si>
  <si>
    <t xml:space="preserve">Description</t>
  </si>
  <si>
    <t xml:space="preserve">Amount (USD)</t>
  </si>
  <si>
    <t xml:space="preserve">Aluminium</t>
  </si>
  <si>
    <t xml:space="preserve">Accessories</t>
  </si>
  <si>
    <t xml:space="preserve">Overheads (10%)</t>
  </si>
  <si>
    <t xml:space="preserve">Transport</t>
  </si>
  <si>
    <t xml:space="preserve"> Profit (30%)</t>
  </si>
  <si>
    <t xml:space="preserve">Total With Profit</t>
  </si>
  <si>
    <t xml:space="preserve">Cost Per Sqm</t>
  </si>
  <si>
    <t xml:space="preserve">Cost Per Sqm with Profit</t>
  </si>
  <si>
    <t xml:space="preserve">Dubai series with vent of 300mm on top</t>
  </si>
  <si>
    <t xml:space="preserve">China series with vent of 300mm on top</t>
  </si>
  <si>
    <t xml:space="preserve">Euro Series without Vent (3 Track)</t>
  </si>
  <si>
    <t xml:space="preserve">Hight</t>
  </si>
  <si>
    <t xml:space="preserve">No. Of Pieces Hight</t>
  </si>
  <si>
    <t xml:space="preserve">Total Sqm</t>
  </si>
  <si>
    <t xml:space="preserve">s/r</t>
  </si>
  <si>
    <t xml:space="preserve">sizes</t>
  </si>
  <si>
    <t xml:space="preserve">Length</t>
  </si>
  <si>
    <t xml:space="preserve">300 less Hight</t>
  </si>
  <si>
    <t xml:space="preserve">SQM</t>
  </si>
  <si>
    <t xml:space="preserve">TOTAL</t>
  </si>
  <si>
    <t xml:space="preserve">track</t>
  </si>
  <si>
    <t xml:space="preserve">side/top</t>
  </si>
  <si>
    <t xml:space="preserve">side</t>
  </si>
  <si>
    <t xml:space="preserve">top runner</t>
  </si>
  <si>
    <t xml:space="preserve">top </t>
  </si>
  <si>
    <t xml:space="preserve">bottom run</t>
  </si>
  <si>
    <t xml:space="preserve">handle</t>
  </si>
  <si>
    <t xml:space="preserve">interlock</t>
  </si>
  <si>
    <t xml:space="preserve">Mosq. Net</t>
  </si>
  <si>
    <t xml:space="preserve">For Vent 300mm</t>
  </si>
  <si>
    <t xml:space="preserve">Mosq.Net</t>
  </si>
  <si>
    <t xml:space="preserve">each window 2</t>
  </si>
  <si>
    <t xml:space="preserve">each window 5</t>
  </si>
  <si>
    <t xml:space="preserve">top</t>
  </si>
  <si>
    <t xml:space="preserve">each window 1</t>
  </si>
  <si>
    <t xml:space="preserve">each window 4</t>
  </si>
  <si>
    <t xml:space="preserve">middle</t>
  </si>
  <si>
    <t xml:space="preserve">Price For Aluminium</t>
  </si>
  <si>
    <t xml:space="preserve">Round Tube</t>
  </si>
  <si>
    <t xml:space="preserve">Square Tube</t>
  </si>
  <si>
    <t xml:space="preserve">Lenth X 6, Hight X 12 (Double Side)</t>
  </si>
  <si>
    <t xml:space="preserve">50% of Sqm</t>
  </si>
  <si>
    <t xml:space="preserve">Round Bars for burgler only</t>
  </si>
  <si>
    <t xml:space="preserve">Piece</t>
  </si>
  <si>
    <t xml:space="preserve">Round Rubber Seal</t>
  </si>
  <si>
    <t xml:space="preserve">Total Hight/100*4</t>
  </si>
  <si>
    <t xml:space="preserve">Nut for Iron Bars</t>
  </si>
  <si>
    <t xml:space="preserve">Per Piece</t>
  </si>
  <si>
    <t xml:space="preserve">Total Hight/100*2</t>
  </si>
  <si>
    <t xml:space="preserve">Threading</t>
  </si>
  <si>
    <t xml:space="preserve">Total Hight/100</t>
  </si>
  <si>
    <t xml:space="preserve">Silicon Balls (Double Glazzind Only)</t>
  </si>
  <si>
    <t xml:space="preserve">Each Window Sqm</t>
  </si>
  <si>
    <t xml:space="preserve">Vent Partition Euro</t>
  </si>
  <si>
    <t xml:space="preserve">Vent Middle Euro</t>
  </si>
  <si>
    <t xml:space="preserve">Lenth X 3, Hight X 6</t>
  </si>
  <si>
    <t xml:space="preserve">Lenth X 4, Hight with Vent X 8 (Double Side)</t>
  </si>
  <si>
    <t xml:space="preserve">Lenth X 4, Hight with ventX 8 (Double Side)</t>
  </si>
  <si>
    <t xml:space="preserve"> 07A</t>
  </si>
  <si>
    <t xml:space="preserve"> 14b</t>
  </si>
  <si>
    <t xml:space="preserve">111a</t>
  </si>
  <si>
    <t xml:space="preserve">Total Cost Fix One Side</t>
  </si>
  <si>
    <t xml:space="preserve"> Profit (20%)</t>
  </si>
  <si>
    <t xml:space="preserve">Projected window with vent of 300mm on top</t>
  </si>
  <si>
    <t xml:space="preserve">Dubai Series with Vent of 300mm on Top (3 Track)</t>
  </si>
  <si>
    <t xml:space="preserve"> </t>
  </si>
  <si>
    <t xml:space="preserve">Used Weight</t>
  </si>
  <si>
    <t xml:space="preserve">Track Bottom</t>
  </si>
  <si>
    <t xml:space="preserve">Track Top / Side</t>
  </si>
  <si>
    <t xml:space="preserve">Top Runner</t>
  </si>
  <si>
    <t xml:space="preserve">Bottom Runner</t>
  </si>
  <si>
    <t xml:space="preserve">Handle</t>
  </si>
  <si>
    <t xml:space="preserve">95mm</t>
  </si>
  <si>
    <t xml:space="preserve">Sliding net shutter</t>
  </si>
  <si>
    <t xml:space="preserve">Rollers - GD29</t>
  </si>
  <si>
    <t xml:space="preserve">Mesh Net Roller - GD28</t>
  </si>
  <si>
    <t xml:space="preserve">Locks A2 - GD38</t>
  </si>
  <si>
    <t xml:space="preserve">Lenth X 4, Hight X 4</t>
  </si>
  <si>
    <t xml:space="preserve">Rubber - G45A</t>
  </si>
  <si>
    <t xml:space="preserve">Lenth X 5, Hight with Vent X 6 (Double Side)</t>
  </si>
  <si>
    <t xml:space="preserve">Net Handle</t>
  </si>
  <si>
    <t xml:space="preserve">Screw(3"*75 mm) - GD10A</t>
  </si>
  <si>
    <t xml:space="preserve">Wall Plug - GD 14B</t>
  </si>
  <si>
    <t xml:space="preserve">Silicon - GD 111A</t>
  </si>
  <si>
    <t xml:space="preserve">Mesh Net - GD 30</t>
  </si>
  <si>
    <t xml:space="preserve">Mesh Net Roller</t>
  </si>
  <si>
    <t xml:space="preserve">Locks A2</t>
  </si>
  <si>
    <t xml:space="preserve">Lenth X 4, Hight X 6</t>
  </si>
  <si>
    <t xml:space="preserve">Lenth X 5, Hight X 9 (Double Side)</t>
  </si>
  <si>
    <t xml:space="preserve">vent mesh net</t>
  </si>
  <si>
    <t xml:space="preserve">Track Side</t>
  </si>
  <si>
    <t xml:space="preserve">Track Top With Vent</t>
  </si>
  <si>
    <t xml:space="preserve">8mm</t>
  </si>
  <si>
    <t xml:space="preserve">Locking</t>
  </si>
  <si>
    <t xml:space="preserve">Side Cover</t>
  </si>
  <si>
    <t xml:space="preserve">Hight 300 X 2</t>
  </si>
  <si>
    <t xml:space="preserve">Top Vent</t>
  </si>
  <si>
    <t xml:space="preserve">Length each window X 1</t>
  </si>
  <si>
    <t xml:space="preserve">Vent Middle</t>
  </si>
  <si>
    <t xml:space="preserve">Hight 300 X 1</t>
  </si>
  <si>
    <t xml:space="preserve">PJ</t>
  </si>
  <si>
    <t xml:space="preserve">CD</t>
  </si>
  <si>
    <t xml:space="preserve">Rollers - GD21</t>
  </si>
  <si>
    <t xml:space="preserve">Mesh Net Roller - GD30</t>
  </si>
  <si>
    <t xml:space="preserve">Crescent Lock - GD17</t>
  </si>
  <si>
    <t xml:space="preserve">Hight X 4</t>
  </si>
  <si>
    <t xml:space="preserve">Rubber - GD45A</t>
  </si>
  <si>
    <t xml:space="preserve">Lenth X 4, Hight with vent X 4</t>
  </si>
  <si>
    <t xml:space="preserve">Screw(3"*75 mm) - GD10</t>
  </si>
  <si>
    <t xml:space="preserve">Silicon - GD111A</t>
  </si>
  <si>
    <t xml:space="preserve">Connector Guiders - GD20A</t>
  </si>
  <si>
    <t xml:space="preserve">Set</t>
  </si>
  <si>
    <t xml:space="preserve">Mesh Net Guiders - GD23</t>
  </si>
  <si>
    <t xml:space="preserve">Crescent Lock</t>
  </si>
  <si>
    <t xml:space="preserve">Connector Guiders</t>
  </si>
  <si>
    <t xml:space="preserve">Mesh Net Guiders</t>
  </si>
  <si>
    <t xml:space="preserve">ART 102862/H</t>
  </si>
  <si>
    <t xml:space="preserve">ART 102861/M</t>
  </si>
  <si>
    <t xml:space="preserve">Track Top</t>
  </si>
  <si>
    <t xml:space="preserve">ART 2002857/M</t>
  </si>
  <si>
    <t xml:space="preserve">ART 2002856/M</t>
  </si>
  <si>
    <t xml:space="preserve">ART 2002858/M</t>
  </si>
  <si>
    <t xml:space="preserve">RT  for Frame</t>
  </si>
  <si>
    <t xml:space="preserve">Total WidthX2+ Hight 300mm X 3</t>
  </si>
  <si>
    <t xml:space="preserve">Total WidthX2+ Hight 300mm X 4</t>
  </si>
  <si>
    <t xml:space="preserve">Roller</t>
  </si>
  <si>
    <t xml:space="preserve">3rs</t>
  </si>
  <si>
    <t xml:space="preserve">Lock</t>
  </si>
  <si>
    <t xml:space="preserve">Pair</t>
  </si>
  <si>
    <t xml:space="preserve">20 rs</t>
  </si>
  <si>
    <t xml:space="preserve">pair</t>
  </si>
  <si>
    <t xml:space="preserve">600rs</t>
  </si>
  <si>
    <t xml:space="preserve">36 mtrs</t>
  </si>
  <si>
    <t xml:space="preserve">Dubai Series PJ with Vent &amp; Fix</t>
  </si>
  <si>
    <t xml:space="preserve">Vent</t>
  </si>
  <si>
    <t xml:space="preserve">Fix</t>
  </si>
  <si>
    <t xml:space="preserve">Hight With Vent</t>
  </si>
  <si>
    <t xml:space="preserve">Hight with Fix</t>
  </si>
  <si>
    <t xml:space="preserve">Hight without Vent &amp; Fix</t>
  </si>
  <si>
    <t xml:space="preserve">Total Hight with Fix</t>
  </si>
  <si>
    <t xml:space="preserve">Total Hight without Vent &amp; Fix </t>
  </si>
  <si>
    <t xml:space="preserve">Sqm Vent</t>
  </si>
  <si>
    <t xml:space="preserve">Sqm Fix</t>
  </si>
  <si>
    <t xml:space="preserve">Sqm with Fix</t>
  </si>
  <si>
    <t xml:space="preserve">Sqm without vent &amp; Fix</t>
  </si>
  <si>
    <t xml:space="preserve">Total Sqm </t>
  </si>
  <si>
    <t xml:space="preserve">Weight / Pc</t>
  </si>
  <si>
    <t xml:space="preserve">Beading</t>
  </si>
  <si>
    <t xml:space="preserve">Middle</t>
  </si>
  <si>
    <t xml:space="preserve">Required Material For Fix</t>
  </si>
  <si>
    <t xml:space="preserve">Required Accessories For PJ without Vent &amp; Fix</t>
  </si>
  <si>
    <t xml:space="preserve">PJ Handle - GD57</t>
  </si>
  <si>
    <t xml:space="preserve">PJ Hinge - GD62</t>
  </si>
  <si>
    <t xml:space="preserve">Screw For Frame Fitting (10X3)  - GD07AA</t>
  </si>
  <si>
    <t xml:space="preserve">PJ Hinge</t>
  </si>
  <si>
    <t xml:space="preserve">12 inch</t>
  </si>
  <si>
    <t xml:space="preserve">Screw For Fabrication (8X1/2) Self Tapping - GD10A</t>
  </si>
  <si>
    <t xml:space="preserve">Screw</t>
  </si>
  <si>
    <t xml:space="preserve">Any</t>
  </si>
  <si>
    <t xml:space="preserve">1000 / box</t>
  </si>
  <si>
    <t xml:space="preserve">Wool Pile - Use with Shutter Only - GD02</t>
  </si>
  <si>
    <t xml:space="preserve">Wool Pile - 7X5</t>
  </si>
  <si>
    <t xml:space="preserve">300 mtrs</t>
  </si>
  <si>
    <t xml:space="preserve">Euro Rubber with Shutter - GD45</t>
  </si>
  <si>
    <t xml:space="preserve">Euro Rubber</t>
  </si>
  <si>
    <t xml:space="preserve">55 mtrs</t>
  </si>
  <si>
    <t xml:space="preserve">100/Box</t>
  </si>
  <si>
    <t xml:space="preserve">Silicon Structure - GD111A</t>
  </si>
  <si>
    <t xml:space="preserve">1.2 Mtr Hight</t>
  </si>
  <si>
    <t xml:space="preserve">25Mtr</t>
  </si>
  <si>
    <t xml:space="preserve">Glass Shutter</t>
  </si>
  <si>
    <t xml:space="preserve">Each Window Sqm without vent &amp; fix</t>
  </si>
  <si>
    <t xml:space="preserve">1.5 Mtr Hight</t>
  </si>
  <si>
    <t xml:space="preserve">Required Accessories For Vent</t>
  </si>
  <si>
    <t xml:space="preserve">Total Quantity</t>
  </si>
  <si>
    <t xml:space="preserve">Screw For Louvers - GD08</t>
  </si>
  <si>
    <t xml:space="preserve">Screw For Transome - GD07A</t>
  </si>
  <si>
    <t xml:space="preserve">Total of Vent SQM</t>
  </si>
  <si>
    <t xml:space="preserve">Euro Rubber with Fix </t>
  </si>
  <si>
    <t xml:space="preserve">Mtrs</t>
  </si>
  <si>
    <t xml:space="preserve">Screw For Transome</t>
  </si>
  <si>
    <t xml:space="preserve">Glass for Fix</t>
  </si>
  <si>
    <t xml:space="preserve">Total of Fix SQM</t>
  </si>
  <si>
    <t xml:space="preserve">Total Cost PJ Without Fix &amp; Vent</t>
  </si>
  <si>
    <t xml:space="preserve">Total Cost PJ With Vent</t>
  </si>
  <si>
    <t xml:space="preserve">Total Cost PJ With Fix</t>
  </si>
  <si>
    <t xml:space="preserve">Total Cost PJ With Fix &amp; VENT</t>
  </si>
  <si>
    <t xml:space="preserve">Required Material For Sliding Net</t>
  </si>
  <si>
    <t xml:space="preserve">Frame Sides</t>
  </si>
  <si>
    <t xml:space="preserve">Sliding Net</t>
  </si>
  <si>
    <t xml:space="preserve">PJ Handle - GD73A</t>
  </si>
  <si>
    <t xml:space="preserve">Screw For Frame Fitting (10X3) - GD07A</t>
  </si>
  <si>
    <t xml:space="preserve">Sound Proof Rubber - Frame &amp; Shutter - GD47</t>
  </si>
  <si>
    <t xml:space="preserve">Silicon Structure - GD111B</t>
  </si>
  <si>
    <t xml:space="preserve">Sound Proof Rubber</t>
  </si>
  <si>
    <t xml:space="preserve">200 Mtrs</t>
  </si>
  <si>
    <t xml:space="preserve">Round Rubber</t>
  </si>
  <si>
    <t xml:space="preserve">3mm</t>
  </si>
  <si>
    <t xml:space="preserve">Required Accessories For Sliding Mesh Net</t>
  </si>
  <si>
    <t xml:space="preserve">GT 93 (Guiders with Screw &amp; Others)</t>
  </si>
  <si>
    <t xml:space="preserve">1 set if one shutter</t>
  </si>
  <si>
    <t xml:space="preserve"> GT 96 (M. Net)</t>
  </si>
  <si>
    <t xml:space="preserve">Total Sqm of Each Window</t>
  </si>
  <si>
    <t xml:space="preserve">GT 94 (Plastic Strip)</t>
  </si>
  <si>
    <t xml:space="preserve">Total Width of each window</t>
  </si>
  <si>
    <t xml:space="preserve">GT 95 (Thread)</t>
  </si>
  <si>
    <t xml:space="preserve">Hight x 8</t>
  </si>
  <si>
    <t xml:space="preserve">Round Rubber For Mesh Net - GD39</t>
  </si>
  <si>
    <t xml:space="preserve">Mesh Net - Gd30</t>
  </si>
  <si>
    <t xml:space="preserve">Total Sqm of Vent</t>
  </si>
  <si>
    <t xml:space="preserve">Euro Rubber with Fix</t>
  </si>
  <si>
    <t xml:space="preserve">Total Sqm of Fix</t>
  </si>
  <si>
    <t xml:space="preserve">Total Cost PJ With Fix &amp; Rolling Mesh Net</t>
  </si>
  <si>
    <t xml:space="preserve">44 Column Door with Vent</t>
  </si>
  <si>
    <t xml:space="preserve">Hight without Vent</t>
  </si>
  <si>
    <t xml:space="preserve">Sqm without vent</t>
  </si>
  <si>
    <t xml:space="preserve">Required Material For Door </t>
  </si>
  <si>
    <t xml:space="preserve">Frame / Single Part</t>
  </si>
  <si>
    <t xml:space="preserve">Door Top &amp; Hing Side</t>
  </si>
  <si>
    <t xml:space="preserve">Door Lock Side / Double Brush</t>
  </si>
  <si>
    <t xml:space="preserve">Door Bottom</t>
  </si>
  <si>
    <t xml:space="preserve">Transome / Middle</t>
  </si>
  <si>
    <t xml:space="preserve">Beading / Clip</t>
  </si>
  <si>
    <t xml:space="preserve">Double Partition / Middle</t>
  </si>
  <si>
    <t xml:space="preserve">Required Accessories Door</t>
  </si>
  <si>
    <t xml:space="preserve">Qty (Each Door)</t>
  </si>
  <si>
    <t xml:space="preserve">Door Lock - GD67</t>
  </si>
  <si>
    <t xml:space="preserve">Pieces</t>
  </si>
  <si>
    <t xml:space="preserve">Door Handle - GD33</t>
  </si>
  <si>
    <t xml:space="preserve">Door Hinges - GD05</t>
  </si>
  <si>
    <t xml:space="preserve">MDF Board - If Required</t>
  </si>
  <si>
    <t xml:space="preserve">Screw For Frame Fitting (10X3) -GD07A</t>
  </si>
  <si>
    <t xml:space="preserve">Screw For Frame Fabrication - GD10A</t>
  </si>
  <si>
    <t xml:space="preserve">Screw For Shutter Fabrication GD10A</t>
  </si>
  <si>
    <t xml:space="preserve">Each Door Sqm without vent &amp; fix</t>
  </si>
  <si>
    <t xml:space="preserve">MDF Board </t>
  </si>
  <si>
    <t xml:space="preserve">4X8 feet = 2.97 Sqm</t>
  </si>
  <si>
    <t xml:space="preserve">Total Cost 44 CD without Vent</t>
  </si>
  <si>
    <t xml:space="preserve">Total Cost 44 CD with Vent</t>
  </si>
  <si>
    <t xml:space="preserve">Door Lock</t>
  </si>
  <si>
    <t xml:space="preserve">70mm</t>
  </si>
  <si>
    <t xml:space="preserve">Cylinder</t>
  </si>
  <si>
    <t xml:space="preserve">Door Handle</t>
  </si>
  <si>
    <t xml:space="preserve">Door Hinges</t>
  </si>
  <si>
    <t xml:space="preserve">Screw For Frame Fitting (8X3) </t>
  </si>
  <si>
    <t xml:space="preserve">Screw For Frame Fabrication</t>
  </si>
  <si>
    <t xml:space="preserve">Screw For Shutter Fabrication</t>
  </si>
  <si>
    <t xml:space="preserve">Euro Rubber with Shutter</t>
  </si>
  <si>
    <t xml:space="preserve">Silicon Structure</t>
  </si>
  <si>
    <t xml:space="preserve">Screw For Louvers</t>
  </si>
  <si>
    <t xml:space="preserve">Screw For Transom 300mm</t>
  </si>
  <si>
    <t xml:space="preserve">Round Rubber For Mesh Net</t>
  </si>
  <si>
    <t xml:space="preserve">6000 Euro Door with Vent</t>
  </si>
  <si>
    <t xml:space="preserve">Door Frame</t>
  </si>
  <si>
    <t xml:space="preserve">Door Shutter Top &amp; Side</t>
  </si>
  <si>
    <t xml:space="preserve">Aluminium Pannel</t>
  </si>
  <si>
    <t xml:space="preserve">Door Hinges - GD68</t>
  </si>
  <si>
    <t xml:space="preserve">Sound Proof Rubber - GD47</t>
  </si>
  <si>
    <t xml:space="preserve">Screw For Frame &amp; Shutter Fabrication - GD10A</t>
  </si>
  <si>
    <t xml:space="preserve">Screw for Fixing Transome - GD07A</t>
  </si>
  <si>
    <t xml:space="preserve">Total Cost 6000 Door without Vent</t>
  </si>
  <si>
    <t xml:space="preserve">Total Cost 6000 Door with Vent</t>
  </si>
  <si>
    <t xml:space="preserve">Screw For Frame Fitting (10X3) </t>
  </si>
  <si>
    <t xml:space="preserve">Screw For Frame &amp; Shutter Fabrication</t>
  </si>
  <si>
    <t xml:space="preserve">Screw for Fixing Transome</t>
  </si>
  <si>
    <t xml:space="preserve">No of Partition Width</t>
  </si>
  <si>
    <t xml:space="preserve">No of Partition Hight</t>
  </si>
  <si>
    <t xml:space="preserve">Total Width with partition</t>
  </si>
  <si>
    <t xml:space="preserve">Total Hight with Partition</t>
  </si>
  <si>
    <t xml:space="preserve">Required Material For Additional Partition</t>
  </si>
  <si>
    <t xml:space="preserve">Beaading</t>
  </si>
  <si>
    <t xml:space="preserve">Required Accessories For Euro Fix</t>
  </si>
  <si>
    <t xml:space="preserve">Screw For Fabrication (8X1/2) Self Tapping</t>
  </si>
  <si>
    <t xml:space="preserve">Total Cost Euro Fix Window</t>
  </si>
  <si>
    <t xml:space="preserve">Total Cost Euro Fix Window with vent</t>
  </si>
  <si>
    <t xml:space="preserve">Fix Window / Partition</t>
  </si>
  <si>
    <t xml:space="preserve">3 Track G Das With vent</t>
  </si>
  <si>
    <t xml:space="preserve">Quantity</t>
  </si>
  <si>
    <t xml:space="preserve">Height</t>
  </si>
  <si>
    <t xml:space="preserve">Material</t>
  </si>
  <si>
    <t xml:space="preserve">Price</t>
  </si>
  <si>
    <t xml:space="preserve">Lable</t>
  </si>
  <si>
    <t xml:space="preserve">3 Track G Das Without vent</t>
  </si>
  <si>
    <t xml:space="preserve">8mm laminated Glass</t>
  </si>
  <si>
    <t xml:space="preserve">KBP</t>
  </si>
  <si>
    <t xml:space="preserve">2 track Euro with vent &amp; without vent</t>
  </si>
  <si>
    <t xml:space="preserve">GDIL 3003</t>
  </si>
  <si>
    <t xml:space="preserve">2 track Dubai with vent &amp; without vent</t>
  </si>
  <si>
    <t xml:space="preserve">GDIL 3005</t>
  </si>
  <si>
    <t xml:space="preserve">2 track China with vent &amp; without vent</t>
  </si>
  <si>
    <t xml:space="preserve">Silicon Clear</t>
  </si>
  <si>
    <t xml:space="preserve">3 &amp; 2 Track Domal With vent &amp; without vent</t>
  </si>
  <si>
    <t xml:space="preserve">3 &amp; 2 Track Euro Overlap  With vent &amp; without vent</t>
  </si>
  <si>
    <t xml:space="preserve">GDIl 7011</t>
  </si>
  <si>
    <t xml:space="preserve">2 track 20mm affrdable series with &amp; without vent</t>
  </si>
  <si>
    <t xml:space="preserve">GDIL 9509</t>
  </si>
  <si>
    <t xml:space="preserve">3 track 20mm affrdable series with &amp; without vent</t>
  </si>
  <si>
    <t xml:space="preserve">GDIL 1315</t>
  </si>
  <si>
    <t xml:space="preserve">30 /42 PJ with &amp; without vent </t>
  </si>
  <si>
    <t xml:space="preserve">GDIL 1420</t>
  </si>
  <si>
    <t xml:space="preserve">6000 PJ with &amp; without vent</t>
  </si>
  <si>
    <t xml:space="preserve">GDIL 1425</t>
  </si>
  <si>
    <t xml:space="preserve">44 Column door with &amp; without vent</t>
  </si>
  <si>
    <t xml:space="preserve">1 Pkt</t>
  </si>
  <si>
    <t xml:space="preserve">6000 door with &amp; without vent</t>
  </si>
  <si>
    <t xml:space="preserve">Double Tape</t>
  </si>
  <si>
    <t xml:space="preserve">100 Roll</t>
  </si>
  <si>
    <t xml:space="preserve">Column double door with &amp; without vent</t>
  </si>
  <si>
    <t xml:space="preserve">Masking Tape</t>
  </si>
  <si>
    <t xml:space="preserve">1 Roll</t>
  </si>
  <si>
    <t xml:space="preserve">100 X 44 Partition with &amp; without vent</t>
  </si>
  <si>
    <t xml:space="preserve">Euro Rubber </t>
  </si>
  <si>
    <t xml:space="preserve">80 X 40 Partition with &amp; without vent</t>
  </si>
  <si>
    <t xml:space="preserve">63 X 38 Partition with &amp; without vent</t>
  </si>
  <si>
    <t xml:space="preserve">59 X 24 Partition with &amp; without vent</t>
  </si>
  <si>
    <t xml:space="preserve">rolling mosquito net </t>
  </si>
  <si>
    <t xml:space="preserve">6000 Double fram window with vent &amp; without vent</t>
  </si>
  <si>
    <t xml:space="preserve">Loovers Ducting doors</t>
  </si>
  <si>
    <t xml:space="preserve">CLIT ANGLE</t>
  </si>
  <si>
    <t xml:space="preserve">ANGLE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</si>
</sst>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General"/>
    <numFmt numFmtId="167" formatCode="\ * #,##0\ ;\ * \(#,##0\);\ * &quot;- &quot;;\ @\ "/>
    <numFmt numFmtId="168" formatCode="\ * #,##0.00\ ;\ * \(#,##0.00\);\ * &quot;- &quot;;\ @\ "/>
    <numFmt numFmtId="169" formatCode="\ * #,##0.00\ ;\ * \(#,##0.00\);\ * \-#\ ;\ @\ "/>
    <numFmt numFmtId="170" formatCode="0.00"/>
    <numFmt numFmtId="171" formatCode="0.0"/>
    <numFmt numFmtId="172" formatCode="\ * #,##0.000\ ;\ * \(#,##0.000\);\ * &quot;- &quot;;\ @\ "/>
    <numFmt numFmtId="173" formatCode="\ * #,##0.0\ ;\ * \(#,##0.0\);\ * \-#\ ;\ @\ "/>
  </numFmts>
  <fonts count="13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8"/>
      <color rgb="FF000000"/>
      <name val="Calibri"/>
      <family val="2"/>
    </font>
    <font>
      <sz val="14"/>
      <color rgb="FFFF0000"/>
      <name val="Calibri"/>
      <family val="2"/>
    </font>
    <font>
      <b val="true"/>
      <sz val="14"/>
      <color rgb="FFFF0000"/>
      <name val="Calibri"/>
      <family val="2"/>
    </font>
    <font>
      <b val="true"/>
      <sz val="16"/>
      <color rgb="FF000000"/>
      <name val="Calibri"/>
      <family val="2"/>
    </font>
    <font>
      <b val="true"/>
      <sz val="20"/>
      <color rgb="FFFF0000"/>
      <name val="Calibri"/>
      <family val="2"/>
    </font>
    <font>
      <b val="true"/>
      <sz val="18"/>
      <color rgb="FFFF0000"/>
      <name val="Calibri"/>
      <family val="2"/>
    </font>
    <font>
      <sz val="18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DC3E6"/>
        <bgColor rgb="FF8FAA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4" borderId="3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  <cellStyle name="Excel Built-in Comma [0]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" activeCellId="0" sqref="F3"/>
    </sheetView>
  </sheetViews>
  <sheetFormatPr defaultColWidth="10.59375" defaultRowHeight="15" zeroHeight="false" outlineLevelRow="0" outlineLevelCol="0"/>
  <cols>
    <col collapsed="false" customWidth="true" hidden="false" outlineLevel="0" max="3" min="3" style="0" width="12.18"/>
    <col collapsed="false" customWidth="true" hidden="false" outlineLevel="0" max="6" min="6" style="0" width="22"/>
  </cols>
  <sheetData>
    <row r="3" customFormat="false" ht="15" hidden="false" customHeight="false" outlineLevel="0" collapsed="false">
      <c r="B3" s="0" t="s">
        <v>0</v>
      </c>
      <c r="C3" s="0" t="n">
        <v>2200</v>
      </c>
      <c r="D3" s="0" t="n">
        <v>1500</v>
      </c>
      <c r="G3" s="0" t="s">
        <v>0</v>
      </c>
      <c r="H3" s="0" t="n">
        <v>2200</v>
      </c>
      <c r="I3" s="0" t="n">
        <v>1500</v>
      </c>
    </row>
    <row r="4" customFormat="false" ht="15" hidden="false" customHeight="false" outlineLevel="0" collapsed="false">
      <c r="B4" s="0" t="s">
        <v>0</v>
      </c>
      <c r="C4" s="0" t="n">
        <v>2400</v>
      </c>
      <c r="D4" s="0" t="n">
        <v>1500</v>
      </c>
      <c r="G4" s="0" t="s">
        <v>0</v>
      </c>
      <c r="H4" s="0" t="n">
        <v>2400</v>
      </c>
      <c r="I4" s="0" t="n">
        <v>1500</v>
      </c>
    </row>
    <row r="5" customFormat="false" ht="15" hidden="false" customHeight="false" outlineLevel="0" collapsed="false">
      <c r="B5" s="0" t="s">
        <v>0</v>
      </c>
      <c r="C5" s="0" t="n">
        <v>3200</v>
      </c>
      <c r="D5" s="0" t="n">
        <v>1000</v>
      </c>
      <c r="G5" s="0" t="s">
        <v>0</v>
      </c>
      <c r="H5" s="0" t="n">
        <v>3200</v>
      </c>
      <c r="I5" s="0" t="n">
        <v>1000</v>
      </c>
    </row>
    <row r="6" customFormat="false" ht="15" hidden="false" customHeight="false" outlineLevel="0" collapsed="false">
      <c r="B6" s="0" t="s">
        <v>0</v>
      </c>
      <c r="C6" s="0" t="n">
        <v>2100</v>
      </c>
      <c r="D6" s="0" t="n">
        <v>1000</v>
      </c>
      <c r="G6" s="0" t="s">
        <v>0</v>
      </c>
      <c r="H6" s="0" t="n">
        <v>2100</v>
      </c>
      <c r="I6" s="0" t="n">
        <v>1000</v>
      </c>
    </row>
    <row r="7" customFormat="false" ht="15" hidden="false" customHeight="false" outlineLevel="0" collapsed="false">
      <c r="D7" s="0" t="s">
        <v>1</v>
      </c>
      <c r="I7" s="0" t="s">
        <v>1</v>
      </c>
    </row>
    <row r="8" customFormat="false" ht="15" hidden="false" customHeight="false" outlineLevel="0" collapsed="false">
      <c r="B8" s="0" t="n">
        <v>5017</v>
      </c>
      <c r="C8" s="0" t="n">
        <f aca="false">(C6*2)+(C5*2)+(C4*2)+(C3*2)+(D6*2)+(D5*2)+(D4*2)+(D3*2)</f>
        <v>29800</v>
      </c>
      <c r="D8" s="0" t="n">
        <f aca="false">C8/6400</f>
        <v>4.65625</v>
      </c>
      <c r="G8" s="0" t="n">
        <v>5017</v>
      </c>
      <c r="H8" s="0" t="n">
        <f aca="false">(H6*2)+(H5*2)+(H4*2)+(H3*2)+(I6*2)+(I5*2)+(I4*2)+(I3*2)</f>
        <v>29800</v>
      </c>
      <c r="I8" s="1" t="n">
        <f aca="false">H8/6400</f>
        <v>4.65625</v>
      </c>
    </row>
    <row r="9" customFormat="false" ht="15" hidden="false" customHeight="false" outlineLevel="0" collapsed="false">
      <c r="B9" s="0" t="n">
        <v>5019</v>
      </c>
      <c r="C9" s="0" t="n">
        <f aca="false">(D6*4)+(D5*4)+(D4*4)+(D3*4)+(C6*2)+(C5*2)+(C4*2)+(C3*2)</f>
        <v>39800</v>
      </c>
      <c r="D9" s="0" t="n">
        <f aca="false">C9/6400</f>
        <v>6.21875</v>
      </c>
      <c r="G9" s="0" t="n">
        <v>5019</v>
      </c>
      <c r="H9" s="0" t="n">
        <f aca="false">(I6*6)+(I5*6)+(I4*6)+(I3*6)+(H6*2.5)+(H5*2.5)+(H4*2.5)+(H3*2.5)</f>
        <v>54750</v>
      </c>
      <c r="I9" s="1" t="n">
        <f aca="false">H9/6400</f>
        <v>8.5546875</v>
      </c>
    </row>
    <row r="10" customFormat="false" ht="15" hidden="false" customHeight="false" outlineLevel="0" collapsed="false">
      <c r="B10" s="0" t="n">
        <v>5023</v>
      </c>
      <c r="C10" s="0" t="n">
        <f aca="false">(D6*2)+(D5*4)+(D4*4)+(D3*4)</f>
        <v>18000</v>
      </c>
      <c r="D10" s="0" t="n">
        <f aca="false">C10/6400</f>
        <v>2.8125</v>
      </c>
      <c r="G10" s="0" t="n">
        <v>5023</v>
      </c>
      <c r="H10" s="0" t="n">
        <f aca="false">(I6*3)+(I5*3)+(I4*3)+(I3*3)</f>
        <v>15000</v>
      </c>
      <c r="I10" s="1" t="n">
        <f aca="false">H10/6400</f>
        <v>2.34375</v>
      </c>
    </row>
    <row r="11" customFormat="false" ht="15" hidden="false" customHeight="false" outlineLevel="0" collapsed="false">
      <c r="G11" s="0" t="n">
        <v>5025</v>
      </c>
      <c r="H11" s="0" t="n">
        <f aca="false">(H6*1)+(H5*1)+(H4*1)+(H3*1)+(I6*2)+(I5*2)+(I4*2)+(I3*2)</f>
        <v>19900</v>
      </c>
      <c r="I11" s="1" t="n">
        <f aca="false">H11/6400</f>
        <v>3.109375</v>
      </c>
    </row>
    <row r="12" customFormat="false" ht="15" hidden="false" customHeight="false" outlineLevel="0" collapsed="false">
      <c r="I12" s="1"/>
    </row>
    <row r="13" customFormat="false" ht="15" hidden="false" customHeight="false" outlineLevel="0" collapsed="false">
      <c r="G13" s="0" t="s">
        <v>2</v>
      </c>
      <c r="I13" s="1"/>
    </row>
    <row r="14" customFormat="false" ht="15" hidden="false" customHeight="false" outlineLevel="0" collapsed="false">
      <c r="I14" s="1"/>
    </row>
    <row r="15" customFormat="false" ht="15" hidden="false" customHeight="false" outlineLevel="0" collapsed="false">
      <c r="F15" s="0" t="s">
        <v>3</v>
      </c>
      <c r="G15" s="0" t="n">
        <v>5029</v>
      </c>
      <c r="H15" s="0" t="n">
        <f aca="false">(H6*2)+(H5*2)+(H4*2)+(H3*2)+(300*8)</f>
        <v>22200</v>
      </c>
      <c r="I15" s="1" t="n">
        <f aca="false">H15/6400</f>
        <v>3.46875</v>
      </c>
    </row>
    <row r="16" customFormat="false" ht="15" hidden="false" customHeight="false" outlineLevel="0" collapsed="false">
      <c r="F16" s="0" t="s">
        <v>3</v>
      </c>
      <c r="G16" s="0" t="n">
        <v>5031</v>
      </c>
      <c r="H16" s="0" t="n">
        <f aca="false">300*4</f>
        <v>1200</v>
      </c>
      <c r="I16" s="2" t="n">
        <f aca="false">H16/6400</f>
        <v>0.1875</v>
      </c>
    </row>
    <row r="17" customFormat="false" ht="15" hidden="false" customHeight="false" outlineLevel="0" collapsed="false">
      <c r="F17" s="0" t="s">
        <v>3</v>
      </c>
      <c r="G17" s="0" t="n">
        <v>1544</v>
      </c>
      <c r="H17" s="0" t="n">
        <f aca="false">300*16</f>
        <v>4800</v>
      </c>
      <c r="I17" s="1" t="n">
        <f aca="false">H17/6400</f>
        <v>0.75</v>
      </c>
    </row>
    <row r="18" customFormat="false" ht="15" hidden="false" customHeight="false" outlineLevel="0" collapsed="false">
      <c r="F18" s="0" t="s">
        <v>3</v>
      </c>
      <c r="G18" s="0" t="n">
        <v>6515</v>
      </c>
      <c r="H18" s="0" t="n">
        <f aca="false">(H6*5)+(H5*5)+(H4*5)+(H3*5)</f>
        <v>49500</v>
      </c>
      <c r="I18" s="1" t="n">
        <f aca="false">H18/6400</f>
        <v>7.734375</v>
      </c>
    </row>
    <row r="19" customFormat="false" ht="15" hidden="false" customHeight="false" outlineLevel="0" collapsed="false">
      <c r="F19" s="0" t="s">
        <v>3</v>
      </c>
      <c r="G19" s="0" t="n">
        <v>3035</v>
      </c>
      <c r="H19" s="0" t="n">
        <f aca="false">(H6*2)+(H5*2)+(H4*2)+(H3*2)+(300*16)</f>
        <v>24600</v>
      </c>
      <c r="I19" s="1" t="n">
        <f aca="false">H19/6400</f>
        <v>3.84375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122"/>
  <sheetViews>
    <sheetView showFormulas="false" showGridLines="true" showRowColHeaders="true" showZeros="true" rightToLeft="false" tabSelected="false" showOutlineSymbols="true" defaultGridColor="true" view="normal" topLeftCell="A76" colorId="64" zoomScale="60" zoomScaleNormal="60" zoomScalePageLayoutView="100" workbookViewId="0">
      <selection pane="topLeft" activeCell="H91" activeCellId="0" sqref="H91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2"/>
    <col collapsed="false" customWidth="true" hidden="false" outlineLevel="0" max="4" min="4" style="0" width="20.1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6.33"/>
    <col collapsed="false" customWidth="true" hidden="false" outlineLevel="0" max="9" min="9" style="0" width="15.16"/>
    <col collapsed="false" customWidth="true" hidden="false" outlineLevel="0" max="10" min="10" style="0" width="13.5"/>
    <col collapsed="false" customWidth="true" hidden="false" outlineLevel="0" max="13" min="11" style="0" width="15.16"/>
    <col collapsed="false" customWidth="true" hidden="false" outlineLevel="0" max="21" min="21" style="0" width="20.67"/>
  </cols>
  <sheetData>
    <row r="2" customFormat="false" ht="22.05" hidden="false" customHeight="false" outlineLevel="0" collapsed="false">
      <c r="B2" s="139" t="s">
        <v>162</v>
      </c>
      <c r="C2" s="139"/>
      <c r="D2" s="139"/>
      <c r="E2" s="139"/>
      <c r="F2" s="139"/>
      <c r="G2" s="139"/>
      <c r="H2" s="139"/>
      <c r="I2" s="139"/>
      <c r="J2" s="139"/>
      <c r="M2" s="5"/>
    </row>
    <row r="3" customFormat="false" ht="29.85" hidden="false" customHeight="false" outlineLevel="0" collapsed="false">
      <c r="B3" s="9" t="s">
        <v>5</v>
      </c>
      <c r="C3" s="9" t="s">
        <v>6</v>
      </c>
      <c r="D3" s="9" t="s">
        <v>114</v>
      </c>
      <c r="E3" s="10" t="s">
        <v>8</v>
      </c>
      <c r="F3" s="9" t="s">
        <v>10</v>
      </c>
      <c r="G3" s="9" t="s">
        <v>23</v>
      </c>
      <c r="H3" s="9" t="s">
        <v>13</v>
      </c>
      <c r="I3" s="9" t="s">
        <v>14</v>
      </c>
      <c r="J3" s="9" t="s">
        <v>111</v>
      </c>
      <c r="K3" s="8"/>
    </row>
    <row r="4" customFormat="false" ht="17.35" hidden="false" customHeight="false" outlineLevel="0" collapsed="false">
      <c r="B4" s="13" t="n">
        <v>1</v>
      </c>
      <c r="C4" s="14" t="s">
        <v>18</v>
      </c>
      <c r="D4" s="15" t="n">
        <v>3000</v>
      </c>
      <c r="E4" s="15" t="n">
        <v>2800</v>
      </c>
      <c r="F4" s="13" t="n">
        <v>33</v>
      </c>
      <c r="G4" s="13" t="n">
        <f aca="false">+D4*F4</f>
        <v>99000</v>
      </c>
      <c r="H4" s="13" t="n">
        <f aca="false">+E4*F4</f>
        <v>92400</v>
      </c>
      <c r="I4" s="16" t="n">
        <f aca="false">+D4*E4/1000000</f>
        <v>8.4</v>
      </c>
      <c r="J4" s="17" t="n">
        <f aca="false">+F4*I4</f>
        <v>277.2</v>
      </c>
      <c r="K4" s="3"/>
      <c r="O4" s="94" t="s">
        <v>107</v>
      </c>
      <c r="P4" s="94"/>
      <c r="Q4" s="94"/>
      <c r="R4" s="94"/>
      <c r="S4" s="94"/>
      <c r="T4" s="6"/>
      <c r="U4" s="3"/>
      <c r="V4" s="3"/>
      <c r="W4" s="3"/>
      <c r="X4" s="3"/>
      <c r="Y4" s="3"/>
    </row>
    <row r="5" customFormat="false" ht="17.35" hidden="false" customHeight="false" outlineLevel="0" collapsed="false">
      <c r="B5" s="13" t="n">
        <v>2</v>
      </c>
      <c r="C5" s="14" t="s">
        <v>18</v>
      </c>
      <c r="D5" s="15" t="n">
        <v>2000</v>
      </c>
      <c r="E5" s="15" t="n">
        <v>2800</v>
      </c>
      <c r="F5" s="13" t="n">
        <v>31</v>
      </c>
      <c r="G5" s="13" t="n">
        <f aca="false">+D5*F5</f>
        <v>62000</v>
      </c>
      <c r="H5" s="13" t="n">
        <f aca="false">+E5*F5</f>
        <v>86800</v>
      </c>
      <c r="I5" s="16" t="n">
        <f aca="false">+D5*E5/1000000</f>
        <v>5.6</v>
      </c>
      <c r="J5" s="17" t="n">
        <f aca="false">+F5*I5</f>
        <v>173.6</v>
      </c>
      <c r="K5" s="3"/>
      <c r="O5" s="94"/>
      <c r="P5" s="94"/>
      <c r="Q5" s="94"/>
      <c r="R5" s="94"/>
      <c r="S5" s="94"/>
      <c r="T5" s="6"/>
      <c r="U5" s="3"/>
      <c r="V5" s="3"/>
      <c r="W5" s="3"/>
      <c r="X5" s="3"/>
      <c r="Y5" s="3"/>
    </row>
    <row r="6" customFormat="false" ht="17.35" hidden="false" customHeight="false" outlineLevel="0" collapsed="false">
      <c r="B6" s="13" t="n">
        <v>3</v>
      </c>
      <c r="C6" s="14" t="s">
        <v>18</v>
      </c>
      <c r="D6" s="15"/>
      <c r="E6" s="15"/>
      <c r="F6" s="13" t="n">
        <v>0</v>
      </c>
      <c r="G6" s="13" t="n">
        <f aca="false">+D6*F6</f>
        <v>0</v>
      </c>
      <c r="H6" s="13" t="n">
        <f aca="false">+E6*F6</f>
        <v>0</v>
      </c>
      <c r="I6" s="16" t="n">
        <f aca="false">+D6*E6/1000000</f>
        <v>0</v>
      </c>
      <c r="J6" s="17" t="n">
        <f aca="false">+F6*I6</f>
        <v>0</v>
      </c>
      <c r="K6" s="3"/>
      <c r="O6" s="8"/>
      <c r="P6" s="95" t="s">
        <v>112</v>
      </c>
      <c r="Q6" s="95" t="s">
        <v>113</v>
      </c>
      <c r="R6" s="95"/>
      <c r="S6" s="95" t="s">
        <v>114</v>
      </c>
      <c r="T6" s="95" t="s">
        <v>115</v>
      </c>
      <c r="U6" s="95" t="s">
        <v>109</v>
      </c>
      <c r="V6" s="95" t="s">
        <v>116</v>
      </c>
      <c r="W6" s="8"/>
      <c r="X6" s="8"/>
      <c r="Y6" s="8"/>
    </row>
    <row r="7" customFormat="false" ht="17.35" hidden="false" customHeight="false" outlineLevel="0" collapsed="false">
      <c r="B7" s="13" t="n">
        <v>4</v>
      </c>
      <c r="C7" s="14" t="s">
        <v>18</v>
      </c>
      <c r="D7" s="15"/>
      <c r="E7" s="15"/>
      <c r="F7" s="13" t="n">
        <v>0</v>
      </c>
      <c r="G7" s="13" t="n">
        <f aca="false">+D7*F7</f>
        <v>0</v>
      </c>
      <c r="H7" s="13" t="n">
        <f aca="false">+E7*F7</f>
        <v>0</v>
      </c>
      <c r="I7" s="16" t="n">
        <f aca="false">+D7*E7/1000000</f>
        <v>0</v>
      </c>
      <c r="J7" s="17" t="n">
        <f aca="false">+F7*I7</f>
        <v>0</v>
      </c>
      <c r="K7" s="3"/>
      <c r="O7" s="3"/>
      <c r="P7" s="97" t="n">
        <v>1</v>
      </c>
      <c r="Q7" s="98" t="s">
        <v>18</v>
      </c>
      <c r="R7" s="98"/>
      <c r="S7" s="97" t="n">
        <v>1500</v>
      </c>
      <c r="T7" s="97" t="n">
        <f aca="false">U7-300</f>
        <v>1200</v>
      </c>
      <c r="U7" s="97" t="n">
        <v>1500</v>
      </c>
      <c r="V7" s="97" t="n">
        <f aca="false">U7*S7/1000000</f>
        <v>2.25</v>
      </c>
      <c r="W7" s="3"/>
      <c r="X7" s="3"/>
      <c r="Y7" s="3"/>
    </row>
    <row r="8" customFormat="false" ht="17.35" hidden="false" customHeight="false" outlineLevel="0" collapsed="false">
      <c r="B8" s="13" t="n">
        <v>5</v>
      </c>
      <c r="C8" s="14" t="s">
        <v>18</v>
      </c>
      <c r="D8" s="15"/>
      <c r="E8" s="15"/>
      <c r="F8" s="13" t="n">
        <v>0</v>
      </c>
      <c r="G8" s="13" t="n">
        <f aca="false">+D8*F8</f>
        <v>0</v>
      </c>
      <c r="H8" s="13" t="n">
        <f aca="false">+E8*F8</f>
        <v>0</v>
      </c>
      <c r="I8" s="16" t="n">
        <f aca="false">+D8*E8/1000000</f>
        <v>0</v>
      </c>
      <c r="J8" s="17" t="n">
        <f aca="false">+F8*I8</f>
        <v>0</v>
      </c>
      <c r="K8" s="3"/>
      <c r="O8" s="3"/>
      <c r="P8" s="97" t="n">
        <v>2</v>
      </c>
      <c r="Q8" s="98" t="s">
        <v>18</v>
      </c>
      <c r="R8" s="98"/>
      <c r="S8" s="97" t="n">
        <v>1200</v>
      </c>
      <c r="T8" s="97" t="n">
        <f aca="false">U8-300</f>
        <v>1200</v>
      </c>
      <c r="U8" s="97" t="n">
        <v>1500</v>
      </c>
      <c r="V8" s="97" t="n">
        <f aca="false">U8*S8/1000000</f>
        <v>1.8</v>
      </c>
      <c r="W8" s="3"/>
      <c r="X8" s="3"/>
      <c r="Y8" s="3"/>
    </row>
    <row r="9" customFormat="false" ht="17.35" hidden="false" customHeight="false" outlineLevel="0" collapsed="false">
      <c r="B9" s="13" t="n">
        <v>6</v>
      </c>
      <c r="C9" s="14" t="s">
        <v>18</v>
      </c>
      <c r="D9" s="15"/>
      <c r="E9" s="15"/>
      <c r="F9" s="13" t="n">
        <v>0</v>
      </c>
      <c r="G9" s="13" t="n">
        <f aca="false">+D9*F9</f>
        <v>0</v>
      </c>
      <c r="H9" s="13" t="n">
        <f aca="false">+E9*F9</f>
        <v>0</v>
      </c>
      <c r="I9" s="16" t="n">
        <f aca="false">+D9*E9/1000000</f>
        <v>0</v>
      </c>
      <c r="J9" s="17" t="n">
        <f aca="false">+F9*I9</f>
        <v>0</v>
      </c>
      <c r="K9" s="3"/>
      <c r="O9" s="3"/>
      <c r="P9" s="97" t="n">
        <v>3</v>
      </c>
      <c r="Q9" s="98" t="s">
        <v>18</v>
      </c>
      <c r="R9" s="98"/>
      <c r="S9" s="97" t="n">
        <v>1800</v>
      </c>
      <c r="T9" s="97" t="n">
        <f aca="false">U9-300</f>
        <v>1200</v>
      </c>
      <c r="U9" s="97" t="n">
        <v>1500</v>
      </c>
      <c r="V9" s="97" t="n">
        <f aca="false">U9*S9/1000000</f>
        <v>2.7</v>
      </c>
      <c r="W9" s="3"/>
      <c r="X9" s="3"/>
      <c r="Y9" s="3"/>
    </row>
    <row r="10" customFormat="false" ht="17.35" hidden="false" customHeight="false" outlineLevel="0" collapsed="false">
      <c r="B10" s="13" t="n">
        <v>7</v>
      </c>
      <c r="C10" s="14" t="s">
        <v>18</v>
      </c>
      <c r="D10" s="15"/>
      <c r="E10" s="15"/>
      <c r="F10" s="13" t="n">
        <v>0</v>
      </c>
      <c r="G10" s="13" t="n">
        <f aca="false">+D10*F10</f>
        <v>0</v>
      </c>
      <c r="H10" s="13" t="n">
        <f aca="false">+E10*F10</f>
        <v>0</v>
      </c>
      <c r="I10" s="16" t="n">
        <f aca="false">+D10*E10/1000000</f>
        <v>0</v>
      </c>
      <c r="J10" s="17" t="n">
        <f aca="false">+F10*I10</f>
        <v>0</v>
      </c>
      <c r="K10" s="3"/>
      <c r="O10" s="3"/>
      <c r="P10" s="97" t="n">
        <v>4</v>
      </c>
      <c r="Q10" s="98" t="s">
        <v>18</v>
      </c>
      <c r="R10" s="98"/>
      <c r="S10" s="97" t="n">
        <v>1600</v>
      </c>
      <c r="T10" s="97" t="n">
        <f aca="false">U10-300</f>
        <v>1200</v>
      </c>
      <c r="U10" s="97" t="n">
        <v>1500</v>
      </c>
      <c r="V10" s="97" t="n">
        <f aca="false">U10*S10/1000000</f>
        <v>2.4</v>
      </c>
      <c r="W10" s="3"/>
      <c r="X10" s="3"/>
      <c r="Y10" s="3"/>
    </row>
    <row r="11" customFormat="false" ht="17.35" hidden="false" customHeight="false" outlineLevel="0" collapsed="false">
      <c r="B11" s="13" t="n">
        <v>8</v>
      </c>
      <c r="C11" s="14" t="s">
        <v>18</v>
      </c>
      <c r="D11" s="15"/>
      <c r="E11" s="15"/>
      <c r="F11" s="13" t="n">
        <v>0</v>
      </c>
      <c r="G11" s="13" t="n">
        <f aca="false">+D11*F11</f>
        <v>0</v>
      </c>
      <c r="H11" s="13" t="n">
        <f aca="false">+E11*F11</f>
        <v>0</v>
      </c>
      <c r="I11" s="16" t="n">
        <f aca="false">+D11*E11/1000000</f>
        <v>0</v>
      </c>
      <c r="J11" s="17" t="n">
        <f aca="false">+F11*I11</f>
        <v>0</v>
      </c>
      <c r="K11" s="3"/>
      <c r="O11" s="3"/>
      <c r="P11" s="97" t="n">
        <v>5</v>
      </c>
      <c r="Q11" s="98" t="s">
        <v>18</v>
      </c>
      <c r="R11" s="98"/>
      <c r="S11" s="97" t="n">
        <v>1500</v>
      </c>
      <c r="T11" s="97" t="n">
        <f aca="false">U11-300</f>
        <v>1200</v>
      </c>
      <c r="U11" s="97" t="n">
        <v>1500</v>
      </c>
      <c r="V11" s="97" t="n">
        <f aca="false">U11*S11/1000000</f>
        <v>2.25</v>
      </c>
      <c r="W11" s="3"/>
      <c r="X11" s="3"/>
      <c r="Y11" s="3"/>
    </row>
    <row r="12" customFormat="false" ht="17.35" hidden="false" customHeight="false" outlineLevel="0" collapsed="false">
      <c r="B12" s="13" t="n">
        <v>9</v>
      </c>
      <c r="C12" s="14" t="s">
        <v>18</v>
      </c>
      <c r="D12" s="15"/>
      <c r="E12" s="15"/>
      <c r="F12" s="13" t="n">
        <v>0</v>
      </c>
      <c r="G12" s="13" t="n">
        <f aca="false">+D12*F12</f>
        <v>0</v>
      </c>
      <c r="H12" s="13" t="n">
        <f aca="false">+E12*F12</f>
        <v>0</v>
      </c>
      <c r="I12" s="16" t="n">
        <f aca="false">+D12*E12/1000000</f>
        <v>0</v>
      </c>
      <c r="J12" s="17" t="n">
        <f aca="false">+F12*I12</f>
        <v>0</v>
      </c>
      <c r="K12" s="3"/>
      <c r="O12" s="3"/>
      <c r="P12" s="97" t="n">
        <v>6</v>
      </c>
      <c r="Q12" s="98" t="s">
        <v>18</v>
      </c>
      <c r="R12" s="98"/>
      <c r="S12" s="97" t="n">
        <v>0</v>
      </c>
      <c r="T12" s="97" t="n">
        <v>0</v>
      </c>
      <c r="U12" s="97" t="n">
        <v>0</v>
      </c>
      <c r="V12" s="97" t="n">
        <f aca="false">U12*S12/1000000</f>
        <v>0</v>
      </c>
      <c r="W12" s="3"/>
      <c r="X12" s="3"/>
      <c r="Y12" s="3"/>
    </row>
    <row r="13" customFormat="false" ht="17.35" hidden="false" customHeight="false" outlineLevel="0" collapsed="false">
      <c r="B13" s="13" t="n">
        <v>10</v>
      </c>
      <c r="C13" s="14" t="s">
        <v>18</v>
      </c>
      <c r="D13" s="15"/>
      <c r="E13" s="15"/>
      <c r="F13" s="13" t="n">
        <v>0</v>
      </c>
      <c r="G13" s="13" t="n">
        <f aca="false">+D13*F13</f>
        <v>0</v>
      </c>
      <c r="H13" s="13" t="n">
        <f aca="false">+E13*F13</f>
        <v>0</v>
      </c>
      <c r="I13" s="16" t="n">
        <f aca="false">+D13*E13/1000000</f>
        <v>0</v>
      </c>
      <c r="J13" s="17" t="n">
        <f aca="false">+F13*I13</f>
        <v>0</v>
      </c>
      <c r="K13" s="3"/>
      <c r="O13" s="3"/>
      <c r="P13" s="97" t="n">
        <v>7</v>
      </c>
      <c r="Q13" s="98" t="s">
        <v>18</v>
      </c>
      <c r="R13" s="98"/>
      <c r="S13" s="97" t="n">
        <v>0</v>
      </c>
      <c r="T13" s="97" t="n">
        <v>0</v>
      </c>
      <c r="U13" s="97" t="n">
        <v>0</v>
      </c>
      <c r="V13" s="97" t="n">
        <f aca="false">U13*S13/1000000</f>
        <v>0</v>
      </c>
      <c r="W13" s="3"/>
      <c r="X13" s="3"/>
      <c r="Y13" s="3"/>
    </row>
    <row r="14" customFormat="false" ht="17.35" hidden="false" customHeight="false" outlineLevel="0" collapsed="false">
      <c r="B14" s="13" t="n">
        <v>11</v>
      </c>
      <c r="C14" s="14" t="s">
        <v>18</v>
      </c>
      <c r="D14" s="15"/>
      <c r="E14" s="15"/>
      <c r="F14" s="13" t="n">
        <v>0</v>
      </c>
      <c r="G14" s="13" t="n">
        <f aca="false">+D14*F14</f>
        <v>0</v>
      </c>
      <c r="H14" s="13" t="n">
        <f aca="false">+E14*F14</f>
        <v>0</v>
      </c>
      <c r="I14" s="16" t="n">
        <f aca="false">+D14*E14/1000000</f>
        <v>0</v>
      </c>
      <c r="J14" s="17" t="n">
        <f aca="false">+F14*I14</f>
        <v>0</v>
      </c>
      <c r="K14" s="3"/>
      <c r="O14" s="3"/>
      <c r="P14" s="97" t="n">
        <v>8</v>
      </c>
      <c r="Q14" s="98" t="s">
        <v>18</v>
      </c>
      <c r="R14" s="98"/>
      <c r="S14" s="97" t="n">
        <v>0</v>
      </c>
      <c r="T14" s="97" t="n">
        <v>0</v>
      </c>
      <c r="U14" s="97" t="n">
        <v>0</v>
      </c>
      <c r="V14" s="97" t="n">
        <f aca="false">U14*S14/1000000</f>
        <v>0</v>
      </c>
      <c r="W14" s="3"/>
      <c r="X14" s="3"/>
      <c r="Y14" s="3"/>
    </row>
    <row r="15" customFormat="false" ht="17.35" hidden="false" customHeight="false" outlineLevel="0" collapsed="false">
      <c r="B15" s="13" t="n">
        <v>12</v>
      </c>
      <c r="C15" s="14" t="s">
        <v>18</v>
      </c>
      <c r="D15" s="15"/>
      <c r="E15" s="15"/>
      <c r="F15" s="13" t="n">
        <v>0</v>
      </c>
      <c r="G15" s="13" t="n">
        <f aca="false">+D15*F15</f>
        <v>0</v>
      </c>
      <c r="H15" s="13" t="n">
        <f aca="false">+E15*F15</f>
        <v>0</v>
      </c>
      <c r="I15" s="16" t="n">
        <f aca="false">+D15*E15/1000000</f>
        <v>0</v>
      </c>
      <c r="J15" s="17" t="n">
        <f aca="false">+F15*I15</f>
        <v>0</v>
      </c>
      <c r="K15" s="3"/>
      <c r="O15" s="3"/>
      <c r="P15" s="97" t="n">
        <v>9</v>
      </c>
      <c r="Q15" s="98" t="s">
        <v>18</v>
      </c>
      <c r="R15" s="98"/>
      <c r="S15" s="97" t="n">
        <v>0</v>
      </c>
      <c r="T15" s="97" t="n">
        <v>0</v>
      </c>
      <c r="U15" s="97" t="n">
        <v>0</v>
      </c>
      <c r="V15" s="97" t="n">
        <f aca="false">U15*S15/1000000</f>
        <v>0</v>
      </c>
      <c r="W15" s="3"/>
      <c r="X15" s="3"/>
      <c r="Y15" s="3"/>
    </row>
    <row r="16" customFormat="false" ht="17.35" hidden="false" customHeight="false" outlineLevel="0" collapsed="false">
      <c r="B16" s="13" t="n">
        <v>13</v>
      </c>
      <c r="C16" s="14" t="s">
        <v>18</v>
      </c>
      <c r="D16" s="15"/>
      <c r="E16" s="15"/>
      <c r="F16" s="13" t="n">
        <v>0</v>
      </c>
      <c r="G16" s="13" t="n">
        <f aca="false">+D16*F16</f>
        <v>0</v>
      </c>
      <c r="H16" s="13" t="n">
        <f aca="false">+E16*F16</f>
        <v>0</v>
      </c>
      <c r="I16" s="16" t="n">
        <f aca="false">+D16*E16/1000000</f>
        <v>0</v>
      </c>
      <c r="J16" s="17" t="n">
        <f aca="false">+F16*I16</f>
        <v>0</v>
      </c>
      <c r="K16" s="3"/>
      <c r="O16" s="3"/>
      <c r="P16" s="97" t="n">
        <v>10</v>
      </c>
      <c r="Q16" s="98" t="s">
        <v>18</v>
      </c>
      <c r="R16" s="98"/>
      <c r="S16" s="97" t="n">
        <v>0</v>
      </c>
      <c r="T16" s="97" t="n">
        <v>0</v>
      </c>
      <c r="U16" s="97" t="n">
        <v>0</v>
      </c>
      <c r="V16" s="97" t="n">
        <f aca="false">U16*S16/1000000</f>
        <v>0</v>
      </c>
      <c r="W16" s="3"/>
      <c r="X16" s="3"/>
      <c r="Y16" s="3"/>
    </row>
    <row r="17" customFormat="false" ht="17.35" hidden="false" customHeight="false" outlineLevel="0" collapsed="false">
      <c r="B17" s="13" t="n">
        <v>14</v>
      </c>
      <c r="C17" s="14" t="s">
        <v>18</v>
      </c>
      <c r="D17" s="15"/>
      <c r="E17" s="15"/>
      <c r="F17" s="13" t="n">
        <v>0</v>
      </c>
      <c r="G17" s="13" t="n">
        <f aca="false">+D17*F17</f>
        <v>0</v>
      </c>
      <c r="H17" s="13" t="n">
        <f aca="false">+E17*F17</f>
        <v>0</v>
      </c>
      <c r="I17" s="16" t="n">
        <f aca="false">+D17*E17/1000000</f>
        <v>0</v>
      </c>
      <c r="J17" s="17" t="n">
        <f aca="false">+F17*I17</f>
        <v>0</v>
      </c>
      <c r="K17" s="3"/>
      <c r="O17" s="3"/>
      <c r="P17" s="97" t="n">
        <v>11</v>
      </c>
      <c r="Q17" s="98" t="s">
        <v>18</v>
      </c>
      <c r="R17" s="98"/>
      <c r="S17" s="97" t="n">
        <v>0</v>
      </c>
      <c r="T17" s="97" t="n">
        <v>0</v>
      </c>
      <c r="U17" s="97" t="n">
        <v>0</v>
      </c>
      <c r="V17" s="97" t="n">
        <f aca="false">U17*S17/1000000</f>
        <v>0</v>
      </c>
      <c r="W17" s="3"/>
      <c r="X17" s="3"/>
      <c r="Y17" s="3"/>
    </row>
    <row r="18" customFormat="false" ht="17.35" hidden="false" customHeight="false" outlineLevel="0" collapsed="false">
      <c r="B18" s="13" t="n">
        <v>15</v>
      </c>
      <c r="C18" s="14" t="s">
        <v>18</v>
      </c>
      <c r="D18" s="15"/>
      <c r="E18" s="15"/>
      <c r="F18" s="13" t="n">
        <v>0</v>
      </c>
      <c r="G18" s="13" t="n">
        <f aca="false">+D18*F18</f>
        <v>0</v>
      </c>
      <c r="H18" s="13" t="n">
        <f aca="false">+E18*F18</f>
        <v>0</v>
      </c>
      <c r="I18" s="16" t="n">
        <f aca="false">+D18*E18/1000000</f>
        <v>0</v>
      </c>
      <c r="J18" s="17" t="n">
        <f aca="false">+F18*I18</f>
        <v>0</v>
      </c>
      <c r="K18" s="3"/>
      <c r="O18" s="3"/>
      <c r="P18" s="97" t="n">
        <v>12</v>
      </c>
      <c r="Q18" s="98" t="s">
        <v>18</v>
      </c>
      <c r="R18" s="98"/>
      <c r="S18" s="97" t="n">
        <v>0</v>
      </c>
      <c r="T18" s="97" t="n">
        <v>0</v>
      </c>
      <c r="U18" s="97" t="n">
        <v>0</v>
      </c>
      <c r="V18" s="97" t="n">
        <f aca="false">U18*S18/1000000</f>
        <v>0</v>
      </c>
      <c r="W18" s="3"/>
      <c r="X18" s="3"/>
      <c r="Y18" s="3"/>
    </row>
    <row r="19" customFormat="false" ht="17.35" hidden="false" customHeight="false" outlineLevel="0" collapsed="false">
      <c r="B19" s="13" t="n">
        <v>16</v>
      </c>
      <c r="C19" s="14" t="s">
        <v>18</v>
      </c>
      <c r="D19" s="15"/>
      <c r="E19" s="15"/>
      <c r="F19" s="13" t="n">
        <v>0</v>
      </c>
      <c r="G19" s="13" t="n">
        <f aca="false">+D19*F19</f>
        <v>0</v>
      </c>
      <c r="H19" s="13" t="n">
        <f aca="false">+E19*F19</f>
        <v>0</v>
      </c>
      <c r="I19" s="16" t="n">
        <f aca="false">+D19*E19/1000000</f>
        <v>0</v>
      </c>
      <c r="J19" s="17" t="n">
        <f aca="false">+F19*I19</f>
        <v>0</v>
      </c>
      <c r="K19" s="3"/>
      <c r="O19" s="3"/>
      <c r="P19" s="97" t="n">
        <v>13</v>
      </c>
      <c r="Q19" s="98" t="s">
        <v>18</v>
      </c>
      <c r="R19" s="98"/>
      <c r="S19" s="97" t="n">
        <v>0</v>
      </c>
      <c r="T19" s="97" t="n">
        <v>0</v>
      </c>
      <c r="U19" s="97" t="n">
        <v>0</v>
      </c>
      <c r="V19" s="97" t="n">
        <f aca="false">U19*S19/1000000</f>
        <v>0</v>
      </c>
      <c r="W19" s="3"/>
      <c r="X19" s="3"/>
      <c r="Y19" s="3"/>
    </row>
    <row r="20" customFormat="false" ht="17.35" hidden="false" customHeight="false" outlineLevel="0" collapsed="false">
      <c r="B20" s="13" t="n">
        <v>17</v>
      </c>
      <c r="C20" s="14" t="s">
        <v>18</v>
      </c>
      <c r="D20" s="15"/>
      <c r="E20" s="15"/>
      <c r="F20" s="13" t="n">
        <v>0</v>
      </c>
      <c r="G20" s="13" t="n">
        <f aca="false">+D20*F20</f>
        <v>0</v>
      </c>
      <c r="H20" s="13" t="n">
        <f aca="false">+E20*F20</f>
        <v>0</v>
      </c>
      <c r="I20" s="16" t="n">
        <f aca="false">+D20*E20/1000000</f>
        <v>0</v>
      </c>
      <c r="J20" s="17" t="n">
        <f aca="false">+F20*I20</f>
        <v>0</v>
      </c>
      <c r="K20" s="3"/>
      <c r="O20" s="3"/>
      <c r="P20" s="97" t="n">
        <v>14</v>
      </c>
      <c r="Q20" s="98" t="s">
        <v>18</v>
      </c>
      <c r="R20" s="98"/>
      <c r="S20" s="97" t="n">
        <v>0</v>
      </c>
      <c r="T20" s="97" t="n">
        <v>0</v>
      </c>
      <c r="U20" s="97" t="n">
        <v>0</v>
      </c>
      <c r="V20" s="97" t="n">
        <f aca="false">U20*S20/1000000</f>
        <v>0</v>
      </c>
      <c r="W20" s="3"/>
      <c r="X20" s="3"/>
      <c r="Y20" s="3"/>
    </row>
    <row r="21" customFormat="false" ht="17.35" hidden="false" customHeight="false" outlineLevel="0" collapsed="false">
      <c r="B21" s="13" t="n">
        <v>18</v>
      </c>
      <c r="C21" s="14" t="s">
        <v>18</v>
      </c>
      <c r="D21" s="15"/>
      <c r="E21" s="15"/>
      <c r="F21" s="13" t="n">
        <v>0</v>
      </c>
      <c r="G21" s="13" t="n">
        <f aca="false">+D21*F21</f>
        <v>0</v>
      </c>
      <c r="H21" s="13" t="n">
        <f aca="false">+E21*F21</f>
        <v>0</v>
      </c>
      <c r="I21" s="16" t="n">
        <f aca="false">+D21*E21/1000000</f>
        <v>0</v>
      </c>
      <c r="J21" s="17" t="n">
        <f aca="false">+F21*I21</f>
        <v>0</v>
      </c>
      <c r="K21" s="3"/>
      <c r="O21" s="3"/>
      <c r="P21" s="97" t="n">
        <v>15</v>
      </c>
      <c r="Q21" s="98" t="s">
        <v>18</v>
      </c>
      <c r="R21" s="98"/>
      <c r="S21" s="97" t="n">
        <v>0</v>
      </c>
      <c r="T21" s="97" t="n">
        <v>0</v>
      </c>
      <c r="U21" s="97" t="n">
        <v>0</v>
      </c>
      <c r="V21" s="97" t="n">
        <f aca="false">U21*S21/1000000</f>
        <v>0</v>
      </c>
      <c r="W21" s="3"/>
      <c r="X21" s="3"/>
      <c r="Y21" s="3"/>
    </row>
    <row r="22" customFormat="false" ht="17.35" hidden="false" customHeight="false" outlineLevel="0" collapsed="false">
      <c r="B22" s="13" t="n">
        <v>19</v>
      </c>
      <c r="C22" s="14" t="s">
        <v>18</v>
      </c>
      <c r="D22" s="15"/>
      <c r="E22" s="15"/>
      <c r="F22" s="13" t="n">
        <v>0</v>
      </c>
      <c r="G22" s="13" t="n">
        <f aca="false">+D22*F22</f>
        <v>0</v>
      </c>
      <c r="H22" s="13" t="n">
        <f aca="false">+E22*F22</f>
        <v>0</v>
      </c>
      <c r="I22" s="16" t="n">
        <f aca="false">+D22*E22/1000000</f>
        <v>0</v>
      </c>
      <c r="J22" s="17" t="n">
        <f aca="false">+F22*I22</f>
        <v>0</v>
      </c>
      <c r="K22" s="3"/>
      <c r="O22" s="3"/>
      <c r="P22" s="97" t="n">
        <v>16</v>
      </c>
      <c r="Q22" s="98" t="s">
        <v>18</v>
      </c>
      <c r="R22" s="98"/>
      <c r="S22" s="97" t="n">
        <v>0</v>
      </c>
      <c r="T22" s="97" t="n">
        <v>0</v>
      </c>
      <c r="U22" s="97" t="n">
        <v>0</v>
      </c>
      <c r="V22" s="97" t="n">
        <f aca="false">U22*S22/1000000</f>
        <v>0</v>
      </c>
      <c r="W22" s="3"/>
      <c r="X22" s="3"/>
      <c r="Y22" s="3"/>
    </row>
    <row r="23" customFormat="false" ht="17.35" hidden="false" customHeight="false" outlineLevel="0" collapsed="false">
      <c r="B23" s="13" t="n">
        <v>20</v>
      </c>
      <c r="C23" s="14" t="s">
        <v>18</v>
      </c>
      <c r="D23" s="15"/>
      <c r="E23" s="15"/>
      <c r="F23" s="13" t="n">
        <v>0</v>
      </c>
      <c r="G23" s="13" t="n">
        <f aca="false">+D23*F23</f>
        <v>0</v>
      </c>
      <c r="H23" s="13" t="n">
        <f aca="false">+E23*F23</f>
        <v>0</v>
      </c>
      <c r="I23" s="16" t="n">
        <f aca="false">+D23*E23/1000000</f>
        <v>0</v>
      </c>
      <c r="J23" s="17" t="n">
        <f aca="false">+F23*I23</f>
        <v>0</v>
      </c>
      <c r="K23" s="3"/>
      <c r="O23" s="3"/>
      <c r="P23" s="97" t="n">
        <v>17</v>
      </c>
      <c r="Q23" s="98" t="s">
        <v>18</v>
      </c>
      <c r="R23" s="98"/>
      <c r="S23" s="97" t="n">
        <v>0</v>
      </c>
      <c r="T23" s="97" t="n">
        <v>0</v>
      </c>
      <c r="U23" s="97" t="n">
        <v>0</v>
      </c>
      <c r="V23" s="97" t="n">
        <f aca="false">U23*S23/1000000</f>
        <v>0</v>
      </c>
      <c r="W23" s="3"/>
      <c r="X23" s="3"/>
      <c r="Y23" s="3"/>
    </row>
    <row r="24" customFormat="false" ht="17.35" hidden="false" customHeight="false" outlineLevel="0" collapsed="false">
      <c r="B24" s="13" t="n">
        <v>21</v>
      </c>
      <c r="C24" s="14" t="s">
        <v>18</v>
      </c>
      <c r="D24" s="15"/>
      <c r="E24" s="15"/>
      <c r="F24" s="13" t="n">
        <v>0</v>
      </c>
      <c r="G24" s="13" t="n">
        <f aca="false">+D24*F24</f>
        <v>0</v>
      </c>
      <c r="H24" s="13" t="n">
        <f aca="false">+E24*F24</f>
        <v>0</v>
      </c>
      <c r="I24" s="16" t="n">
        <f aca="false">+D24*E24/1000000</f>
        <v>0</v>
      </c>
      <c r="J24" s="17" t="n">
        <f aca="false">+F24*I24</f>
        <v>0</v>
      </c>
      <c r="K24" s="3"/>
      <c r="O24" s="3"/>
      <c r="P24" s="97" t="n">
        <v>18</v>
      </c>
      <c r="Q24" s="98" t="s">
        <v>18</v>
      </c>
      <c r="R24" s="98"/>
      <c r="S24" s="97" t="n">
        <v>0</v>
      </c>
      <c r="T24" s="97" t="n">
        <v>0</v>
      </c>
      <c r="U24" s="97" t="n">
        <v>0</v>
      </c>
      <c r="V24" s="97" t="n">
        <f aca="false">U24*S24/1000000</f>
        <v>0</v>
      </c>
      <c r="W24" s="3"/>
      <c r="X24" s="3"/>
      <c r="Y24" s="3"/>
    </row>
    <row r="25" customFormat="false" ht="17.35" hidden="false" customHeight="false" outlineLevel="0" collapsed="false">
      <c r="B25" s="13" t="n">
        <v>22</v>
      </c>
      <c r="C25" s="14" t="s">
        <v>18</v>
      </c>
      <c r="D25" s="15"/>
      <c r="E25" s="15"/>
      <c r="F25" s="13" t="n">
        <v>0</v>
      </c>
      <c r="G25" s="13" t="n">
        <f aca="false">+D25*F25</f>
        <v>0</v>
      </c>
      <c r="H25" s="13" t="n">
        <f aca="false">+E25*F25</f>
        <v>0</v>
      </c>
      <c r="I25" s="16" t="n">
        <f aca="false">+D25*E25/1000000</f>
        <v>0</v>
      </c>
      <c r="J25" s="17" t="n">
        <f aca="false">+F25*I25</f>
        <v>0</v>
      </c>
      <c r="K25" s="12"/>
      <c r="L25" s="3"/>
      <c r="M25" s="3"/>
      <c r="Q25" s="3"/>
      <c r="R25" s="97" t="n">
        <v>19</v>
      </c>
      <c r="S25" s="98" t="s">
        <v>18</v>
      </c>
      <c r="T25" s="98"/>
      <c r="U25" s="97" t="n">
        <v>0</v>
      </c>
      <c r="V25" s="97" t="n">
        <v>0</v>
      </c>
      <c r="W25" s="97" t="n">
        <v>0</v>
      </c>
      <c r="X25" s="97" t="n">
        <f aca="false">W25*U25/1000000</f>
        <v>0</v>
      </c>
      <c r="Y25" s="3"/>
      <c r="Z25" s="3"/>
      <c r="AA25" s="3"/>
    </row>
    <row r="26" customFormat="false" ht="17.35" hidden="false" customHeight="false" outlineLevel="0" collapsed="false">
      <c r="B26" s="13" t="n">
        <v>23</v>
      </c>
      <c r="C26" s="14" t="s">
        <v>18</v>
      </c>
      <c r="D26" s="15"/>
      <c r="E26" s="15"/>
      <c r="F26" s="13" t="n">
        <v>0</v>
      </c>
      <c r="G26" s="13" t="n">
        <f aca="false">+D26*F26</f>
        <v>0</v>
      </c>
      <c r="H26" s="13" t="n">
        <f aca="false">+E26*F26</f>
        <v>0</v>
      </c>
      <c r="I26" s="16" t="n">
        <f aca="false">+D26*E26/1000000</f>
        <v>0</v>
      </c>
      <c r="J26" s="17" t="n">
        <f aca="false">+F26*I26</f>
        <v>0</v>
      </c>
      <c r="K26" s="22"/>
      <c r="L26" s="3"/>
      <c r="M26" s="3"/>
      <c r="Q26" s="3"/>
      <c r="R26" s="97" t="n">
        <v>20</v>
      </c>
      <c r="S26" s="98" t="s">
        <v>18</v>
      </c>
      <c r="T26" s="98"/>
      <c r="U26" s="97" t="n">
        <v>0</v>
      </c>
      <c r="V26" s="97" t="n">
        <v>0</v>
      </c>
      <c r="W26" s="97" t="n">
        <v>0</v>
      </c>
      <c r="X26" s="97" t="n">
        <f aca="false">W26*U26/1000000</f>
        <v>0</v>
      </c>
      <c r="Y26" s="3"/>
      <c r="Z26" s="3"/>
      <c r="AA26" s="3"/>
    </row>
    <row r="27" customFormat="false" ht="17.35" hidden="false" customHeight="false" outlineLevel="0" collapsed="false">
      <c r="B27" s="13" t="n">
        <v>24</v>
      </c>
      <c r="C27" s="14" t="s">
        <v>18</v>
      </c>
      <c r="D27" s="15"/>
      <c r="E27" s="15"/>
      <c r="F27" s="13" t="n">
        <v>0</v>
      </c>
      <c r="G27" s="13" t="n">
        <f aca="false">+D27*F27</f>
        <v>0</v>
      </c>
      <c r="H27" s="13" t="n">
        <f aca="false">+E27*F27</f>
        <v>0</v>
      </c>
      <c r="I27" s="16" t="n">
        <f aca="false">+D27*E27/1000000</f>
        <v>0</v>
      </c>
      <c r="J27" s="17" t="n">
        <f aca="false">+F27*I27</f>
        <v>0</v>
      </c>
      <c r="K27" s="22"/>
      <c r="L27" s="22"/>
      <c r="M27" s="22"/>
      <c r="Q27" s="3"/>
      <c r="R27" s="3"/>
      <c r="S27" s="3"/>
      <c r="T27" s="3"/>
      <c r="U27" s="3"/>
      <c r="V27" s="97" t="s">
        <v>117</v>
      </c>
      <c r="W27" s="97"/>
      <c r="X27" s="97" t="n">
        <f aca="false">SUM(X7:X26)</f>
        <v>0</v>
      </c>
      <c r="Y27" s="3"/>
      <c r="Z27" s="3"/>
      <c r="AA27" s="3"/>
    </row>
    <row r="28" customFormat="false" ht="17.35" hidden="false" customHeight="false" outlineLevel="0" collapsed="false">
      <c r="B28" s="13" t="n">
        <v>25</v>
      </c>
      <c r="C28" s="14" t="s">
        <v>18</v>
      </c>
      <c r="D28" s="15"/>
      <c r="E28" s="15"/>
      <c r="F28" s="13" t="n">
        <v>0</v>
      </c>
      <c r="G28" s="13" t="n">
        <f aca="false">+D28*F28</f>
        <v>0</v>
      </c>
      <c r="H28" s="13" t="n">
        <f aca="false">+E28*F28</f>
        <v>0</v>
      </c>
      <c r="I28" s="16" t="n">
        <f aca="false">+D28*E28/1000000</f>
        <v>0</v>
      </c>
      <c r="J28" s="17" t="n">
        <f aca="false">+F28*I28</f>
        <v>0</v>
      </c>
      <c r="K28" s="22"/>
      <c r="L28" s="22"/>
      <c r="M28" s="22"/>
      <c r="Q28" s="3"/>
      <c r="R28" s="3"/>
      <c r="S28" s="3"/>
      <c r="T28" s="95" t="s">
        <v>21</v>
      </c>
      <c r="U28" s="95" t="s">
        <v>23</v>
      </c>
      <c r="V28" s="95" t="s">
        <v>24</v>
      </c>
      <c r="W28" s="95" t="s">
        <v>25</v>
      </c>
      <c r="X28" s="99" t="s">
        <v>26</v>
      </c>
      <c r="Y28" s="99" t="s">
        <v>37</v>
      </c>
      <c r="Z28" s="12"/>
      <c r="AA28" s="3"/>
      <c r="AB28" s="3"/>
    </row>
    <row r="29" customFormat="false" ht="17.35" hidden="false" customHeight="false" outlineLevel="0" collapsed="false">
      <c r="B29" s="13" t="n">
        <v>26</v>
      </c>
      <c r="C29" s="14" t="s">
        <v>18</v>
      </c>
      <c r="D29" s="15"/>
      <c r="E29" s="15"/>
      <c r="F29" s="13" t="n">
        <v>0</v>
      </c>
      <c r="G29" s="13" t="n">
        <f aca="false">+D29*F29</f>
        <v>0</v>
      </c>
      <c r="H29" s="13" t="n">
        <f aca="false">+E29*F29</f>
        <v>0</v>
      </c>
      <c r="I29" s="16" t="n">
        <f aca="false">+D29*E29/1000000</f>
        <v>0</v>
      </c>
      <c r="J29" s="17" t="n">
        <f aca="false">+F29*I29</f>
        <v>0</v>
      </c>
      <c r="K29" s="22"/>
      <c r="L29" s="22"/>
      <c r="M29" s="22"/>
      <c r="S29" s="3"/>
      <c r="T29" s="97" t="s">
        <v>118</v>
      </c>
      <c r="U29" s="97" t="n">
        <v>1005</v>
      </c>
      <c r="V29" s="97" t="n">
        <f aca="false">(S7*1)+(S8*1)+(S9*1)+(S10*1)+(S11*1)+(S12*1)+(S13*1)+(S14*1)+(S15*1)+(S16*1)+(S17*1)+(S18*1)+(S19*1)+(S20*1)+(S21*1)+(S22*1)+(S23*1)+(S24*1)+(U25*1)+(U26*1)</f>
        <v>7600</v>
      </c>
      <c r="W29" s="100" t="n">
        <f aca="false">V29+(V29*10%)</f>
        <v>8360</v>
      </c>
      <c r="X29" s="101" t="n">
        <f aca="false">V29/6400</f>
        <v>1.1875</v>
      </c>
      <c r="Y29" s="101" t="n">
        <f aca="false">ROUNDUP(X29,0)</f>
        <v>2</v>
      </c>
      <c r="Z29" s="102" t="n">
        <f aca="false">Y29*7.2</f>
        <v>14.4</v>
      </c>
      <c r="AA29" s="22"/>
      <c r="AB29" s="3"/>
      <c r="AC29" s="3"/>
    </row>
    <row r="30" customFormat="false" ht="17.35" hidden="false" customHeight="false" outlineLevel="0" collapsed="false">
      <c r="B30" s="13" t="n">
        <v>27</v>
      </c>
      <c r="C30" s="14" t="s">
        <v>18</v>
      </c>
      <c r="D30" s="15"/>
      <c r="E30" s="15"/>
      <c r="F30" s="13" t="n">
        <v>0</v>
      </c>
      <c r="G30" s="13" t="n">
        <f aca="false">+D30*F30</f>
        <v>0</v>
      </c>
      <c r="H30" s="13" t="n">
        <f aca="false">+E30*F30</f>
        <v>0</v>
      </c>
      <c r="I30" s="16" t="n">
        <f aca="false">+D30*E30/1000000</f>
        <v>0</v>
      </c>
      <c r="J30" s="17" t="n">
        <f aca="false">+F30*I30</f>
        <v>0</v>
      </c>
      <c r="K30" s="23"/>
      <c r="L30" s="23"/>
      <c r="M30" s="23"/>
      <c r="Q30" s="3"/>
      <c r="R30" s="3"/>
      <c r="S30" s="3"/>
      <c r="T30" s="97" t="s">
        <v>120</v>
      </c>
      <c r="U30" s="97" t="n">
        <v>1007</v>
      </c>
      <c r="V30" s="97" t="n">
        <f aca="false">(T7*2)+(T8*2)+(T9*2)+(T10*2)+(T11*2)+(T12*2)+(T13*2)+(T14*2)+(T15*2)+(T16*2)+(T17*2)+(T18*2)+(T19*2)+(T20*2)+(T21*2)+(T22*2)+(T23*2)+(T24*2)+(V25*2)+(V26*2)</f>
        <v>12000</v>
      </c>
      <c r="W30" s="100" t="n">
        <f aca="false">V30+(V30*10%)</f>
        <v>13200</v>
      </c>
      <c r="X30" s="101" t="n">
        <f aca="false">V30/6400</f>
        <v>1.875</v>
      </c>
      <c r="Y30" s="101" t="n">
        <f aca="false">ROUNDUP(X30,0)</f>
        <v>2</v>
      </c>
      <c r="Z30" s="102" t="n">
        <f aca="false">Y30*7.2</f>
        <v>14.4</v>
      </c>
      <c r="AA30" s="22"/>
    </row>
    <row r="31" customFormat="false" ht="17.35" hidden="false" customHeight="false" outlineLevel="0" collapsed="false">
      <c r="B31" s="13" t="n">
        <v>28</v>
      </c>
      <c r="C31" s="14" t="s">
        <v>18</v>
      </c>
      <c r="D31" s="15"/>
      <c r="E31" s="15"/>
      <c r="F31" s="13" t="n">
        <v>0</v>
      </c>
      <c r="G31" s="13" t="n">
        <f aca="false">+D31*F31</f>
        <v>0</v>
      </c>
      <c r="H31" s="13" t="n">
        <f aca="false">+E31*F31</f>
        <v>0</v>
      </c>
      <c r="I31" s="16" t="n">
        <f aca="false">+D31*E31/1000000</f>
        <v>0</v>
      </c>
      <c r="J31" s="17" t="n">
        <f aca="false">+F31*I31</f>
        <v>0</v>
      </c>
      <c r="K31" s="23"/>
      <c r="L31" s="23"/>
      <c r="M31" s="23"/>
      <c r="Q31" s="3"/>
      <c r="R31" s="3"/>
      <c r="S31" s="3"/>
      <c r="T31" s="97" t="s">
        <v>122</v>
      </c>
      <c r="U31" s="3" t="n">
        <v>1001</v>
      </c>
      <c r="V31" s="3" t="n">
        <f aca="false">(S7*1)+(S8*1)+(S9*1)+(S10*1)+(S11*1)+(S12*1)+(S13*1)+(S14*1)+(S15*1)+(S16*1)+(S17*1)+(S18*1)+(S19*1)+(S20*1)+(S21*1)+(S22*1)+(S23*1)+(S24*1)+(U25*1)+(U26*1)</f>
        <v>7600</v>
      </c>
      <c r="W31" s="100" t="n">
        <f aca="false">V31+(V31*10%)</f>
        <v>8360</v>
      </c>
      <c r="X31" s="101" t="n">
        <f aca="false">V31/6400</f>
        <v>1.1875</v>
      </c>
      <c r="Y31" s="101" t="n">
        <f aca="false">ROUNDUP(X31,0)</f>
        <v>2</v>
      </c>
      <c r="Z31" s="102" t="n">
        <f aca="false">Y31*7.2</f>
        <v>14.4</v>
      </c>
      <c r="AA31" s="22"/>
    </row>
    <row r="32" customFormat="false" ht="17.35" hidden="false" customHeight="false" outlineLevel="0" collapsed="false">
      <c r="B32" s="13" t="n">
        <v>29</v>
      </c>
      <c r="C32" s="14" t="s">
        <v>18</v>
      </c>
      <c r="D32" s="15"/>
      <c r="E32" s="15"/>
      <c r="F32" s="13" t="n">
        <v>0</v>
      </c>
      <c r="G32" s="13" t="n">
        <f aca="false">+D32*F32</f>
        <v>0</v>
      </c>
      <c r="H32" s="13" t="n">
        <f aca="false">+E32*F32</f>
        <v>0</v>
      </c>
      <c r="I32" s="16" t="n">
        <f aca="false">+D32*E32/1000000</f>
        <v>0</v>
      </c>
      <c r="J32" s="17" t="n">
        <f aca="false">+F32*I32</f>
        <v>0</v>
      </c>
      <c r="K32" s="23"/>
      <c r="L32" s="23"/>
      <c r="M32" s="23"/>
      <c r="Q32" s="3"/>
      <c r="R32" s="3"/>
      <c r="S32" s="3"/>
      <c r="T32" s="97" t="s">
        <v>121</v>
      </c>
      <c r="U32" s="97" t="n">
        <v>1009</v>
      </c>
      <c r="V32" s="97" t="n">
        <f aca="false">(S7*1)+(S8*1)+(S9*1)+(S10*1)+(S11*1)+(S12*1)+(S13*1)+(S14*1)+(S15*1)+(S16*1)+(S17*1)+(S18*1)+(S19*1)+(S20*1)+(S21*1)+(S22*1)+(S23*1)+(S24*1)+(U25*1)+(U26*1)</f>
        <v>7600</v>
      </c>
      <c r="W32" s="100" t="n">
        <f aca="false">V32+(V32*10%)</f>
        <v>8360</v>
      </c>
      <c r="X32" s="101" t="n">
        <f aca="false">V32/6400</f>
        <v>1.1875</v>
      </c>
      <c r="Y32" s="101" t="n">
        <f aca="false">ROUNDUP(X32,0)</f>
        <v>2</v>
      </c>
      <c r="Z32" s="102" t="n">
        <f aca="false">Y32*7.2</f>
        <v>14.4</v>
      </c>
      <c r="AA32" s="21"/>
    </row>
    <row r="33" customFormat="false" ht="17.35" hidden="false" customHeight="false" outlineLevel="0" collapsed="false">
      <c r="B33" s="13" t="n">
        <v>30</v>
      </c>
      <c r="C33" s="14" t="s">
        <v>18</v>
      </c>
      <c r="D33" s="15"/>
      <c r="E33" s="15"/>
      <c r="F33" s="13" t="n">
        <v>0</v>
      </c>
      <c r="G33" s="13" t="n">
        <f aca="false">+D33*F33</f>
        <v>0</v>
      </c>
      <c r="H33" s="13" t="n">
        <f aca="false">+E33*F33</f>
        <v>0</v>
      </c>
      <c r="I33" s="16" t="n">
        <f aca="false">+D33*E33/1000000</f>
        <v>0</v>
      </c>
      <c r="J33" s="17" t="n">
        <f aca="false">+F33*I33</f>
        <v>0</v>
      </c>
      <c r="K33" s="23"/>
      <c r="L33" s="23"/>
      <c r="M33" s="23"/>
      <c r="Q33" s="3"/>
      <c r="R33" s="3"/>
      <c r="S33" s="3"/>
      <c r="T33" s="97" t="s">
        <v>123</v>
      </c>
      <c r="U33" s="97" t="n">
        <v>1011</v>
      </c>
      <c r="V33" s="103" t="n">
        <f aca="false">(S7*1)+(S8*1)+(S9*1)+(S10*1)+(S11*1)+(S12*1)+(S13*1)+(S14*1)+(S15*1)+(S16*1)+(S17*1)+(S18*1)+(S19*1)+(S20*1)+(S21*1)+(S22*1)+(S23*1)+(S24*1)+(U25*1)+(U26*1)</f>
        <v>7600</v>
      </c>
      <c r="W33" s="100" t="n">
        <f aca="false">V33+(V33*10%)</f>
        <v>8360</v>
      </c>
      <c r="X33" s="101" t="n">
        <f aca="false">V33/6400</f>
        <v>1.1875</v>
      </c>
      <c r="Y33" s="101" t="n">
        <f aca="false">ROUNDUP(X33,0)</f>
        <v>2</v>
      </c>
      <c r="Z33" s="102" t="n">
        <f aca="false">Y33*7.2</f>
        <v>14.4</v>
      </c>
      <c r="AA33" s="21"/>
    </row>
    <row r="34" customFormat="false" ht="17.35" hidden="false" customHeight="false" outlineLevel="0" collapsed="false">
      <c r="B34" s="13" t="n">
        <v>31</v>
      </c>
      <c r="C34" s="14" t="s">
        <v>18</v>
      </c>
      <c r="D34" s="15"/>
      <c r="E34" s="15"/>
      <c r="F34" s="13" t="n">
        <v>0</v>
      </c>
      <c r="G34" s="13" t="n">
        <f aca="false">+D34*F34</f>
        <v>0</v>
      </c>
      <c r="H34" s="13" t="n">
        <f aca="false">+E34*F34</f>
        <v>0</v>
      </c>
      <c r="I34" s="16" t="n">
        <f aca="false">+D34*E34/1000000</f>
        <v>0</v>
      </c>
      <c r="J34" s="17" t="n">
        <f aca="false">+F34*I34</f>
        <v>0</v>
      </c>
      <c r="K34" s="23"/>
      <c r="L34" s="23"/>
      <c r="M34" s="23"/>
      <c r="Q34" s="3"/>
      <c r="R34" s="3"/>
      <c r="S34" s="3"/>
      <c r="T34" s="97" t="s">
        <v>124</v>
      </c>
      <c r="U34" s="97" t="n">
        <v>1013</v>
      </c>
      <c r="V34" s="97" t="n">
        <f aca="false">(T7*2)+(T8*2)+(T9*2)+(T10*2)+(T11*2)+(T12*2)+(T13*2)+(T14*2)+(T15*2)+(T16*2)+(T17*2)+(T18*2)+(T19*2)+(T20*2)+(T21*2)+(T22*2)+(T23*2)+(T24*2)+(V25*2)+(V26*2)</f>
        <v>12000</v>
      </c>
      <c r="W34" s="100" t="n">
        <f aca="false">V34+(V34*10%)</f>
        <v>13200</v>
      </c>
      <c r="X34" s="101" t="n">
        <f aca="false">V34/6400</f>
        <v>1.875</v>
      </c>
      <c r="Y34" s="101" t="n">
        <f aca="false">ROUNDUP(X34,0)</f>
        <v>2</v>
      </c>
      <c r="Z34" s="102" t="n">
        <f aca="false">Y34*7.2</f>
        <v>14.4</v>
      </c>
      <c r="AA34" s="21"/>
    </row>
    <row r="35" customFormat="false" ht="17.35" hidden="false" customHeight="false" outlineLevel="0" collapsed="false">
      <c r="B35" s="13" t="n">
        <v>32</v>
      </c>
      <c r="C35" s="14" t="s">
        <v>18</v>
      </c>
      <c r="D35" s="15"/>
      <c r="E35" s="15"/>
      <c r="F35" s="13" t="n">
        <v>0</v>
      </c>
      <c r="G35" s="13" t="n">
        <f aca="false">+D35*F35</f>
        <v>0</v>
      </c>
      <c r="H35" s="13" t="n">
        <f aca="false">+E35*F35</f>
        <v>0</v>
      </c>
      <c r="I35" s="16" t="n">
        <f aca="false">+D35*E35/1000000</f>
        <v>0</v>
      </c>
      <c r="J35" s="17" t="n">
        <f aca="false">+F35*I35</f>
        <v>0</v>
      </c>
      <c r="K35" s="3"/>
      <c r="L35" s="3"/>
      <c r="M35" s="3"/>
      <c r="S35" s="3"/>
      <c r="T35" s="97" t="s">
        <v>125</v>
      </c>
      <c r="U35" s="97" t="n">
        <v>1017</v>
      </c>
      <c r="V35" s="97" t="n">
        <f aca="false">(T7*2)+(T8*2)+(T9*2)+(T10*2)+(T11*2)+(T12*2)+(T13*2)+(T14*2)+(T15*2)+(T16*2)+(T17*2)+(T18*2)+(T19*2)+(T20*2)+(T21*2)+(T22*2)+(T23*2)+(T24*2)+(V25*2)+(V26*2)</f>
        <v>12000</v>
      </c>
      <c r="W35" s="100" t="n">
        <f aca="false">V35+(V35*10%)</f>
        <v>13200</v>
      </c>
      <c r="X35" s="101" t="n">
        <f aca="false">V35/6400</f>
        <v>1.875</v>
      </c>
      <c r="Y35" s="101" t="n">
        <f aca="false">ROUNDUP(X35,0)</f>
        <v>2</v>
      </c>
      <c r="Z35" s="102" t="n">
        <f aca="false">Y35*7.2</f>
        <v>14.4</v>
      </c>
      <c r="AA35" s="23"/>
      <c r="AB35" s="3"/>
      <c r="AC35" s="3"/>
    </row>
    <row r="36" customFormat="false" ht="17.35" hidden="false" customHeight="false" outlineLevel="0" collapsed="false">
      <c r="B36" s="13" t="n">
        <v>33</v>
      </c>
      <c r="C36" s="14" t="s">
        <v>18</v>
      </c>
      <c r="D36" s="15"/>
      <c r="E36" s="15"/>
      <c r="F36" s="13" t="n">
        <v>0</v>
      </c>
      <c r="G36" s="13" t="n">
        <f aca="false">+D36*F36</f>
        <v>0</v>
      </c>
      <c r="H36" s="13" t="n">
        <f aca="false">+E36*F36</f>
        <v>0</v>
      </c>
      <c r="I36" s="16" t="n">
        <f aca="false">+D36*E36/1000000</f>
        <v>0</v>
      </c>
      <c r="J36" s="17" t="n">
        <f aca="false">+F36*I36</f>
        <v>0</v>
      </c>
      <c r="K36" s="22"/>
      <c r="L36" s="3"/>
      <c r="M36" s="25"/>
      <c r="S36" s="3"/>
      <c r="T36" s="97" t="s">
        <v>128</v>
      </c>
      <c r="U36" s="97" t="n">
        <v>1019</v>
      </c>
      <c r="V36" s="97" t="n">
        <f aca="false">(S7*1)+(S8*1)+(S9*1)+(S10*1)+(S11*1)+(S12*1)+(S13*1)+(S14*1)+(S15*1)+(S16*1)+(S17*1)+(S18*1)+(S19*1)+(S20*1)+(S21*1)+(S22*1)+(S23*1)+(S24*1)+(U25*1)+(U26*1)+(T7*2)+(T8*2)+(T9*2)+(T10*2)+(T11*2)+(T12*2)+(T13*2)+(T14*2)+(T15*2)+(T16*2)+(T17*2)+(T18*2)+(T19*2)+(T20*2)+(T21*2)+(T22*2)+(T23*2)+(T24*2)+(V25*2)+(V26*2)</f>
        <v>19600</v>
      </c>
      <c r="W36" s="100" t="n">
        <f aca="false">V36+(V36*10%)</f>
        <v>21560</v>
      </c>
      <c r="X36" s="101" t="n">
        <f aca="false">V36/6400</f>
        <v>3.0625</v>
      </c>
      <c r="Y36" s="101" t="n">
        <f aca="false">ROUNDUP(X36,0)</f>
        <v>4</v>
      </c>
      <c r="Z36" s="102" t="n">
        <f aca="false">Y36*7.2</f>
        <v>28.8</v>
      </c>
      <c r="AA36" s="3"/>
      <c r="AB36" s="3"/>
      <c r="AC36" s="3"/>
    </row>
    <row r="37" customFormat="false" ht="17.35" hidden="false" customHeight="false" outlineLevel="0" collapsed="false">
      <c r="B37" s="13" t="n">
        <v>34</v>
      </c>
      <c r="C37" s="14" t="s">
        <v>18</v>
      </c>
      <c r="D37" s="15"/>
      <c r="E37" s="15"/>
      <c r="F37" s="13" t="n">
        <v>0</v>
      </c>
      <c r="G37" s="13" t="n">
        <f aca="false">+D37*F37</f>
        <v>0</v>
      </c>
      <c r="H37" s="13" t="n">
        <f aca="false">+E37*F37</f>
        <v>0</v>
      </c>
      <c r="I37" s="16" t="n">
        <f aca="false">+D37*E37/1000000</f>
        <v>0</v>
      </c>
      <c r="J37" s="17" t="n">
        <f aca="false">+F37*I37</f>
        <v>0</v>
      </c>
      <c r="K37" s="3"/>
      <c r="L37" s="3"/>
      <c r="M37" s="3"/>
      <c r="Q37" s="3"/>
      <c r="R37" s="3"/>
      <c r="S37" s="3"/>
      <c r="T37" s="106" t="s">
        <v>127</v>
      </c>
      <c r="U37" s="106"/>
      <c r="V37" s="3"/>
      <c r="W37" s="3"/>
      <c r="X37" s="3"/>
      <c r="Y37" s="101"/>
      <c r="Z37" s="23"/>
      <c r="AA37" s="3"/>
    </row>
    <row r="38" customFormat="false" ht="17.35" hidden="false" customHeight="false" outlineLevel="0" collapsed="false">
      <c r="B38" s="13" t="n">
        <v>35</v>
      </c>
      <c r="C38" s="14" t="s">
        <v>18</v>
      </c>
      <c r="D38" s="15"/>
      <c r="E38" s="15"/>
      <c r="F38" s="13" t="n">
        <v>0</v>
      </c>
      <c r="G38" s="13" t="n">
        <f aca="false">+D38*F38</f>
        <v>0</v>
      </c>
      <c r="H38" s="13" t="n">
        <f aca="false">+E38*F38</f>
        <v>0</v>
      </c>
      <c r="I38" s="16" t="n">
        <f aca="false">+D38*E38/1000000</f>
        <v>0</v>
      </c>
      <c r="J38" s="17" t="n">
        <f aca="false">+F38*I38</f>
        <v>0</v>
      </c>
      <c r="K38" s="3"/>
      <c r="L38" s="3"/>
      <c r="M38" s="3"/>
      <c r="Q38" s="3"/>
      <c r="R38" s="3"/>
      <c r="S38" s="3"/>
      <c r="T38" s="97" t="s">
        <v>120</v>
      </c>
      <c r="U38" s="105" t="s">
        <v>129</v>
      </c>
      <c r="V38" s="97" t="n">
        <v>1021</v>
      </c>
      <c r="W38" s="97" t="n">
        <f aca="false">300*8</f>
        <v>2400</v>
      </c>
      <c r="X38" s="100" t="n">
        <f aca="false">W38+(W38*10%)</f>
        <v>2640</v>
      </c>
      <c r="Y38" s="101" t="n">
        <f aca="false">W38/6400</f>
        <v>0.375</v>
      </c>
      <c r="Z38" s="101" t="n">
        <f aca="false">ROUNDUP(Y38,0)</f>
        <v>1</v>
      </c>
      <c r="AA38" s="102" t="n">
        <f aca="false">Z38*7.2</f>
        <v>7.2</v>
      </c>
    </row>
    <row r="39" customFormat="false" ht="17.35" hidden="false" customHeight="false" outlineLevel="0" collapsed="false">
      <c r="B39" s="13" t="n">
        <v>36</v>
      </c>
      <c r="C39" s="14" t="s">
        <v>18</v>
      </c>
      <c r="D39" s="15"/>
      <c r="E39" s="15"/>
      <c r="F39" s="13" t="n">
        <v>0</v>
      </c>
      <c r="G39" s="13" t="n">
        <f aca="false">+D39*F39</f>
        <v>0</v>
      </c>
      <c r="H39" s="13" t="n">
        <f aca="false">+E39*F39</f>
        <v>0</v>
      </c>
      <c r="I39" s="16" t="n">
        <f aca="false">+D39*E39/1000000</f>
        <v>0</v>
      </c>
      <c r="J39" s="17" t="n">
        <f aca="false">+F39*I39</f>
        <v>0</v>
      </c>
      <c r="K39" s="3"/>
      <c r="L39" s="3"/>
      <c r="M39" s="3"/>
      <c r="Q39" s="3"/>
      <c r="R39" s="3"/>
      <c r="S39" s="3"/>
      <c r="T39" s="97" t="s">
        <v>131</v>
      </c>
      <c r="U39" s="105" t="s">
        <v>132</v>
      </c>
      <c r="V39" s="97" t="n">
        <v>1027</v>
      </c>
      <c r="W39" s="97" t="n">
        <f aca="false">(S7*1)+(S8*1)+(S9*1)+(S10*1)+(S11*1)+(S12*1)+(S13*1)+(S14*1)+(S15*1)+(S16*1)+(S17*1)+(S18*1)+(S19*1)+(S20*1)+(S21*1)+(S22*1)+(S23*1)+(S24*1)+(U25*1)+(U26*1)</f>
        <v>7600</v>
      </c>
      <c r="X39" s="100" t="n">
        <f aca="false">W39+(W39*10%)</f>
        <v>8360</v>
      </c>
      <c r="Y39" s="101" t="n">
        <f aca="false">W39/6400</f>
        <v>1.1875</v>
      </c>
      <c r="Z39" s="101" t="n">
        <f aca="false">ROUNDUP(Y39,0)</f>
        <v>2</v>
      </c>
      <c r="AA39" s="102" t="n">
        <f aca="false">Z39*7.2</f>
        <v>14.4</v>
      </c>
    </row>
    <row r="40" customFormat="false" ht="17.35" hidden="false" customHeight="false" outlineLevel="0" collapsed="false">
      <c r="B40" s="13" t="n">
        <v>37</v>
      </c>
      <c r="C40" s="14" t="s">
        <v>18</v>
      </c>
      <c r="D40" s="15"/>
      <c r="E40" s="15"/>
      <c r="F40" s="13" t="n">
        <v>0</v>
      </c>
      <c r="G40" s="13" t="n">
        <f aca="false">+D40*F40</f>
        <v>0</v>
      </c>
      <c r="H40" s="13" t="n">
        <f aca="false">+E40*F40</f>
        <v>0</v>
      </c>
      <c r="I40" s="16" t="n">
        <f aca="false">+D40*E40/1000000</f>
        <v>0</v>
      </c>
      <c r="J40" s="17" t="n">
        <f aca="false">+F40*I40</f>
        <v>0</v>
      </c>
      <c r="K40" s="3"/>
      <c r="L40" s="3"/>
      <c r="M40" s="3"/>
      <c r="Q40" s="3"/>
      <c r="R40" s="3"/>
      <c r="S40" s="3"/>
      <c r="T40" s="97" t="s">
        <v>134</v>
      </c>
      <c r="U40" s="105" t="s">
        <v>132</v>
      </c>
      <c r="V40" s="97" t="n">
        <v>1029</v>
      </c>
      <c r="W40" s="97" t="n">
        <f aca="false">300*4</f>
        <v>1200</v>
      </c>
      <c r="X40" s="100" t="n">
        <f aca="false">W40+(W40*10%)</f>
        <v>1320</v>
      </c>
      <c r="Y40" s="101" t="n">
        <f aca="false">W40/6400</f>
        <v>0.1875</v>
      </c>
      <c r="Z40" s="101" t="n">
        <f aca="false">ROUNDUP(Y40,0)</f>
        <v>1</v>
      </c>
      <c r="AA40" s="102" t="n">
        <f aca="false">Z40*7.2</f>
        <v>7.2</v>
      </c>
    </row>
    <row r="41" customFormat="false" ht="17.35" hidden="false" customHeight="false" outlineLevel="0" collapsed="false">
      <c r="B41" s="13" t="n">
        <v>38</v>
      </c>
      <c r="C41" s="14" t="s">
        <v>18</v>
      </c>
      <c r="D41" s="15"/>
      <c r="E41" s="15"/>
      <c r="F41" s="13" t="n">
        <v>0</v>
      </c>
      <c r="G41" s="13" t="n">
        <f aca="false">+D41*F41</f>
        <v>0</v>
      </c>
      <c r="H41" s="13" t="n">
        <f aca="false">+E41*F41</f>
        <v>0</v>
      </c>
      <c r="I41" s="16" t="n">
        <f aca="false">+D41*E41/1000000</f>
        <v>0</v>
      </c>
      <c r="J41" s="17" t="n">
        <f aca="false">+F41*I41</f>
        <v>0</v>
      </c>
      <c r="K41" s="3"/>
      <c r="L41" s="3"/>
      <c r="M41" s="3"/>
      <c r="Q41" s="3"/>
      <c r="R41" s="3"/>
      <c r="S41" s="3"/>
      <c r="T41" s="3"/>
      <c r="U41" s="105" t="s">
        <v>133</v>
      </c>
      <c r="V41" s="97" t="n">
        <v>3035</v>
      </c>
      <c r="W41" s="97" t="n">
        <f aca="false">(U26*2)+(S7*2)+(S8*2)+(S9*2)+(S10*2)+(S11*2)+(S12*2)+(S13*2)+(S14*2)+(S15*2)+(S16*2)+(S17*2)+(S18*2)+(S19*2)+(S20*2)+(S21*2)+(S22*2)+(S23*2)+(S24*2)+(U25*2)+(300*16)</f>
        <v>20000</v>
      </c>
      <c r="X41" s="100" t="n">
        <f aca="false">W41+(W41*10%)</f>
        <v>22000</v>
      </c>
      <c r="Y41" s="101" t="n">
        <f aca="false">W41/6400</f>
        <v>3.125</v>
      </c>
      <c r="Z41" s="101" t="n">
        <f aca="false">ROUNDUP(Y41,0)</f>
        <v>4</v>
      </c>
      <c r="AA41" s="102" t="n">
        <f aca="false">Z41*7.2</f>
        <v>28.8</v>
      </c>
    </row>
    <row r="42" customFormat="false" ht="17.35" hidden="false" customHeight="false" outlineLevel="0" collapsed="false">
      <c r="B42" s="13" t="n">
        <v>39</v>
      </c>
      <c r="C42" s="14" t="s">
        <v>18</v>
      </c>
      <c r="D42" s="15"/>
      <c r="E42" s="15"/>
      <c r="F42" s="13" t="n">
        <v>0</v>
      </c>
      <c r="G42" s="13" t="n">
        <f aca="false">+D42*F42</f>
        <v>0</v>
      </c>
      <c r="H42" s="13" t="n">
        <f aca="false">+E42*F42</f>
        <v>0</v>
      </c>
      <c r="I42" s="16" t="n">
        <f aca="false">+D42*E42/1000000</f>
        <v>0</v>
      </c>
      <c r="J42" s="17" t="n">
        <f aca="false">+F42*I42</f>
        <v>0</v>
      </c>
      <c r="K42" s="3"/>
      <c r="L42" s="3"/>
      <c r="M42" s="3"/>
      <c r="Q42" s="3"/>
      <c r="R42" s="3"/>
      <c r="S42" s="3"/>
      <c r="T42" s="3"/>
      <c r="U42" s="105" t="s">
        <v>132</v>
      </c>
      <c r="V42" s="97" t="n">
        <v>1544</v>
      </c>
      <c r="W42" s="97" t="n">
        <f aca="false">300*4</f>
        <v>1200</v>
      </c>
      <c r="X42" s="100" t="n">
        <f aca="false">W42+(W42*10%)</f>
        <v>1320</v>
      </c>
      <c r="Y42" s="101" t="n">
        <f aca="false">X42/6400</f>
        <v>0.20625</v>
      </c>
      <c r="Z42" s="101" t="n">
        <f aca="false">X42/6400</f>
        <v>0.20625</v>
      </c>
      <c r="AA42" s="101" t="n">
        <f aca="false">ROUNDUP(Z42,0)</f>
        <v>1</v>
      </c>
      <c r="AB42" s="102" t="n">
        <f aca="false">AA42*7.2</f>
        <v>7.2</v>
      </c>
    </row>
    <row r="43" customFormat="false" ht="17.35" hidden="false" customHeight="false" outlineLevel="0" collapsed="false">
      <c r="B43" s="13" t="n">
        <v>40</v>
      </c>
      <c r="C43" s="14" t="s">
        <v>18</v>
      </c>
      <c r="D43" s="15"/>
      <c r="E43" s="15"/>
      <c r="F43" s="13" t="n">
        <v>0</v>
      </c>
      <c r="G43" s="13" t="n">
        <f aca="false">+D43*F43</f>
        <v>0</v>
      </c>
      <c r="H43" s="13" t="n">
        <f aca="false">+E43*F43</f>
        <v>0</v>
      </c>
      <c r="I43" s="16" t="n">
        <f aca="false">+D43*E43/1000000</f>
        <v>0</v>
      </c>
      <c r="J43" s="17" t="n">
        <f aca="false">+F43*I43</f>
        <v>0</v>
      </c>
      <c r="K43" s="3"/>
      <c r="L43" s="3"/>
      <c r="M43" s="3"/>
      <c r="T43" s="3"/>
      <c r="U43" s="105" t="s">
        <v>133</v>
      </c>
      <c r="V43" s="97" t="n">
        <v>6515</v>
      </c>
      <c r="W43" s="97" t="n">
        <f aca="false">(S11*5)+(S12*5)+(S13*5)+(S14*5)+(S15*5)+(S16*5)+(S17*5)+(S18*5)+(S19*5)+(S20*5)+(S21*5)+(S22*5)+(S23*5)+(S24*5)+(U25*5)+(U26*5)+(S7*5)+(S8*5)+(S9*5)+(S10*5)</f>
        <v>38000</v>
      </c>
      <c r="X43" s="100" t="n">
        <f aca="false">W43+(W43*10%)</f>
        <v>41800</v>
      </c>
      <c r="Y43" s="101" t="n">
        <f aca="false">X43/6400</f>
        <v>6.53125</v>
      </c>
      <c r="Z43" s="101" t="n">
        <f aca="false">X43/6400</f>
        <v>6.53125</v>
      </c>
      <c r="AA43" s="101" t="n">
        <f aca="false">ROUNDUP(Z43,0)</f>
        <v>7</v>
      </c>
      <c r="AB43" s="102" t="n">
        <f aca="false">AA43*7.2</f>
        <v>50.4</v>
      </c>
      <c r="AC43" s="3"/>
      <c r="AD43" s="3"/>
    </row>
    <row r="44" customFormat="false" ht="17.35" hidden="false" customHeight="false" outlineLevel="0" collapsed="false">
      <c r="B44" s="13" t="n">
        <v>41</v>
      </c>
      <c r="C44" s="14" t="s">
        <v>18</v>
      </c>
      <c r="D44" s="15"/>
      <c r="E44" s="15"/>
      <c r="F44" s="13" t="n">
        <v>0</v>
      </c>
      <c r="G44" s="13" t="n">
        <f aca="false">+D44*F44</f>
        <v>0</v>
      </c>
      <c r="H44" s="13" t="n">
        <f aca="false">+E44*F44</f>
        <v>0</v>
      </c>
      <c r="I44" s="16" t="n">
        <f aca="false">+D44*E44/1000000</f>
        <v>0</v>
      </c>
      <c r="J44" s="17" t="n">
        <f aca="false">+F44*I44</f>
        <v>0</v>
      </c>
      <c r="K44" s="3"/>
      <c r="L44" s="3"/>
      <c r="M44" s="3"/>
      <c r="Q44" s="3"/>
      <c r="R44" s="3"/>
      <c r="S44" s="3"/>
      <c r="T44" s="3"/>
      <c r="U44" s="108" t="n">
        <f aca="false">SUM(V29:V43)</f>
        <v>100171</v>
      </c>
      <c r="V44" s="3"/>
      <c r="W44" s="101"/>
      <c r="X44" s="110" t="n">
        <f aca="false">SUM(X29:X43)</f>
        <v>77453.4375</v>
      </c>
      <c r="Y44" s="3"/>
      <c r="Z44" s="3"/>
      <c r="AA44" s="3"/>
    </row>
    <row r="45" customFormat="false" ht="17.35" hidden="false" customHeight="false" outlineLevel="0" collapsed="false">
      <c r="B45" s="13" t="n">
        <v>42</v>
      </c>
      <c r="C45" s="14" t="s">
        <v>18</v>
      </c>
      <c r="D45" s="15"/>
      <c r="E45" s="15"/>
      <c r="F45" s="13" t="n">
        <v>0</v>
      </c>
      <c r="G45" s="13" t="n">
        <f aca="false">+D45*F45</f>
        <v>0</v>
      </c>
      <c r="H45" s="13" t="n">
        <f aca="false">+E45*F45</f>
        <v>0</v>
      </c>
      <c r="I45" s="16" t="n">
        <f aca="false">+D45*E45/1000000</f>
        <v>0</v>
      </c>
      <c r="J45" s="17" t="n">
        <f aca="false">+F45*I45</f>
        <v>0</v>
      </c>
      <c r="K45" s="3"/>
      <c r="L45" s="3"/>
      <c r="M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7.35" hidden="false" customHeight="false" outlineLevel="0" collapsed="false">
      <c r="B46" s="13" t="n">
        <v>43</v>
      </c>
      <c r="C46" s="14" t="s">
        <v>18</v>
      </c>
      <c r="D46" s="15"/>
      <c r="E46" s="15"/>
      <c r="F46" s="13" t="n">
        <v>0</v>
      </c>
      <c r="G46" s="13" t="n">
        <f aca="false">+D46*F46</f>
        <v>0</v>
      </c>
      <c r="H46" s="13" t="n">
        <f aca="false">+E46*F46</f>
        <v>0</v>
      </c>
      <c r="I46" s="16" t="n">
        <f aca="false">+D46*E46/1000000</f>
        <v>0</v>
      </c>
      <c r="J46" s="17" t="n">
        <f aca="false">+F46*I46</f>
        <v>0</v>
      </c>
      <c r="K46" s="3"/>
      <c r="L46" s="3"/>
      <c r="M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7.35" hidden="false" customHeight="false" outlineLevel="0" collapsed="false">
      <c r="B47" s="13" t="n">
        <v>44</v>
      </c>
      <c r="C47" s="14" t="s">
        <v>18</v>
      </c>
      <c r="D47" s="15"/>
      <c r="E47" s="15"/>
      <c r="F47" s="13" t="n">
        <v>0</v>
      </c>
      <c r="G47" s="13" t="n">
        <f aca="false">+D47*F47</f>
        <v>0</v>
      </c>
      <c r="H47" s="13" t="n">
        <f aca="false">+E47*F47</f>
        <v>0</v>
      </c>
      <c r="I47" s="16" t="n">
        <f aca="false">+D47*E47/1000000</f>
        <v>0</v>
      </c>
      <c r="J47" s="17" t="n">
        <f aca="false">+F47*I47</f>
        <v>0</v>
      </c>
      <c r="K47" s="3"/>
      <c r="L47" s="3"/>
      <c r="M47" s="3"/>
      <c r="Q47" s="3"/>
      <c r="R47" s="3"/>
      <c r="S47" s="3"/>
      <c r="T47" s="3"/>
      <c r="U47" s="95" t="s">
        <v>135</v>
      </c>
      <c r="V47" s="111"/>
      <c r="W47" s="111"/>
      <c r="X47" s="112" t="n">
        <f aca="false">X44*3.7</f>
        <v>286577.71875</v>
      </c>
      <c r="Y47" s="3"/>
      <c r="Z47" s="3"/>
      <c r="AA47" s="3"/>
    </row>
    <row r="48" customFormat="false" ht="17.35" hidden="false" customHeight="false" outlineLevel="0" collapsed="false">
      <c r="B48" s="13" t="n">
        <v>45</v>
      </c>
      <c r="C48" s="14" t="s">
        <v>18</v>
      </c>
      <c r="D48" s="15"/>
      <c r="E48" s="15"/>
      <c r="F48" s="13" t="n">
        <v>0</v>
      </c>
      <c r="G48" s="13" t="n">
        <f aca="false">+D48*F48</f>
        <v>0</v>
      </c>
      <c r="H48" s="13" t="n">
        <f aca="false">+E48*F48</f>
        <v>0</v>
      </c>
      <c r="I48" s="16" t="n">
        <f aca="false">+D48*E48/1000000</f>
        <v>0</v>
      </c>
      <c r="J48" s="17" t="n">
        <f aca="false">+F48*I48</f>
        <v>0</v>
      </c>
      <c r="K48" s="3"/>
      <c r="L48" s="3"/>
      <c r="M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7.35" hidden="false" customHeight="false" outlineLevel="0" collapsed="false">
      <c r="B49" s="13" t="n">
        <v>46</v>
      </c>
      <c r="C49" s="14" t="s">
        <v>18</v>
      </c>
      <c r="D49" s="15"/>
      <c r="E49" s="15"/>
      <c r="F49" s="13" t="n">
        <v>0</v>
      </c>
      <c r="G49" s="13" t="n">
        <f aca="false">+D49*F49</f>
        <v>0</v>
      </c>
      <c r="H49" s="13" t="n">
        <f aca="false">+E49*F49</f>
        <v>0</v>
      </c>
      <c r="I49" s="16" t="n">
        <f aca="false">+D49*E49/1000000</f>
        <v>0</v>
      </c>
      <c r="J49" s="17" t="n">
        <f aca="false">+F49*I49</f>
        <v>0</v>
      </c>
      <c r="K49" s="3"/>
      <c r="L49" s="3"/>
      <c r="M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7.35" hidden="false" customHeight="false" outlineLevel="0" collapsed="false">
      <c r="B50" s="13" t="n">
        <v>47</v>
      </c>
      <c r="C50" s="14" t="s">
        <v>18</v>
      </c>
      <c r="D50" s="15"/>
      <c r="E50" s="15"/>
      <c r="F50" s="13" t="n">
        <v>0</v>
      </c>
      <c r="G50" s="13" t="n">
        <f aca="false">+D50*F50</f>
        <v>0</v>
      </c>
      <c r="H50" s="13" t="n">
        <f aca="false">+E50*F50</f>
        <v>0</v>
      </c>
      <c r="I50" s="16" t="n">
        <f aca="false">+D50*E50/1000000</f>
        <v>0</v>
      </c>
      <c r="J50" s="17" t="n">
        <f aca="false">+F50*I50</f>
        <v>0</v>
      </c>
      <c r="K50" s="3"/>
      <c r="L50" s="3"/>
      <c r="M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7.35" hidden="false" customHeight="false" outlineLevel="0" collapsed="false">
      <c r="B51" s="13" t="n">
        <v>48</v>
      </c>
      <c r="C51" s="14" t="s">
        <v>18</v>
      </c>
      <c r="D51" s="15"/>
      <c r="E51" s="15"/>
      <c r="F51" s="13" t="n">
        <v>0</v>
      </c>
      <c r="G51" s="13" t="n">
        <f aca="false">+D51*F51</f>
        <v>0</v>
      </c>
      <c r="H51" s="13" t="n">
        <f aca="false">+E51*F51</f>
        <v>0</v>
      </c>
      <c r="I51" s="16" t="n">
        <f aca="false">+D51*E51/1000000</f>
        <v>0</v>
      </c>
      <c r="J51" s="17" t="n">
        <f aca="false">+F51*I51</f>
        <v>0</v>
      </c>
      <c r="K51" s="3"/>
      <c r="L51" s="3"/>
      <c r="M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7.35" hidden="false" customHeight="false" outlineLevel="0" collapsed="false">
      <c r="B52" s="13" t="n">
        <v>49</v>
      </c>
      <c r="C52" s="14" t="s">
        <v>18</v>
      </c>
      <c r="D52" s="15"/>
      <c r="E52" s="15"/>
      <c r="F52" s="13" t="n">
        <v>0</v>
      </c>
      <c r="G52" s="13" t="n">
        <f aca="false">+D52*F52</f>
        <v>0</v>
      </c>
      <c r="H52" s="13" t="n">
        <f aca="false">+E52*F52</f>
        <v>0</v>
      </c>
      <c r="I52" s="16" t="n">
        <f aca="false">+D52*E52/1000000</f>
        <v>0</v>
      </c>
      <c r="J52" s="17" t="n">
        <f aca="false">+F52*I52</f>
        <v>0</v>
      </c>
      <c r="K52" s="3"/>
      <c r="L52" s="3"/>
      <c r="M52" s="3"/>
    </row>
    <row r="53" customFormat="false" ht="17.35" hidden="false" customHeight="false" outlineLevel="0" collapsed="false">
      <c r="B53" s="13" t="n">
        <v>50</v>
      </c>
      <c r="C53" s="14" t="s">
        <v>18</v>
      </c>
      <c r="D53" s="15"/>
      <c r="E53" s="15"/>
      <c r="F53" s="13" t="n">
        <v>0</v>
      </c>
      <c r="G53" s="13" t="n">
        <f aca="false">+D53*F53</f>
        <v>0</v>
      </c>
      <c r="H53" s="13" t="n">
        <f aca="false">+E53*F53</f>
        <v>0</v>
      </c>
      <c r="I53" s="16" t="n">
        <f aca="false">+D53*E53/1000000</f>
        <v>0</v>
      </c>
      <c r="J53" s="17" t="n">
        <f aca="false">+F53*I53</f>
        <v>0</v>
      </c>
      <c r="K53" s="3"/>
      <c r="L53" s="3"/>
      <c r="M53" s="3"/>
    </row>
    <row r="54" customFormat="false" ht="17.35" hidden="false" customHeight="false" outlineLevel="0" collapsed="false">
      <c r="B54" s="13" t="n">
        <v>51</v>
      </c>
      <c r="C54" s="14" t="s">
        <v>18</v>
      </c>
      <c r="D54" s="15"/>
      <c r="E54" s="15"/>
      <c r="F54" s="13" t="n">
        <v>0</v>
      </c>
      <c r="G54" s="13" t="n">
        <f aca="false">+D54*F54</f>
        <v>0</v>
      </c>
      <c r="H54" s="13" t="n">
        <f aca="false">+E54*F54</f>
        <v>0</v>
      </c>
      <c r="I54" s="16" t="n">
        <f aca="false">+D54*E54/1000000</f>
        <v>0</v>
      </c>
      <c r="J54" s="17" t="n">
        <f aca="false">+F54*I54</f>
        <v>0</v>
      </c>
      <c r="K54" s="3"/>
      <c r="L54" s="3"/>
      <c r="M54" s="3"/>
    </row>
    <row r="55" customFormat="false" ht="17.35" hidden="false" customHeight="false" outlineLevel="0" collapsed="false">
      <c r="B55" s="13" t="n">
        <v>52</v>
      </c>
      <c r="C55" s="14" t="s">
        <v>18</v>
      </c>
      <c r="D55" s="15"/>
      <c r="E55" s="15"/>
      <c r="F55" s="13" t="n">
        <v>0</v>
      </c>
      <c r="G55" s="13" t="n">
        <f aca="false">+D55*F55</f>
        <v>0</v>
      </c>
      <c r="H55" s="13" t="n">
        <f aca="false">+E55*F55</f>
        <v>0</v>
      </c>
      <c r="I55" s="16" t="n">
        <f aca="false">+D55*E55/1000000</f>
        <v>0</v>
      </c>
      <c r="J55" s="17" t="n">
        <f aca="false">+F55*I55</f>
        <v>0</v>
      </c>
      <c r="K55" s="3"/>
      <c r="L55" s="3"/>
      <c r="M55" s="3"/>
    </row>
    <row r="56" customFormat="false" ht="17.35" hidden="false" customHeight="false" outlineLevel="0" collapsed="false">
      <c r="B56" s="13" t="n">
        <v>53</v>
      </c>
      <c r="C56" s="14" t="s">
        <v>18</v>
      </c>
      <c r="D56" s="15"/>
      <c r="E56" s="15"/>
      <c r="F56" s="13" t="n">
        <v>0</v>
      </c>
      <c r="G56" s="13" t="n">
        <f aca="false">+D56*F56</f>
        <v>0</v>
      </c>
      <c r="H56" s="13" t="n">
        <f aca="false">+E56*F56</f>
        <v>0</v>
      </c>
      <c r="I56" s="16" t="n">
        <f aca="false">+D56*E56/1000000</f>
        <v>0</v>
      </c>
      <c r="J56" s="17" t="n">
        <f aca="false">+F56*I56</f>
        <v>0</v>
      </c>
      <c r="K56" s="3"/>
      <c r="L56" s="3"/>
      <c r="M56" s="3"/>
    </row>
    <row r="57" customFormat="false" ht="17.35" hidden="false" customHeight="false" outlineLevel="0" collapsed="false">
      <c r="B57" s="13" t="n">
        <v>54</v>
      </c>
      <c r="C57" s="14" t="s">
        <v>18</v>
      </c>
      <c r="D57" s="15"/>
      <c r="E57" s="15"/>
      <c r="F57" s="13" t="n">
        <v>0</v>
      </c>
      <c r="G57" s="13" t="n">
        <f aca="false">+D57*F57</f>
        <v>0</v>
      </c>
      <c r="H57" s="13" t="n">
        <f aca="false">+E57*F57</f>
        <v>0</v>
      </c>
      <c r="I57" s="16" t="n">
        <f aca="false">+D57*E57/1000000</f>
        <v>0</v>
      </c>
      <c r="J57" s="17" t="n">
        <f aca="false">+F57*I57</f>
        <v>0</v>
      </c>
      <c r="K57" s="3"/>
      <c r="L57" s="3"/>
      <c r="M57" s="3"/>
    </row>
    <row r="58" customFormat="false" ht="17.35" hidden="false" customHeight="false" outlineLevel="0" collapsed="false">
      <c r="B58" s="13" t="n">
        <v>55</v>
      </c>
      <c r="C58" s="14" t="s">
        <v>18</v>
      </c>
      <c r="D58" s="15"/>
      <c r="E58" s="15"/>
      <c r="F58" s="13" t="n">
        <v>0</v>
      </c>
      <c r="G58" s="13" t="n">
        <f aca="false">+D58*F58</f>
        <v>0</v>
      </c>
      <c r="H58" s="13" t="n">
        <f aca="false">+E58*F58</f>
        <v>0</v>
      </c>
      <c r="I58" s="16" t="n">
        <f aca="false">+D58*E58/1000000</f>
        <v>0</v>
      </c>
      <c r="J58" s="17" t="n">
        <f aca="false">+F58*I58</f>
        <v>0</v>
      </c>
      <c r="K58" s="3"/>
      <c r="L58" s="3"/>
      <c r="M58" s="3"/>
    </row>
    <row r="59" customFormat="false" ht="17.35" hidden="false" customHeight="false" outlineLevel="0" collapsed="false">
      <c r="B59" s="13" t="n">
        <v>56</v>
      </c>
      <c r="C59" s="14" t="s">
        <v>18</v>
      </c>
      <c r="D59" s="15"/>
      <c r="E59" s="15"/>
      <c r="F59" s="13" t="n">
        <v>0</v>
      </c>
      <c r="G59" s="13" t="n">
        <f aca="false">+D59*F59</f>
        <v>0</v>
      </c>
      <c r="H59" s="13" t="n">
        <f aca="false">+E59*F59</f>
        <v>0</v>
      </c>
      <c r="I59" s="16" t="n">
        <f aca="false">+D59*E59/1000000</f>
        <v>0</v>
      </c>
      <c r="J59" s="17" t="n">
        <f aca="false">+F59*I59</f>
        <v>0</v>
      </c>
      <c r="K59" s="3"/>
      <c r="L59" s="3"/>
      <c r="M59" s="3"/>
    </row>
    <row r="60" customFormat="false" ht="17.35" hidden="false" customHeight="false" outlineLevel="0" collapsed="false">
      <c r="B60" s="13" t="n">
        <v>57</v>
      </c>
      <c r="C60" s="14" t="s">
        <v>18</v>
      </c>
      <c r="D60" s="15"/>
      <c r="E60" s="15"/>
      <c r="F60" s="13" t="n">
        <v>0</v>
      </c>
      <c r="G60" s="13" t="n">
        <f aca="false">+D60*F60</f>
        <v>0</v>
      </c>
      <c r="H60" s="13" t="n">
        <f aca="false">+E60*F60</f>
        <v>0</v>
      </c>
      <c r="I60" s="16" t="n">
        <f aca="false">+D60*E60/1000000</f>
        <v>0</v>
      </c>
      <c r="J60" s="17" t="n">
        <f aca="false">+F60*I60</f>
        <v>0</v>
      </c>
      <c r="K60" s="3"/>
      <c r="L60" s="3"/>
      <c r="M60" s="3"/>
    </row>
    <row r="61" customFormat="false" ht="17.35" hidden="false" customHeight="false" outlineLevel="0" collapsed="false">
      <c r="B61" s="13" t="n">
        <v>58</v>
      </c>
      <c r="C61" s="14" t="s">
        <v>18</v>
      </c>
      <c r="D61" s="15"/>
      <c r="E61" s="15"/>
      <c r="F61" s="13" t="n">
        <v>0</v>
      </c>
      <c r="G61" s="13" t="n">
        <f aca="false">+D61*F61</f>
        <v>0</v>
      </c>
      <c r="H61" s="13" t="n">
        <f aca="false">+E61*F61</f>
        <v>0</v>
      </c>
      <c r="I61" s="16" t="n">
        <f aca="false">+D61*E61/1000000</f>
        <v>0</v>
      </c>
      <c r="J61" s="17" t="n">
        <f aca="false">+F61*I61</f>
        <v>0</v>
      </c>
      <c r="K61" s="3"/>
      <c r="L61" s="3"/>
      <c r="M61" s="3"/>
    </row>
    <row r="62" customFormat="false" ht="17.35" hidden="false" customHeight="false" outlineLevel="0" collapsed="false">
      <c r="B62" s="13" t="n">
        <v>66</v>
      </c>
      <c r="C62" s="14" t="s">
        <v>18</v>
      </c>
      <c r="D62" s="15" t="n">
        <v>0</v>
      </c>
      <c r="E62" s="15" t="n">
        <v>0</v>
      </c>
      <c r="F62" s="13" t="n">
        <v>0</v>
      </c>
      <c r="G62" s="13" t="n">
        <f aca="false">+D62*F62</f>
        <v>0</v>
      </c>
      <c r="H62" s="13" t="n">
        <f aca="false">+E62*F62</f>
        <v>0</v>
      </c>
      <c r="I62" s="16" t="n">
        <f aca="false">+D62*E62/1000000</f>
        <v>0</v>
      </c>
      <c r="J62" s="17" t="n">
        <f aca="false">+F62*I62</f>
        <v>0</v>
      </c>
      <c r="K62" s="3"/>
      <c r="L62" s="3"/>
      <c r="M62" s="3"/>
    </row>
    <row r="63" customFormat="false" ht="17.35" hidden="false" customHeight="false" outlineLevel="0" collapsed="false">
      <c r="B63" s="13" t="n">
        <v>67</v>
      </c>
      <c r="C63" s="14" t="s">
        <v>18</v>
      </c>
      <c r="D63" s="15" t="n">
        <v>0</v>
      </c>
      <c r="E63" s="15" t="n">
        <v>0</v>
      </c>
      <c r="F63" s="13" t="n">
        <v>0</v>
      </c>
      <c r="G63" s="13" t="n">
        <f aca="false">+D63*F63</f>
        <v>0</v>
      </c>
      <c r="H63" s="13" t="n">
        <f aca="false">+E63*F63</f>
        <v>0</v>
      </c>
      <c r="I63" s="16" t="n">
        <f aca="false">+D63*E63/1000000</f>
        <v>0</v>
      </c>
      <c r="J63" s="17" t="n">
        <f aca="false">+F63*I63</f>
        <v>0</v>
      </c>
      <c r="K63" s="3"/>
      <c r="L63" s="3"/>
      <c r="M63" s="3"/>
    </row>
    <row r="64" customFormat="false" ht="17.35" hidden="false" customHeight="false" outlineLevel="0" collapsed="false">
      <c r="B64" s="13" t="n">
        <v>68</v>
      </c>
      <c r="C64" s="14" t="s">
        <v>18</v>
      </c>
      <c r="D64" s="15" t="n">
        <v>0</v>
      </c>
      <c r="E64" s="15" t="n">
        <v>0</v>
      </c>
      <c r="F64" s="13" t="n">
        <v>0</v>
      </c>
      <c r="G64" s="13" t="n">
        <f aca="false">+D64*F64</f>
        <v>0</v>
      </c>
      <c r="H64" s="13" t="n">
        <f aca="false">+E64*F64</f>
        <v>0</v>
      </c>
      <c r="I64" s="16" t="n">
        <f aca="false">+D64*E64/1000000</f>
        <v>0</v>
      </c>
      <c r="J64" s="17" t="n">
        <f aca="false">+F64*I64</f>
        <v>0</v>
      </c>
      <c r="K64" s="3"/>
      <c r="L64" s="3"/>
      <c r="M64" s="3"/>
    </row>
    <row r="65" customFormat="false" ht="17.35" hidden="false" customHeight="false" outlineLevel="0" collapsed="false">
      <c r="B65" s="31" t="s">
        <v>19</v>
      </c>
      <c r="C65" s="31"/>
      <c r="D65" s="32" t="n">
        <f aca="false">SUM(D4:D64)</f>
        <v>5000</v>
      </c>
      <c r="E65" s="33" t="n">
        <f aca="false">SUM(E4:E64)</f>
        <v>5600</v>
      </c>
      <c r="F65" s="34" t="n">
        <f aca="false">SUM(F4:F64)</f>
        <v>64</v>
      </c>
      <c r="G65" s="32" t="n">
        <f aca="false">SUM(G4:G64)</f>
        <v>161000</v>
      </c>
      <c r="H65" s="32" t="n">
        <f aca="false">SUM(H4:H64)</f>
        <v>179200</v>
      </c>
      <c r="I65" s="36" t="n">
        <f aca="false">SUM(I4:I64)</f>
        <v>14</v>
      </c>
      <c r="J65" s="37" t="n">
        <f aca="false">SUM(J4:J64)</f>
        <v>450.8</v>
      </c>
      <c r="K65" s="3"/>
      <c r="L65" s="3"/>
      <c r="M65" s="3"/>
    </row>
    <row r="66" customFormat="false" ht="17.35" hidden="false" customHeight="false" outlineLevel="0" collapsed="false">
      <c r="B66" s="4"/>
      <c r="C66" s="4"/>
      <c r="D66" s="4"/>
      <c r="E66" s="38"/>
      <c r="F66" s="39"/>
      <c r="G66" s="39"/>
      <c r="H66" s="4"/>
      <c r="I66" s="12"/>
      <c r="J66" s="12"/>
      <c r="K66" s="3"/>
      <c r="L66" s="3"/>
      <c r="M66" s="3"/>
    </row>
    <row r="67" customFormat="false" ht="17.35" hidden="false" customHeight="false" outlineLevel="0" collapsed="false">
      <c r="B67" s="9" t="s">
        <v>20</v>
      </c>
      <c r="C67" s="9"/>
      <c r="D67" s="9"/>
      <c r="E67" s="9"/>
      <c r="F67" s="9"/>
      <c r="G67" s="9"/>
      <c r="H67" s="9"/>
      <c r="I67" s="9"/>
      <c r="J67" s="9"/>
      <c r="K67" s="3"/>
      <c r="L67" s="3"/>
      <c r="M67" s="3"/>
    </row>
    <row r="68" customFormat="false" ht="17.35" hidden="false" customHeight="false" outlineLevel="0" collapsed="false">
      <c r="B68" s="9" t="s">
        <v>5</v>
      </c>
      <c r="C68" s="42" t="s">
        <v>21</v>
      </c>
      <c r="D68" s="42" t="s">
        <v>22</v>
      </c>
      <c r="E68" s="42" t="s">
        <v>23</v>
      </c>
      <c r="F68" s="42" t="s">
        <v>24</v>
      </c>
      <c r="G68" s="42" t="s">
        <v>25</v>
      </c>
      <c r="H68" s="42" t="s">
        <v>26</v>
      </c>
      <c r="I68" s="42" t="s">
        <v>37</v>
      </c>
      <c r="J68" s="42" t="s">
        <v>164</v>
      </c>
      <c r="K68" s="3"/>
      <c r="L68" s="3"/>
      <c r="M68" s="3"/>
    </row>
    <row r="69" customFormat="false" ht="17.35" hidden="false" customHeight="false" outlineLevel="0" collapsed="false">
      <c r="B69" s="13" t="n">
        <v>1</v>
      </c>
      <c r="C69" s="13" t="n">
        <v>1005</v>
      </c>
      <c r="D69" s="13" t="s">
        <v>165</v>
      </c>
      <c r="E69" s="15" t="n">
        <f aca="false">+G65*1</f>
        <v>161000</v>
      </c>
      <c r="F69" s="15" t="n">
        <f aca="false">E69+(E69*10%)</f>
        <v>177100</v>
      </c>
      <c r="G69" s="43" t="n">
        <f aca="false">F69/6400</f>
        <v>27.671875</v>
      </c>
      <c r="H69" s="43" t="n">
        <f aca="false">ROUNDUP(G69,0)</f>
        <v>28</v>
      </c>
      <c r="I69" s="44" t="n">
        <v>6</v>
      </c>
      <c r="J69" s="44" t="n">
        <f aca="false">+H69*I69</f>
        <v>168</v>
      </c>
      <c r="K69" s="3"/>
      <c r="L69" s="3"/>
      <c r="M69" s="3"/>
    </row>
    <row r="70" customFormat="false" ht="17.35" hidden="false" customHeight="false" outlineLevel="0" collapsed="false">
      <c r="B70" s="13" t="n">
        <v>2</v>
      </c>
      <c r="C70" s="13" t="n">
        <v>1007</v>
      </c>
      <c r="D70" s="13" t="s">
        <v>188</v>
      </c>
      <c r="E70" s="15" t="n">
        <f aca="false">H65*2</f>
        <v>358400</v>
      </c>
      <c r="F70" s="15" t="n">
        <f aca="false">E70+(E70*10%)</f>
        <v>394240</v>
      </c>
      <c r="G70" s="43" t="n">
        <f aca="false">F70/6400</f>
        <v>61.6</v>
      </c>
      <c r="H70" s="43" t="n">
        <f aca="false">ROUNDUP(G70,0)</f>
        <v>62</v>
      </c>
      <c r="I70" s="44" t="n">
        <v>3.8</v>
      </c>
      <c r="J70" s="44" t="n">
        <f aca="false">+H70*I70</f>
        <v>235.6</v>
      </c>
      <c r="K70" s="3"/>
      <c r="L70" s="3"/>
      <c r="M70" s="3"/>
    </row>
    <row r="71" customFormat="false" ht="17.35" hidden="false" customHeight="false" outlineLevel="0" collapsed="false">
      <c r="B71" s="13" t="n">
        <v>3</v>
      </c>
      <c r="C71" s="13" t="n">
        <v>1001</v>
      </c>
      <c r="D71" s="13" t="s">
        <v>189</v>
      </c>
      <c r="E71" s="15" t="n">
        <f aca="false">+G65*1</f>
        <v>161000</v>
      </c>
      <c r="F71" s="15" t="n">
        <f aca="false">E71+(E71*10%)</f>
        <v>177100</v>
      </c>
      <c r="G71" s="43" t="n">
        <f aca="false">F71/6400</f>
        <v>27.671875</v>
      </c>
      <c r="H71" s="43" t="n">
        <f aca="false">ROUNDUP(G71,0)</f>
        <v>28</v>
      </c>
      <c r="I71" s="44" t="n">
        <v>7.7</v>
      </c>
      <c r="J71" s="44" t="n">
        <f aca="false">+H71*I71</f>
        <v>215.6</v>
      </c>
      <c r="K71" s="3"/>
      <c r="L71" s="3"/>
      <c r="M71" s="3"/>
    </row>
    <row r="72" customFormat="false" ht="17.35" hidden="false" customHeight="false" outlineLevel="0" collapsed="false">
      <c r="B72" s="13" t="n">
        <v>4</v>
      </c>
      <c r="C72" s="13" t="n">
        <v>1009</v>
      </c>
      <c r="D72" s="13" t="s">
        <v>167</v>
      </c>
      <c r="E72" s="15" t="n">
        <f aca="false">+G65*1</f>
        <v>161000</v>
      </c>
      <c r="F72" s="15" t="n">
        <f aca="false">E72+(E72*10%)</f>
        <v>177100</v>
      </c>
      <c r="G72" s="43" t="n">
        <f aca="false">F72/6400</f>
        <v>27.671875</v>
      </c>
      <c r="H72" s="43" t="n">
        <f aca="false">ROUNDUP(G72,0)</f>
        <v>28</v>
      </c>
      <c r="I72" s="44" t="n">
        <v>3.5</v>
      </c>
      <c r="J72" s="44" t="n">
        <f aca="false">+H72*I72</f>
        <v>98</v>
      </c>
    </row>
    <row r="73" customFormat="false" ht="17.35" hidden="false" customHeight="false" outlineLevel="0" collapsed="false">
      <c r="B73" s="13" t="n">
        <v>5</v>
      </c>
      <c r="C73" s="13" t="n">
        <v>1011</v>
      </c>
      <c r="D73" s="13" t="s">
        <v>168</v>
      </c>
      <c r="E73" s="15" t="n">
        <f aca="false">+G65*1</f>
        <v>161000</v>
      </c>
      <c r="F73" s="15" t="n">
        <f aca="false">E73+(E73*10%)</f>
        <v>177100</v>
      </c>
      <c r="G73" s="43" t="n">
        <f aca="false">F73/6400</f>
        <v>27.671875</v>
      </c>
      <c r="H73" s="43" t="n">
        <f aca="false">ROUNDUP(G73,0)</f>
        <v>28</v>
      </c>
      <c r="I73" s="44" t="n">
        <v>3.6</v>
      </c>
      <c r="J73" s="44" t="n">
        <f aca="false">+H73*I73</f>
        <v>100.8</v>
      </c>
    </row>
    <row r="74" customFormat="false" ht="17.35" hidden="false" customHeight="false" outlineLevel="0" collapsed="false">
      <c r="B74" s="13" t="n">
        <v>6</v>
      </c>
      <c r="C74" s="13" t="n">
        <v>1013</v>
      </c>
      <c r="D74" s="13" t="s">
        <v>191</v>
      </c>
      <c r="E74" s="15" t="n">
        <f aca="false">+H65*2</f>
        <v>358400</v>
      </c>
      <c r="F74" s="15" t="n">
        <f aca="false">E74+(E74*10%)</f>
        <v>394240</v>
      </c>
      <c r="G74" s="43" t="n">
        <f aca="false">F74/6400</f>
        <v>61.6</v>
      </c>
      <c r="H74" s="43" t="n">
        <f aca="false">ROUNDUP(G74,0)</f>
        <v>62</v>
      </c>
      <c r="I74" s="44" t="n">
        <v>4.2</v>
      </c>
      <c r="J74" s="44" t="n">
        <f aca="false">+H74*I74</f>
        <v>260.4</v>
      </c>
    </row>
    <row r="75" customFormat="false" ht="17.35" hidden="false" customHeight="false" outlineLevel="0" collapsed="false">
      <c r="B75" s="13" t="n">
        <v>7</v>
      </c>
      <c r="C75" s="13" t="n">
        <v>1017</v>
      </c>
      <c r="D75" s="13" t="s">
        <v>31</v>
      </c>
      <c r="E75" s="15" t="n">
        <f aca="false">+H65*2</f>
        <v>358400</v>
      </c>
      <c r="F75" s="15" t="n">
        <f aca="false">E75+(E75*10%)</f>
        <v>394240</v>
      </c>
      <c r="G75" s="43" t="n">
        <f aca="false">F75/6400</f>
        <v>61.6</v>
      </c>
      <c r="H75" s="43" t="n">
        <f aca="false">ROUNDUP(G75,0)</f>
        <v>62</v>
      </c>
      <c r="I75" s="44" t="n">
        <v>4.2</v>
      </c>
      <c r="J75" s="44" t="n">
        <f aca="false">+H75*I75</f>
        <v>260.4</v>
      </c>
    </row>
    <row r="76" customFormat="false" ht="17.35" hidden="false" customHeight="false" outlineLevel="0" collapsed="false">
      <c r="B76" s="13" t="n">
        <v>8</v>
      </c>
      <c r="C76" s="13" t="n">
        <v>1019</v>
      </c>
      <c r="D76" s="13" t="s">
        <v>47</v>
      </c>
      <c r="E76" s="15" t="n">
        <f aca="false">+G65*1+H65*2</f>
        <v>519400</v>
      </c>
      <c r="F76" s="15" t="n">
        <f aca="false">E76+(E76*10%)</f>
        <v>571340</v>
      </c>
      <c r="G76" s="43" t="n">
        <f aca="false">F76/6400</f>
        <v>89.271875</v>
      </c>
      <c r="H76" s="43" t="n">
        <f aca="false">ROUNDUP(G76,0)</f>
        <v>90</v>
      </c>
      <c r="I76" s="44" t="n">
        <v>2.2</v>
      </c>
      <c r="J76" s="44" t="n">
        <f aca="false">+H76*I76</f>
        <v>198</v>
      </c>
    </row>
    <row r="77" customFormat="false" ht="17.35" hidden="false" customHeight="false" outlineLevel="0" collapsed="false">
      <c r="B77" s="3"/>
      <c r="C77" s="3"/>
      <c r="D77" s="3"/>
      <c r="E77" s="3"/>
      <c r="F77" s="3"/>
      <c r="G77" s="3"/>
      <c r="H77" s="23"/>
      <c r="I77" s="57" t="s">
        <v>19</v>
      </c>
      <c r="J77" s="57" t="n">
        <f aca="false">SUM(J69:J76)</f>
        <v>1536.8</v>
      </c>
    </row>
    <row r="78" customFormat="false" ht="17.35" hidden="false" customHeight="false" outlineLevel="0" collapsed="false">
      <c r="B78" s="3"/>
      <c r="C78" s="3"/>
      <c r="D78" s="3"/>
      <c r="E78" s="3"/>
      <c r="F78" s="3"/>
      <c r="G78" s="3"/>
      <c r="H78" s="3"/>
      <c r="I78" s="3"/>
      <c r="J78" s="3"/>
    </row>
    <row r="79" customFormat="false" ht="17.35" hidden="false" customHeight="false" outlineLevel="0" collapsed="false">
      <c r="B79" s="42" t="s">
        <v>50</v>
      </c>
      <c r="C79" s="42"/>
      <c r="D79" s="42"/>
      <c r="E79" s="42"/>
      <c r="F79" s="42"/>
      <c r="G79" s="42"/>
      <c r="H79" s="42"/>
      <c r="I79" s="3"/>
      <c r="J79" s="3"/>
    </row>
    <row r="80" customFormat="false" ht="17.35" hidden="false" customHeight="false" outlineLevel="0" collapsed="false">
      <c r="B80" s="9" t="s">
        <v>5</v>
      </c>
      <c r="C80" s="9" t="s">
        <v>22</v>
      </c>
      <c r="D80" s="9" t="s">
        <v>51</v>
      </c>
      <c r="E80" s="9" t="s">
        <v>52</v>
      </c>
      <c r="F80" s="9" t="s">
        <v>53</v>
      </c>
      <c r="G80" s="9" t="s">
        <v>54</v>
      </c>
      <c r="H80" s="9" t="s">
        <v>55</v>
      </c>
      <c r="I80" s="3"/>
      <c r="J80" s="3"/>
    </row>
    <row r="81" customFormat="false" ht="17.35" hidden="false" customHeight="false" outlineLevel="0" collapsed="false">
      <c r="B81" s="13" t="n">
        <v>1</v>
      </c>
      <c r="C81" s="13" t="s">
        <v>56</v>
      </c>
      <c r="D81" s="58" t="s">
        <v>57</v>
      </c>
      <c r="E81" s="13" t="n">
        <v>2</v>
      </c>
      <c r="F81" s="13" t="n">
        <f aca="false">+E81*$F$65</f>
        <v>128</v>
      </c>
      <c r="G81" s="15" t="n">
        <v>6000</v>
      </c>
      <c r="H81" s="15" t="n">
        <f aca="false">+F81*G81</f>
        <v>768000</v>
      </c>
      <c r="I81" s="3"/>
      <c r="J81" s="3"/>
    </row>
    <row r="82" customFormat="false" ht="17.35" hidden="false" customHeight="false" outlineLevel="0" collapsed="false">
      <c r="B82" s="13" t="n">
        <v>2</v>
      </c>
      <c r="C82" s="13" t="s">
        <v>183</v>
      </c>
      <c r="D82" s="58" t="s">
        <v>57</v>
      </c>
      <c r="E82" s="13" t="n">
        <v>2</v>
      </c>
      <c r="F82" s="13" t="n">
        <f aca="false">+E82*$F$65</f>
        <v>128</v>
      </c>
      <c r="G82" s="15" t="n">
        <v>700</v>
      </c>
      <c r="H82" s="15" t="n">
        <v>0</v>
      </c>
      <c r="I82" s="3"/>
      <c r="J82" s="3"/>
    </row>
    <row r="83" customFormat="false" ht="17.35" hidden="false" customHeight="false" outlineLevel="0" collapsed="false">
      <c r="B83" s="13" t="n">
        <v>2</v>
      </c>
      <c r="C83" s="13" t="s">
        <v>211</v>
      </c>
      <c r="D83" s="58" t="s">
        <v>57</v>
      </c>
      <c r="E83" s="13" t="n">
        <v>1</v>
      </c>
      <c r="F83" s="13" t="n">
        <f aca="false">+E83*$F$65</f>
        <v>64</v>
      </c>
      <c r="G83" s="15" t="n">
        <v>6000</v>
      </c>
      <c r="H83" s="15" t="n">
        <f aca="false">+F83*G83</f>
        <v>384000</v>
      </c>
      <c r="I83" s="3"/>
      <c r="J83" s="3"/>
    </row>
    <row r="84" customFormat="false" ht="17.35" hidden="false" customHeight="false" outlineLevel="0" collapsed="false">
      <c r="B84" s="13" t="n">
        <v>5</v>
      </c>
      <c r="C84" s="13" t="s">
        <v>61</v>
      </c>
      <c r="D84" s="58" t="s">
        <v>62</v>
      </c>
      <c r="E84" s="20" t="s">
        <v>203</v>
      </c>
      <c r="F84" s="16" t="n">
        <f aca="false">+(H65*4)/1000</f>
        <v>716.8</v>
      </c>
      <c r="G84" s="15" t="n">
        <v>335</v>
      </c>
      <c r="H84" s="15" t="n">
        <f aca="false">+F84*G84</f>
        <v>240128</v>
      </c>
      <c r="I84" s="3"/>
      <c r="J84" s="3"/>
    </row>
    <row r="85" customFormat="false" ht="17.35" hidden="false" customHeight="false" outlineLevel="0" collapsed="false">
      <c r="B85" s="46" t="n">
        <v>6</v>
      </c>
      <c r="C85" s="58" t="s">
        <v>64</v>
      </c>
      <c r="D85" s="58" t="s">
        <v>62</v>
      </c>
      <c r="E85" s="135" t="s">
        <v>175</v>
      </c>
      <c r="F85" s="60" t="n">
        <f aca="false">+(G65*4+H65*4)/1000</f>
        <v>1360.8</v>
      </c>
      <c r="G85" s="61" t="n">
        <v>1000</v>
      </c>
      <c r="H85" s="15" t="n">
        <f aca="false">+F85*G85</f>
        <v>1360800</v>
      </c>
      <c r="I85" s="3"/>
      <c r="J85" s="3"/>
    </row>
    <row r="86" customFormat="false" ht="17.35" hidden="false" customHeight="false" outlineLevel="0" collapsed="false">
      <c r="B86" s="13" t="n">
        <v>7</v>
      </c>
      <c r="C86" s="13" t="s">
        <v>66</v>
      </c>
      <c r="D86" s="58" t="s">
        <v>57</v>
      </c>
      <c r="E86" s="13" t="n">
        <v>10</v>
      </c>
      <c r="F86" s="13" t="n">
        <f aca="false">+E86*$F$65</f>
        <v>640</v>
      </c>
      <c r="G86" s="15" t="n">
        <v>50</v>
      </c>
      <c r="H86" s="15" t="n">
        <f aca="false">+F86*G86</f>
        <v>32000</v>
      </c>
      <c r="I86" s="3"/>
      <c r="J86" s="3"/>
    </row>
    <row r="87" customFormat="false" ht="17.35" hidden="false" customHeight="false" outlineLevel="0" collapsed="false">
      <c r="B87" s="13" t="n">
        <v>8</v>
      </c>
      <c r="C87" s="13" t="s">
        <v>67</v>
      </c>
      <c r="D87" s="58" t="s">
        <v>57</v>
      </c>
      <c r="E87" s="13" t="n">
        <v>10</v>
      </c>
      <c r="F87" s="13" t="n">
        <f aca="false">+E87*$F$65</f>
        <v>640</v>
      </c>
      <c r="G87" s="15" t="n">
        <v>40</v>
      </c>
      <c r="H87" s="15" t="n">
        <f aca="false">+F87*G87</f>
        <v>25600</v>
      </c>
      <c r="I87" s="3"/>
      <c r="J87" s="3"/>
    </row>
    <row r="88" customFormat="false" ht="17.35" hidden="false" customHeight="false" outlineLevel="0" collapsed="false">
      <c r="B88" s="13" t="n">
        <v>9</v>
      </c>
      <c r="C88" s="13" t="s">
        <v>68</v>
      </c>
      <c r="D88" s="58" t="s">
        <v>57</v>
      </c>
      <c r="E88" s="13" t="n">
        <v>2</v>
      </c>
      <c r="F88" s="13" t="n">
        <f aca="false">+E88*$F$65</f>
        <v>128</v>
      </c>
      <c r="G88" s="15" t="n">
        <v>16000</v>
      </c>
      <c r="H88" s="15" t="n">
        <f aca="false">+F88*G88</f>
        <v>2048000</v>
      </c>
      <c r="I88" s="3"/>
      <c r="J88" s="3"/>
    </row>
    <row r="89" customFormat="false" ht="17.35" hidden="false" customHeight="false" outlineLevel="0" collapsed="false">
      <c r="B89" s="13" t="n">
        <v>10</v>
      </c>
      <c r="C89" s="13" t="s">
        <v>70</v>
      </c>
      <c r="D89" s="58" t="s">
        <v>14</v>
      </c>
      <c r="E89" s="13" t="s">
        <v>111</v>
      </c>
      <c r="F89" s="17" t="n">
        <f aca="false">+J65</f>
        <v>450.8</v>
      </c>
      <c r="G89" s="15" t="n">
        <v>52000</v>
      </c>
      <c r="H89" s="15" t="n">
        <f aca="false">+F89*G89</f>
        <v>23441600</v>
      </c>
      <c r="I89" s="3"/>
      <c r="J89" s="3"/>
    </row>
    <row r="90" customFormat="false" ht="17.35" hidden="false" customHeight="false" outlineLevel="0" collapsed="false">
      <c r="B90" s="13" t="n">
        <v>11</v>
      </c>
      <c r="C90" s="13" t="s">
        <v>212</v>
      </c>
      <c r="D90" s="58" t="s">
        <v>209</v>
      </c>
      <c r="E90" s="13" t="n">
        <v>2</v>
      </c>
      <c r="F90" s="13" t="n">
        <f aca="false">+E90*$F$65</f>
        <v>128</v>
      </c>
      <c r="G90" s="15" t="n">
        <v>8000</v>
      </c>
      <c r="H90" s="15" t="n">
        <f aca="false">+F90*G90</f>
        <v>1024000</v>
      </c>
      <c r="I90" s="3"/>
      <c r="J90" s="3"/>
    </row>
    <row r="91" customFormat="false" ht="17.35" hidden="false" customHeight="false" outlineLevel="0" collapsed="false">
      <c r="B91" s="13" t="n">
        <v>12</v>
      </c>
      <c r="C91" s="13" t="s">
        <v>213</v>
      </c>
      <c r="D91" s="58" t="s">
        <v>209</v>
      </c>
      <c r="E91" s="13" t="n">
        <v>1</v>
      </c>
      <c r="F91" s="13" t="n">
        <f aca="false">+E91*$F$65</f>
        <v>64</v>
      </c>
      <c r="G91" s="15" t="n">
        <v>4000</v>
      </c>
      <c r="H91" s="15" t="n">
        <v>0</v>
      </c>
      <c r="I91" s="3"/>
      <c r="J91" s="3"/>
    </row>
    <row r="92" customFormat="false" ht="17.35" hidden="false" customHeight="false" outlineLevel="0" collapsed="false">
      <c r="B92" s="13" t="n">
        <v>13</v>
      </c>
      <c r="C92" s="13" t="s">
        <v>47</v>
      </c>
      <c r="D92" s="58" t="s">
        <v>14</v>
      </c>
      <c r="E92" s="117" t="s">
        <v>139</v>
      </c>
      <c r="F92" s="13" t="n">
        <f aca="false">+J65*50%</f>
        <v>225.4</v>
      </c>
      <c r="G92" s="63" t="n">
        <v>3060</v>
      </c>
      <c r="H92" s="15" t="n">
        <v>0</v>
      </c>
      <c r="I92" s="3"/>
      <c r="J92" s="3"/>
    </row>
    <row r="93" customFormat="false" ht="19.7" hidden="false" customHeight="false" outlineLevel="0" collapsed="false">
      <c r="B93" s="3"/>
      <c r="C93" s="3"/>
      <c r="D93" s="3"/>
      <c r="E93" s="3"/>
      <c r="F93" s="3"/>
      <c r="G93" s="64" t="s">
        <v>19</v>
      </c>
      <c r="H93" s="65" t="n">
        <f aca="false">SUM(H81:H92)</f>
        <v>29324128</v>
      </c>
      <c r="I93" s="3"/>
      <c r="J93" s="3"/>
    </row>
    <row r="94" customFormat="false" ht="17.35" hidden="false" customHeight="false" outlineLevel="0" collapsed="false">
      <c r="B94" s="3"/>
      <c r="C94" s="3"/>
      <c r="D94" s="3"/>
      <c r="E94" s="3"/>
      <c r="F94" s="3"/>
      <c r="G94" s="3"/>
      <c r="H94" s="3"/>
      <c r="I94" s="3"/>
      <c r="J94" s="3"/>
    </row>
    <row r="95" customFormat="false" ht="17.35" hidden="false" customHeight="false" outlineLevel="0" collapsed="false">
      <c r="B95" s="42" t="s">
        <v>73</v>
      </c>
      <c r="C95" s="42"/>
      <c r="D95" s="42"/>
      <c r="E95" s="42"/>
      <c r="F95" s="42"/>
      <c r="G95" s="42"/>
      <c r="H95" s="42"/>
      <c r="I95" s="3"/>
      <c r="J95" s="3"/>
    </row>
    <row r="96" customFormat="false" ht="17.35" hidden="false" customHeight="false" outlineLevel="0" collapsed="false">
      <c r="B96" s="9" t="s">
        <v>5</v>
      </c>
      <c r="C96" s="9" t="s">
        <v>22</v>
      </c>
      <c r="D96" s="9" t="s">
        <v>51</v>
      </c>
      <c r="E96" s="9" t="s">
        <v>52</v>
      </c>
      <c r="F96" s="9" t="s">
        <v>53</v>
      </c>
      <c r="G96" s="9" t="s">
        <v>54</v>
      </c>
      <c r="H96" s="9" t="s">
        <v>55</v>
      </c>
      <c r="I96" s="3"/>
      <c r="J96" s="3"/>
    </row>
    <row r="97" customFormat="false" ht="17.35" hidden="false" customHeight="false" outlineLevel="0" collapsed="false">
      <c r="B97" s="13" t="n">
        <v>1</v>
      </c>
      <c r="C97" s="13" t="s">
        <v>56</v>
      </c>
      <c r="D97" s="58" t="s">
        <v>57</v>
      </c>
      <c r="E97" s="13" t="n">
        <v>4</v>
      </c>
      <c r="F97" s="13" t="n">
        <f aca="false">+E97*$F$65</f>
        <v>256</v>
      </c>
      <c r="G97" s="15" t="n">
        <v>6000</v>
      </c>
      <c r="H97" s="15" t="n">
        <f aca="false">+F97*G97</f>
        <v>1536000</v>
      </c>
      <c r="I97" s="3"/>
      <c r="J97" s="3"/>
    </row>
    <row r="98" customFormat="false" ht="17.35" hidden="false" customHeight="false" outlineLevel="0" collapsed="false">
      <c r="B98" s="13" t="n">
        <v>2</v>
      </c>
      <c r="C98" s="13" t="s">
        <v>183</v>
      </c>
      <c r="D98" s="58" t="s">
        <v>57</v>
      </c>
      <c r="E98" s="13" t="n">
        <v>2</v>
      </c>
      <c r="F98" s="13" t="n">
        <f aca="false">+E98*$F$65</f>
        <v>128</v>
      </c>
      <c r="G98" s="15" t="n">
        <v>700</v>
      </c>
      <c r="H98" s="15" t="n">
        <f aca="false">+F98*G98</f>
        <v>89600</v>
      </c>
      <c r="I98" s="3"/>
      <c r="J98" s="3"/>
    </row>
    <row r="99" customFormat="false" ht="17.35" hidden="false" customHeight="false" outlineLevel="0" collapsed="false">
      <c r="B99" s="13" t="n">
        <v>2</v>
      </c>
      <c r="C99" s="13" t="s">
        <v>211</v>
      </c>
      <c r="D99" s="58" t="s">
        <v>57</v>
      </c>
      <c r="E99" s="13" t="n">
        <v>1</v>
      </c>
      <c r="F99" s="13" t="n">
        <f aca="false">+E99*$F$65</f>
        <v>64</v>
      </c>
      <c r="G99" s="15" t="n">
        <v>6000</v>
      </c>
      <c r="H99" s="15" t="n">
        <f aca="false">+F99*G99</f>
        <v>384000</v>
      </c>
      <c r="I99" s="3"/>
      <c r="J99" s="3"/>
    </row>
    <row r="100" customFormat="false" ht="17.35" hidden="false" customHeight="false" outlineLevel="0" collapsed="false">
      <c r="B100" s="13" t="n">
        <v>5</v>
      </c>
      <c r="C100" s="13" t="s">
        <v>61</v>
      </c>
      <c r="D100" s="58" t="s">
        <v>62</v>
      </c>
      <c r="E100" s="20" t="s">
        <v>203</v>
      </c>
      <c r="F100" s="16" t="n">
        <f aca="false">+(H65*4)/1000</f>
        <v>716.8</v>
      </c>
      <c r="G100" s="15" t="n">
        <v>335</v>
      </c>
      <c r="H100" s="15" t="n">
        <f aca="false">+F100*G100</f>
        <v>240128</v>
      </c>
      <c r="I100" s="3"/>
      <c r="J100" s="3"/>
    </row>
    <row r="101" customFormat="false" ht="17.35" hidden="false" customHeight="false" outlineLevel="0" collapsed="false">
      <c r="B101" s="46" t="n">
        <v>6</v>
      </c>
      <c r="C101" s="58" t="s">
        <v>64</v>
      </c>
      <c r="D101" s="58" t="s">
        <v>62</v>
      </c>
      <c r="E101" s="59" t="s">
        <v>175</v>
      </c>
      <c r="F101" s="60" t="n">
        <f aca="false">+(G65*4+H65*4)/1000</f>
        <v>1360.8</v>
      </c>
      <c r="G101" s="61" t="n">
        <v>1000</v>
      </c>
      <c r="H101" s="15" t="n">
        <f aca="false">+F101*G101</f>
        <v>1360800</v>
      </c>
      <c r="I101" s="3"/>
      <c r="J101" s="3"/>
    </row>
    <row r="102" customFormat="false" ht="17.35" hidden="false" customHeight="false" outlineLevel="0" collapsed="false">
      <c r="B102" s="13" t="n">
        <v>7</v>
      </c>
      <c r="C102" s="13" t="s">
        <v>66</v>
      </c>
      <c r="D102" s="58" t="s">
        <v>57</v>
      </c>
      <c r="E102" s="13" t="n">
        <v>10</v>
      </c>
      <c r="F102" s="13" t="n">
        <f aca="false">+E102*$F$65</f>
        <v>640</v>
      </c>
      <c r="G102" s="15" t="n">
        <v>50</v>
      </c>
      <c r="H102" s="15" t="n">
        <f aca="false">+F102*G102</f>
        <v>32000</v>
      </c>
      <c r="I102" s="3"/>
      <c r="J102" s="3"/>
    </row>
    <row r="103" customFormat="false" ht="17.35" hidden="false" customHeight="false" outlineLevel="0" collapsed="false">
      <c r="B103" s="13" t="n">
        <v>8</v>
      </c>
      <c r="C103" s="13" t="s">
        <v>67</v>
      </c>
      <c r="D103" s="58" t="s">
        <v>57</v>
      </c>
      <c r="E103" s="13" t="n">
        <v>10</v>
      </c>
      <c r="F103" s="13" t="n">
        <f aca="false">+E103*$F$65</f>
        <v>640</v>
      </c>
      <c r="G103" s="15" t="n">
        <v>40</v>
      </c>
      <c r="H103" s="15" t="n">
        <f aca="false">+F103*G103</f>
        <v>25600</v>
      </c>
      <c r="I103" s="3"/>
      <c r="J103" s="3"/>
    </row>
    <row r="104" customFormat="false" ht="17.35" hidden="false" customHeight="false" outlineLevel="0" collapsed="false">
      <c r="B104" s="13" t="n">
        <v>9</v>
      </c>
      <c r="C104" s="13" t="s">
        <v>68</v>
      </c>
      <c r="D104" s="58" t="s">
        <v>57</v>
      </c>
      <c r="E104" s="13" t="n">
        <v>2</v>
      </c>
      <c r="F104" s="13" t="n">
        <f aca="false">+E104*$F$65</f>
        <v>128</v>
      </c>
      <c r="G104" s="15" t="n">
        <v>16000</v>
      </c>
      <c r="H104" s="15" t="n">
        <f aca="false">+F104*G104</f>
        <v>2048000</v>
      </c>
      <c r="I104" s="3"/>
      <c r="J104" s="3"/>
    </row>
    <row r="105" customFormat="false" ht="17.35" hidden="false" customHeight="false" outlineLevel="0" collapsed="false">
      <c r="B105" s="13" t="n">
        <v>10</v>
      </c>
      <c r="C105" s="13" t="s">
        <v>70</v>
      </c>
      <c r="D105" s="58" t="s">
        <v>14</v>
      </c>
      <c r="E105" s="13" t="s">
        <v>111</v>
      </c>
      <c r="F105" s="17" t="n">
        <f aca="false">+J65</f>
        <v>450.8</v>
      </c>
      <c r="G105" s="15" t="n">
        <v>52000</v>
      </c>
      <c r="H105" s="15" t="n">
        <f aca="false">+F105*G105</f>
        <v>23441600</v>
      </c>
      <c r="I105" s="3"/>
      <c r="J105" s="3"/>
    </row>
    <row r="106" customFormat="false" ht="17.35" hidden="false" customHeight="false" outlineLevel="0" collapsed="false">
      <c r="B106" s="13" t="n">
        <v>11</v>
      </c>
      <c r="C106" s="13" t="s">
        <v>212</v>
      </c>
      <c r="D106" s="58" t="s">
        <v>209</v>
      </c>
      <c r="E106" s="13" t="n">
        <v>2</v>
      </c>
      <c r="F106" s="13" t="n">
        <f aca="false">+E106*$F$65</f>
        <v>128</v>
      </c>
      <c r="G106" s="15" t="n">
        <v>8000</v>
      </c>
      <c r="H106" s="15" t="n">
        <f aca="false">+F106*G106</f>
        <v>1024000</v>
      </c>
      <c r="I106" s="3"/>
      <c r="J106" s="3"/>
    </row>
    <row r="107" customFormat="false" ht="17.35" hidden="false" customHeight="false" outlineLevel="0" collapsed="false">
      <c r="B107" s="13" t="n">
        <v>12</v>
      </c>
      <c r="C107" s="13" t="s">
        <v>213</v>
      </c>
      <c r="D107" s="58" t="s">
        <v>209</v>
      </c>
      <c r="E107" s="13" t="n">
        <v>1</v>
      </c>
      <c r="F107" s="13" t="n">
        <f aca="false">+E107*$F$65</f>
        <v>64</v>
      </c>
      <c r="G107" s="15" t="n">
        <v>4000</v>
      </c>
      <c r="H107" s="15" t="n">
        <f aca="false">+F107*G107</f>
        <v>256000</v>
      </c>
      <c r="I107" s="3"/>
      <c r="J107" s="3"/>
    </row>
    <row r="108" customFormat="false" ht="17.35" hidden="false" customHeight="false" outlineLevel="0" collapsed="false">
      <c r="B108" s="13" t="n">
        <v>13</v>
      </c>
      <c r="C108" s="13" t="s">
        <v>47</v>
      </c>
      <c r="D108" s="58" t="s">
        <v>14</v>
      </c>
      <c r="E108" s="117" t="s">
        <v>72</v>
      </c>
      <c r="F108" s="13" t="n">
        <f aca="false">+J65*70%</f>
        <v>315.56</v>
      </c>
      <c r="G108" s="63" t="n">
        <v>3060</v>
      </c>
      <c r="H108" s="15" t="n">
        <f aca="false">+F108*G108</f>
        <v>965613.6</v>
      </c>
      <c r="I108" s="3"/>
      <c r="J108" s="3"/>
    </row>
    <row r="109" customFormat="false" ht="19.7" hidden="false" customHeight="false" outlineLevel="0" collapsed="false">
      <c r="B109" s="3"/>
      <c r="C109" s="3"/>
      <c r="D109" s="3"/>
      <c r="E109" s="3"/>
      <c r="F109" s="3"/>
      <c r="G109" s="64" t="s">
        <v>19</v>
      </c>
      <c r="H109" s="65" t="n">
        <f aca="false">SUM(H97:H108)</f>
        <v>31403341.6</v>
      </c>
      <c r="I109" s="3"/>
      <c r="J109" s="3"/>
    </row>
    <row r="110" customFormat="false" ht="19.7" hidden="false" customHeight="false" outlineLevel="0" collapsed="false">
      <c r="B110" s="72"/>
      <c r="C110" s="72"/>
      <c r="D110" s="72"/>
      <c r="E110" s="72"/>
      <c r="F110" s="72"/>
      <c r="G110" s="136"/>
      <c r="H110" s="137"/>
      <c r="I110" s="3"/>
      <c r="J110" s="3"/>
    </row>
    <row r="111" customFormat="false" ht="17.35" hidden="false" customHeight="false" outlineLevel="0" collapsed="false">
      <c r="B111" s="3"/>
      <c r="C111" s="3"/>
      <c r="D111" s="3"/>
      <c r="E111" s="3"/>
      <c r="F111" s="3"/>
      <c r="G111" s="3"/>
      <c r="H111" s="3"/>
      <c r="I111" s="3"/>
      <c r="J111" s="3"/>
    </row>
    <row r="112" customFormat="false" ht="24.45" hidden="false" customHeight="false" outlineLevel="0" collapsed="false">
      <c r="B112" s="75" t="s">
        <v>159</v>
      </c>
      <c r="C112" s="75"/>
      <c r="D112" s="75"/>
      <c r="E112" s="76"/>
      <c r="F112" s="75" t="s">
        <v>159</v>
      </c>
      <c r="G112" s="75"/>
      <c r="H112" s="75"/>
      <c r="I112" s="3"/>
      <c r="J112" s="3"/>
    </row>
    <row r="113" customFormat="false" ht="37.3" hidden="false" customHeight="false" outlineLevel="0" collapsed="false">
      <c r="B113" s="77" t="s">
        <v>95</v>
      </c>
      <c r="C113" s="77" t="s">
        <v>96</v>
      </c>
      <c r="D113" s="77" t="s">
        <v>97</v>
      </c>
      <c r="E113" s="3"/>
      <c r="F113" s="77" t="s">
        <v>95</v>
      </c>
      <c r="G113" s="77" t="s">
        <v>96</v>
      </c>
      <c r="H113" s="77" t="s">
        <v>97</v>
      </c>
      <c r="I113" s="3"/>
      <c r="J113" s="3"/>
    </row>
    <row r="114" customFormat="false" ht="22.05" hidden="false" customHeight="false" outlineLevel="0" collapsed="false">
      <c r="B114" s="78" t="n">
        <v>1</v>
      </c>
      <c r="C114" s="79" t="s">
        <v>98</v>
      </c>
      <c r="D114" s="80" t="n">
        <f aca="false">+J77*4.2</f>
        <v>6454.56</v>
      </c>
      <c r="E114" s="3"/>
      <c r="F114" s="78" t="n">
        <v>1</v>
      </c>
      <c r="G114" s="79" t="s">
        <v>98</v>
      </c>
      <c r="H114" s="80" t="n">
        <f aca="false">+J77*4.2</f>
        <v>6454.56</v>
      </c>
      <c r="I114" s="3"/>
      <c r="J114" s="3"/>
    </row>
    <row r="115" customFormat="false" ht="22.05" hidden="false" customHeight="false" outlineLevel="0" collapsed="false">
      <c r="B115" s="78" t="n">
        <v>2</v>
      </c>
      <c r="C115" s="79" t="s">
        <v>99</v>
      </c>
      <c r="D115" s="80" t="n">
        <f aca="false">+H93/3650</f>
        <v>8034.00767123288</v>
      </c>
      <c r="E115" s="3"/>
      <c r="F115" s="78" t="n">
        <v>2</v>
      </c>
      <c r="G115" s="79" t="s">
        <v>99</v>
      </c>
      <c r="H115" s="80" t="n">
        <f aca="false">+H109/3650</f>
        <v>8603.65523287671</v>
      </c>
      <c r="I115" s="3"/>
      <c r="J115" s="3"/>
    </row>
    <row r="116" customFormat="false" ht="22.05" hidden="false" customHeight="false" outlineLevel="0" collapsed="false">
      <c r="B116" s="78" t="n">
        <v>3</v>
      </c>
      <c r="C116" s="79" t="s">
        <v>100</v>
      </c>
      <c r="D116" s="80" t="n">
        <f aca="false">+J65*15</f>
        <v>6762</v>
      </c>
      <c r="E116" s="3"/>
      <c r="F116" s="78" t="n">
        <v>3</v>
      </c>
      <c r="G116" s="79" t="s">
        <v>100</v>
      </c>
      <c r="H116" s="80" t="n">
        <f aca="false">+J65*15</f>
        <v>6762</v>
      </c>
      <c r="I116" s="3"/>
      <c r="J116" s="3"/>
    </row>
    <row r="117" customFormat="false" ht="22.05" hidden="false" customHeight="false" outlineLevel="0" collapsed="false">
      <c r="B117" s="78" t="n">
        <v>4</v>
      </c>
      <c r="C117" s="79" t="s">
        <v>101</v>
      </c>
      <c r="D117" s="80" t="n">
        <v>0</v>
      </c>
      <c r="E117" s="3"/>
      <c r="F117" s="78" t="n">
        <v>4</v>
      </c>
      <c r="G117" s="79" t="s">
        <v>101</v>
      </c>
      <c r="H117" s="80" t="n">
        <v>0</v>
      </c>
      <c r="I117" s="3"/>
      <c r="J117" s="3"/>
    </row>
    <row r="118" customFormat="false" ht="22.05" hidden="false" customHeight="false" outlineLevel="0" collapsed="false">
      <c r="B118" s="3"/>
      <c r="C118" s="81" t="s">
        <v>19</v>
      </c>
      <c r="D118" s="80" t="n">
        <f aca="false">SUM(D114:D117)</f>
        <v>21250.5676712329</v>
      </c>
      <c r="E118" s="3"/>
      <c r="F118" s="3"/>
      <c r="G118" s="81" t="s">
        <v>19</v>
      </c>
      <c r="H118" s="80" t="n">
        <f aca="false">SUM(H114:H117)</f>
        <v>21820.2152328767</v>
      </c>
      <c r="I118" s="3"/>
      <c r="J118" s="3"/>
    </row>
    <row r="119" customFormat="false" ht="22.05" hidden="false" customHeight="false" outlineLevel="0" collapsed="false">
      <c r="B119" s="3"/>
      <c r="C119" s="81" t="s">
        <v>102</v>
      </c>
      <c r="D119" s="82" t="n">
        <f aca="false">+D118*35%</f>
        <v>7437.69868493151</v>
      </c>
      <c r="E119" s="3"/>
      <c r="F119" s="3"/>
      <c r="G119" s="81" t="s">
        <v>102</v>
      </c>
      <c r="H119" s="82" t="n">
        <f aca="false">+H118*30%</f>
        <v>6546.06456986301</v>
      </c>
      <c r="I119" s="3"/>
      <c r="J119" s="3"/>
    </row>
    <row r="120" customFormat="false" ht="22.05" hidden="false" customHeight="false" outlineLevel="0" collapsed="false">
      <c r="B120" s="3"/>
      <c r="C120" s="83" t="s">
        <v>103</v>
      </c>
      <c r="D120" s="84" t="n">
        <f aca="false">+D118+D119</f>
        <v>28688.2663561644</v>
      </c>
      <c r="E120" s="3"/>
      <c r="F120" s="3"/>
      <c r="G120" s="83" t="s">
        <v>103</v>
      </c>
      <c r="H120" s="84" t="n">
        <f aca="false">+H118+H119</f>
        <v>28366.2798027397</v>
      </c>
    </row>
    <row r="121" customFormat="false" ht="22.05" hidden="false" customHeight="false" outlineLevel="0" collapsed="false">
      <c r="B121" s="3"/>
      <c r="C121" s="87" t="s">
        <v>104</v>
      </c>
      <c r="D121" s="88" t="n">
        <f aca="false">+D118/J65</f>
        <v>47.1396798385822</v>
      </c>
      <c r="E121" s="3"/>
      <c r="F121" s="3"/>
      <c r="G121" s="87" t="s">
        <v>104</v>
      </c>
      <c r="H121" s="88" t="n">
        <f aca="false">+H118/J65</f>
        <v>48.403316843116</v>
      </c>
    </row>
    <row r="122" customFormat="false" ht="37.3" hidden="false" customHeight="false" outlineLevel="0" collapsed="false">
      <c r="B122" s="3"/>
      <c r="C122" s="89" t="s">
        <v>105</v>
      </c>
      <c r="D122" s="90" t="n">
        <f aca="false">+D120/J65</f>
        <v>63.638567782086</v>
      </c>
      <c r="E122" s="3"/>
      <c r="F122" s="3"/>
      <c r="G122" s="89" t="s">
        <v>105</v>
      </c>
      <c r="H122" s="90" t="n">
        <f aca="false">+H120/J65</f>
        <v>62.9243118960509</v>
      </c>
    </row>
  </sheetData>
  <mergeCells count="29">
    <mergeCell ref="B2:J2"/>
    <mergeCell ref="O4:S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S25:T25"/>
    <mergeCell ref="S26:T26"/>
    <mergeCell ref="B65:C65"/>
    <mergeCell ref="B67:J67"/>
    <mergeCell ref="B79:H79"/>
    <mergeCell ref="B95:H95"/>
    <mergeCell ref="B112:D112"/>
    <mergeCell ref="F112:H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8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4" activeCellId="0" sqref="F4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67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4.82"/>
    <col collapsed="false" customWidth="true" hidden="false" outlineLevel="0" max="13" min="11" style="0" width="15.16"/>
    <col collapsed="false" customWidth="true" hidden="false" outlineLevel="0" max="18" min="18" style="0" width="11"/>
    <col collapsed="false" customWidth="true" hidden="false" outlineLevel="0" max="21" min="21" style="0" width="20.83"/>
    <col collapsed="false" customWidth="true" hidden="false" outlineLevel="0" max="23" min="22" style="0" width="11"/>
    <col collapsed="false" customWidth="true" hidden="false" outlineLevel="0" max="24" min="24" style="0" width="11.17"/>
    <col collapsed="false" customWidth="true" hidden="false" outlineLevel="0" max="28" min="25" style="0" width="11"/>
  </cols>
  <sheetData>
    <row r="2" customFormat="false" ht="22.05" hidden="false" customHeight="false" outlineLevel="0" collapsed="false">
      <c r="B2" s="127" t="s">
        <v>162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customFormat="false" ht="29.85" hidden="false" customHeight="false" outlineLevel="0" collapsed="false">
      <c r="B3" s="9" t="s">
        <v>5</v>
      </c>
      <c r="C3" s="9" t="s">
        <v>6</v>
      </c>
      <c r="D3" s="9" t="s">
        <v>7</v>
      </c>
      <c r="E3" s="10" t="s">
        <v>8</v>
      </c>
      <c r="F3" s="10" t="s">
        <v>9</v>
      </c>
      <c r="G3" s="9" t="s">
        <v>10</v>
      </c>
      <c r="H3" s="9" t="s">
        <v>11</v>
      </c>
      <c r="I3" s="10" t="s">
        <v>12</v>
      </c>
      <c r="J3" s="9" t="s">
        <v>13</v>
      </c>
      <c r="K3" s="9" t="s">
        <v>14</v>
      </c>
      <c r="L3" s="10" t="s">
        <v>15</v>
      </c>
      <c r="M3" s="10" t="s">
        <v>16</v>
      </c>
      <c r="N3" s="10" t="s">
        <v>17</v>
      </c>
      <c r="O3" s="8"/>
    </row>
    <row r="4" customFormat="false" ht="17.35" hidden="false" customHeight="false" outlineLevel="0" collapsed="false">
      <c r="B4" s="13" t="n">
        <v>1</v>
      </c>
      <c r="C4" s="14" t="s">
        <v>18</v>
      </c>
      <c r="D4" s="15" t="n">
        <v>1800</v>
      </c>
      <c r="E4" s="15" t="n">
        <f aca="false">F4-300</f>
        <v>1150</v>
      </c>
      <c r="F4" s="15" t="n">
        <v>1450</v>
      </c>
      <c r="G4" s="13" t="n">
        <v>152</v>
      </c>
      <c r="H4" s="13" t="n">
        <f aca="false">+D4*G4</f>
        <v>273600</v>
      </c>
      <c r="I4" s="15" t="n">
        <f aca="false">+F4*G4</f>
        <v>220400</v>
      </c>
      <c r="J4" s="13" t="n">
        <f aca="false">+E4*G4</f>
        <v>174800</v>
      </c>
      <c r="K4" s="16" t="n">
        <f aca="false">+D4*E4/1000000</f>
        <v>2.07</v>
      </c>
      <c r="L4" s="16" t="n">
        <f aca="false">+D4*F4/1000000</f>
        <v>2.61</v>
      </c>
      <c r="M4" s="16" t="n">
        <f aca="false">+G4*K4</f>
        <v>314.64</v>
      </c>
      <c r="N4" s="17" t="n">
        <f aca="false">+G4*L4</f>
        <v>396.72</v>
      </c>
      <c r="O4" s="3"/>
    </row>
    <row r="5" customFormat="false" ht="17.35" hidden="false" customHeight="false" outlineLevel="0" collapsed="false">
      <c r="B5" s="13" t="n">
        <v>2</v>
      </c>
      <c r="C5" s="14" t="s">
        <v>18</v>
      </c>
      <c r="D5" s="15" t="n">
        <v>1800</v>
      </c>
      <c r="E5" s="15" t="n">
        <f aca="false">F5-300</f>
        <v>1900</v>
      </c>
      <c r="F5" s="15" t="n">
        <v>2200</v>
      </c>
      <c r="G5" s="13" t="n">
        <v>144</v>
      </c>
      <c r="H5" s="13" t="n">
        <f aca="false">+D5*G5</f>
        <v>259200</v>
      </c>
      <c r="I5" s="15" t="n">
        <f aca="false">+F5*G5</f>
        <v>316800</v>
      </c>
      <c r="J5" s="13" t="n">
        <f aca="false">+E5*G5</f>
        <v>273600</v>
      </c>
      <c r="K5" s="16" t="n">
        <f aca="false">+D5*E5/1000000</f>
        <v>3.42</v>
      </c>
      <c r="L5" s="16" t="n">
        <f aca="false">+D5*F5/1000000</f>
        <v>3.96</v>
      </c>
      <c r="M5" s="16" t="n">
        <f aca="false">+G5*K5</f>
        <v>492.48</v>
      </c>
      <c r="N5" s="17" t="n">
        <f aca="false">+G5*L5</f>
        <v>570.24</v>
      </c>
      <c r="O5" s="3"/>
    </row>
    <row r="6" customFormat="false" ht="17.35" hidden="false" customHeight="false" outlineLevel="0" collapsed="false">
      <c r="B6" s="13" t="n">
        <v>3</v>
      </c>
      <c r="C6" s="14" t="s">
        <v>18</v>
      </c>
      <c r="D6" s="15" t="n">
        <v>1800</v>
      </c>
      <c r="E6" s="15" t="n">
        <f aca="false">F6-300</f>
        <v>1000</v>
      </c>
      <c r="F6" s="15" t="n">
        <v>1300</v>
      </c>
      <c r="G6" s="13" t="n">
        <v>72</v>
      </c>
      <c r="H6" s="13" t="n">
        <f aca="false">+D6*G6</f>
        <v>129600</v>
      </c>
      <c r="I6" s="15" t="n">
        <f aca="false">+F6*G6</f>
        <v>93600</v>
      </c>
      <c r="J6" s="13" t="n">
        <f aca="false">+E6*G6</f>
        <v>72000</v>
      </c>
      <c r="K6" s="16" t="n">
        <f aca="false">+D6*E6/1000000</f>
        <v>1.8</v>
      </c>
      <c r="L6" s="16" t="n">
        <f aca="false">+D6*F6/1000000</f>
        <v>2.34</v>
      </c>
      <c r="M6" s="16" t="n">
        <f aca="false">+G6*K6</f>
        <v>129.6</v>
      </c>
      <c r="N6" s="17" t="n">
        <f aca="false">+G6*L6</f>
        <v>168.48</v>
      </c>
      <c r="O6" s="3"/>
    </row>
    <row r="7" customFormat="false" ht="17.35" hidden="false" customHeight="false" outlineLevel="0" collapsed="false">
      <c r="B7" s="13" t="n">
        <v>4</v>
      </c>
      <c r="C7" s="14" t="s">
        <v>18</v>
      </c>
      <c r="D7" s="15" t="n">
        <v>900</v>
      </c>
      <c r="E7" s="15" t="n">
        <f aca="false">F7-300</f>
        <v>1000</v>
      </c>
      <c r="F7" s="15" t="n">
        <v>1300</v>
      </c>
      <c r="G7" s="13" t="n">
        <v>16</v>
      </c>
      <c r="H7" s="13" t="n">
        <f aca="false">+D7*G7</f>
        <v>14400</v>
      </c>
      <c r="I7" s="15" t="n">
        <f aca="false">+F7*G7</f>
        <v>20800</v>
      </c>
      <c r="J7" s="13" t="n">
        <f aca="false">+E7*G7</f>
        <v>16000</v>
      </c>
      <c r="K7" s="16" t="n">
        <f aca="false">+D7*E7/1000000</f>
        <v>0.9</v>
      </c>
      <c r="L7" s="16" t="n">
        <f aca="false">+D7*F7/1000000</f>
        <v>1.17</v>
      </c>
      <c r="M7" s="16" t="n">
        <f aca="false">+G7*K7</f>
        <v>14.4</v>
      </c>
      <c r="N7" s="17" t="n">
        <f aca="false">+G7*L7</f>
        <v>18.72</v>
      </c>
      <c r="O7" s="3"/>
    </row>
    <row r="8" customFormat="false" ht="17.35" hidden="false" customHeight="false" outlineLevel="0" collapsed="false">
      <c r="B8" s="13" t="n">
        <v>5</v>
      </c>
      <c r="C8" s="14" t="s">
        <v>18</v>
      </c>
      <c r="D8" s="15"/>
      <c r="E8" s="15" t="n">
        <f aca="false">F8-300</f>
        <v>-300</v>
      </c>
      <c r="F8" s="15"/>
      <c r="G8" s="13" t="n">
        <v>0</v>
      </c>
      <c r="H8" s="13" t="n">
        <f aca="false">+D8*G8</f>
        <v>0</v>
      </c>
      <c r="I8" s="15" t="n">
        <f aca="false">+F8*G8</f>
        <v>0</v>
      </c>
      <c r="J8" s="13" t="n">
        <f aca="false">+E8*G8</f>
        <v>-0</v>
      </c>
      <c r="K8" s="16" t="n">
        <f aca="false">+D8*E8/1000000</f>
        <v>-0</v>
      </c>
      <c r="L8" s="16" t="n">
        <f aca="false">+D8*F8/1000000</f>
        <v>0</v>
      </c>
      <c r="M8" s="16" t="n">
        <f aca="false">+G8*K8</f>
        <v>-0</v>
      </c>
      <c r="N8" s="17" t="n">
        <f aca="false">+G8*L8</f>
        <v>0</v>
      </c>
      <c r="O8" s="3"/>
    </row>
    <row r="9" customFormat="false" ht="17.35" hidden="false" customHeight="false" outlineLevel="0" collapsed="false">
      <c r="B9" s="13" t="n">
        <v>6</v>
      </c>
      <c r="C9" s="14" t="s">
        <v>18</v>
      </c>
      <c r="D9" s="15"/>
      <c r="E9" s="15" t="n">
        <f aca="false">F9-300</f>
        <v>-300</v>
      </c>
      <c r="F9" s="15"/>
      <c r="G9" s="13" t="n">
        <v>0</v>
      </c>
      <c r="H9" s="13" t="n">
        <f aca="false">+D9*G9</f>
        <v>0</v>
      </c>
      <c r="I9" s="15" t="n">
        <f aca="false">+F9*G9</f>
        <v>0</v>
      </c>
      <c r="J9" s="13" t="n">
        <f aca="false">+E9*G9</f>
        <v>-0</v>
      </c>
      <c r="K9" s="16" t="n">
        <f aca="false">+D9*E9/1000000</f>
        <v>-0</v>
      </c>
      <c r="L9" s="16" t="n">
        <f aca="false">+D9*F9/1000000</f>
        <v>0</v>
      </c>
      <c r="M9" s="16" t="n">
        <f aca="false">+G9*K9</f>
        <v>-0</v>
      </c>
      <c r="N9" s="17" t="n">
        <f aca="false">+G9*L9</f>
        <v>0</v>
      </c>
      <c r="O9" s="3"/>
    </row>
    <row r="10" customFormat="false" ht="17.35" hidden="false" customHeight="false" outlineLevel="0" collapsed="false">
      <c r="B10" s="13" t="n">
        <v>7</v>
      </c>
      <c r="C10" s="14" t="s">
        <v>18</v>
      </c>
      <c r="D10" s="15"/>
      <c r="E10" s="15" t="n">
        <f aca="false">F10-300</f>
        <v>-300</v>
      </c>
      <c r="F10" s="15"/>
      <c r="G10" s="13" t="n">
        <v>0</v>
      </c>
      <c r="H10" s="13" t="n">
        <f aca="false">+D10*G10</f>
        <v>0</v>
      </c>
      <c r="I10" s="15" t="n">
        <f aca="false">+F10*G10</f>
        <v>0</v>
      </c>
      <c r="J10" s="13" t="n">
        <f aca="false">+E10*G10</f>
        <v>-0</v>
      </c>
      <c r="K10" s="16" t="n">
        <f aca="false">+D10*E10/1000000</f>
        <v>-0</v>
      </c>
      <c r="L10" s="16" t="n">
        <f aca="false">+D10*F10/1000000</f>
        <v>0</v>
      </c>
      <c r="M10" s="16" t="n">
        <f aca="false">+G10*K10</f>
        <v>-0</v>
      </c>
      <c r="N10" s="17" t="n">
        <f aca="false">+G10*L10</f>
        <v>0</v>
      </c>
      <c r="O10" s="3"/>
    </row>
    <row r="11" customFormat="false" ht="17.35" hidden="false" customHeight="false" outlineLevel="0" collapsed="false">
      <c r="B11" s="13" t="n">
        <v>8</v>
      </c>
      <c r="C11" s="14" t="s">
        <v>18</v>
      </c>
      <c r="D11" s="15"/>
      <c r="E11" s="15" t="n">
        <f aca="false">F11-300</f>
        <v>-300</v>
      </c>
      <c r="F11" s="15"/>
      <c r="G11" s="13" t="n">
        <v>0</v>
      </c>
      <c r="H11" s="13" t="n">
        <f aca="false">+D11*G11</f>
        <v>0</v>
      </c>
      <c r="I11" s="15" t="n">
        <f aca="false">+F11*G11</f>
        <v>0</v>
      </c>
      <c r="J11" s="13" t="n">
        <f aca="false">+E11*G11</f>
        <v>-0</v>
      </c>
      <c r="K11" s="16" t="n">
        <f aca="false">+D11*E11/1000000</f>
        <v>-0</v>
      </c>
      <c r="L11" s="16" t="n">
        <f aca="false">+D11*F11/1000000</f>
        <v>0</v>
      </c>
      <c r="M11" s="16" t="n">
        <f aca="false">+G11*K11</f>
        <v>-0</v>
      </c>
      <c r="N11" s="17" t="n">
        <f aca="false">+G11*L11</f>
        <v>0</v>
      </c>
      <c r="O11" s="3"/>
    </row>
    <row r="12" customFormat="false" ht="17.35" hidden="false" customHeight="false" outlineLevel="0" collapsed="false">
      <c r="B12" s="13" t="n">
        <v>9</v>
      </c>
      <c r="C12" s="14" t="s">
        <v>18</v>
      </c>
      <c r="D12" s="15"/>
      <c r="E12" s="15" t="n">
        <f aca="false">F12-300</f>
        <v>-300</v>
      </c>
      <c r="F12" s="15"/>
      <c r="G12" s="13" t="n">
        <v>0</v>
      </c>
      <c r="H12" s="13" t="n">
        <f aca="false">+D12*G12</f>
        <v>0</v>
      </c>
      <c r="I12" s="15" t="n">
        <f aca="false">+F12*G12</f>
        <v>0</v>
      </c>
      <c r="J12" s="13" t="n">
        <f aca="false">+E12*G12</f>
        <v>-0</v>
      </c>
      <c r="K12" s="16" t="n">
        <f aca="false">+D12*E12/1000000</f>
        <v>-0</v>
      </c>
      <c r="L12" s="16" t="n">
        <f aca="false">+D12*F12/1000000</f>
        <v>0</v>
      </c>
      <c r="M12" s="16" t="n">
        <f aca="false">+G12*K12</f>
        <v>-0</v>
      </c>
      <c r="N12" s="17" t="n">
        <f aca="false">+G12*L12</f>
        <v>0</v>
      </c>
      <c r="O12" s="3"/>
    </row>
    <row r="13" customFormat="false" ht="17.35" hidden="false" customHeight="false" outlineLevel="0" collapsed="false">
      <c r="B13" s="13" t="n">
        <v>10</v>
      </c>
      <c r="C13" s="14" t="s">
        <v>18</v>
      </c>
      <c r="D13" s="15"/>
      <c r="E13" s="15" t="n">
        <f aca="false">F13-300</f>
        <v>-300</v>
      </c>
      <c r="F13" s="15"/>
      <c r="G13" s="13" t="n">
        <v>0</v>
      </c>
      <c r="H13" s="13" t="n">
        <f aca="false">+D13*G13</f>
        <v>0</v>
      </c>
      <c r="I13" s="15" t="n">
        <f aca="false">+F13*G13</f>
        <v>0</v>
      </c>
      <c r="J13" s="13" t="n">
        <f aca="false">+E13*G13</f>
        <v>-0</v>
      </c>
      <c r="K13" s="16" t="n">
        <f aca="false">+D13*E13/1000000</f>
        <v>-0</v>
      </c>
      <c r="L13" s="16" t="n">
        <f aca="false">+D13*F13/1000000</f>
        <v>0</v>
      </c>
      <c r="M13" s="16" t="n">
        <f aca="false">+G13*K13</f>
        <v>-0</v>
      </c>
      <c r="N13" s="17" t="n">
        <f aca="false">+G13*L13</f>
        <v>0</v>
      </c>
      <c r="O13" s="3"/>
    </row>
    <row r="14" customFormat="false" ht="17.35" hidden="false" customHeight="false" outlineLevel="0" collapsed="false">
      <c r="B14" s="13" t="n">
        <v>11</v>
      </c>
      <c r="C14" s="14" t="s">
        <v>18</v>
      </c>
      <c r="D14" s="15"/>
      <c r="E14" s="15" t="n">
        <f aca="false">F14-300</f>
        <v>-300</v>
      </c>
      <c r="F14" s="15"/>
      <c r="G14" s="13" t="n">
        <v>0</v>
      </c>
      <c r="H14" s="13" t="n">
        <f aca="false">+D14*G14</f>
        <v>0</v>
      </c>
      <c r="I14" s="15" t="n">
        <f aca="false">+F14*G14</f>
        <v>0</v>
      </c>
      <c r="J14" s="13" t="n">
        <f aca="false">+E14*G14</f>
        <v>-0</v>
      </c>
      <c r="K14" s="16" t="n">
        <f aca="false">+D14*E14/1000000</f>
        <v>-0</v>
      </c>
      <c r="L14" s="16" t="n">
        <f aca="false">+D14*F14/1000000</f>
        <v>0</v>
      </c>
      <c r="M14" s="16" t="n">
        <f aca="false">+G14*K14</f>
        <v>-0</v>
      </c>
      <c r="N14" s="17" t="n">
        <f aca="false">+G14*L14</f>
        <v>0</v>
      </c>
      <c r="O14" s="3"/>
    </row>
    <row r="15" customFormat="false" ht="17.35" hidden="false" customHeight="false" outlineLevel="0" collapsed="false">
      <c r="B15" s="13" t="n">
        <v>12</v>
      </c>
      <c r="C15" s="14" t="s">
        <v>18</v>
      </c>
      <c r="D15" s="15"/>
      <c r="E15" s="15" t="n">
        <f aca="false">F15-300</f>
        <v>-300</v>
      </c>
      <c r="F15" s="15"/>
      <c r="G15" s="13" t="n">
        <v>0</v>
      </c>
      <c r="H15" s="13" t="n">
        <f aca="false">+D15*G15</f>
        <v>0</v>
      </c>
      <c r="I15" s="15" t="n">
        <f aca="false">+F15*G15</f>
        <v>0</v>
      </c>
      <c r="J15" s="13" t="n">
        <f aca="false">+E15*G15</f>
        <v>-0</v>
      </c>
      <c r="K15" s="16" t="n">
        <f aca="false">+D15*E15/1000000</f>
        <v>-0</v>
      </c>
      <c r="L15" s="16" t="n">
        <f aca="false">+D15*F15/1000000</f>
        <v>0</v>
      </c>
      <c r="M15" s="16" t="n">
        <f aca="false">+G15*K15</f>
        <v>-0</v>
      </c>
      <c r="N15" s="17" t="n">
        <f aca="false">+G15*L15</f>
        <v>0</v>
      </c>
      <c r="O15" s="3"/>
    </row>
    <row r="16" customFormat="false" ht="17.35" hidden="false" customHeight="false" outlineLevel="0" collapsed="false">
      <c r="B16" s="13" t="n">
        <v>13</v>
      </c>
      <c r="C16" s="14" t="s">
        <v>18</v>
      </c>
      <c r="D16" s="15"/>
      <c r="E16" s="15" t="n">
        <f aca="false">F16-300</f>
        <v>-300</v>
      </c>
      <c r="F16" s="15"/>
      <c r="G16" s="13" t="n">
        <v>0</v>
      </c>
      <c r="H16" s="13" t="n">
        <f aca="false">+D16*G16</f>
        <v>0</v>
      </c>
      <c r="I16" s="15" t="n">
        <f aca="false">+F16*G16</f>
        <v>0</v>
      </c>
      <c r="J16" s="13" t="n">
        <f aca="false">+E16*G16</f>
        <v>-0</v>
      </c>
      <c r="K16" s="16" t="n">
        <f aca="false">+D16*E16/1000000</f>
        <v>-0</v>
      </c>
      <c r="L16" s="16" t="n">
        <f aca="false">+D16*F16/1000000</f>
        <v>0</v>
      </c>
      <c r="M16" s="16" t="n">
        <f aca="false">+G16*K16</f>
        <v>-0</v>
      </c>
      <c r="N16" s="17" t="n">
        <f aca="false">+G16*L16</f>
        <v>0</v>
      </c>
      <c r="O16" s="3"/>
    </row>
    <row r="17" customFormat="false" ht="17.35" hidden="false" customHeight="false" outlineLevel="0" collapsed="false">
      <c r="B17" s="13" t="n">
        <v>14</v>
      </c>
      <c r="C17" s="14" t="s">
        <v>18</v>
      </c>
      <c r="D17" s="15"/>
      <c r="E17" s="15" t="n">
        <f aca="false">F17-300</f>
        <v>-300</v>
      </c>
      <c r="F17" s="15"/>
      <c r="G17" s="13" t="n">
        <v>0</v>
      </c>
      <c r="H17" s="13" t="n">
        <f aca="false">+D17*G17</f>
        <v>0</v>
      </c>
      <c r="I17" s="15" t="n">
        <f aca="false">+F17*G17</f>
        <v>0</v>
      </c>
      <c r="J17" s="13" t="n">
        <f aca="false">+E17*G17</f>
        <v>-0</v>
      </c>
      <c r="K17" s="16" t="n">
        <f aca="false">+D17*E17/1000000</f>
        <v>-0</v>
      </c>
      <c r="L17" s="16" t="n">
        <f aca="false">+D17*F17/1000000</f>
        <v>0</v>
      </c>
      <c r="M17" s="16" t="n">
        <f aca="false">+G17*K17</f>
        <v>-0</v>
      </c>
      <c r="N17" s="17" t="n">
        <f aca="false">+G17*L17</f>
        <v>0</v>
      </c>
      <c r="O17" s="3"/>
    </row>
    <row r="18" customFormat="false" ht="17.35" hidden="false" customHeight="false" outlineLevel="0" collapsed="false">
      <c r="B18" s="13" t="n">
        <v>15</v>
      </c>
      <c r="C18" s="14" t="s">
        <v>18</v>
      </c>
      <c r="D18" s="15"/>
      <c r="E18" s="15" t="n">
        <f aca="false">F18-300</f>
        <v>-300</v>
      </c>
      <c r="F18" s="15"/>
      <c r="G18" s="13" t="n">
        <v>0</v>
      </c>
      <c r="H18" s="13" t="n">
        <f aca="false">+D18*G18</f>
        <v>0</v>
      </c>
      <c r="I18" s="15" t="n">
        <f aca="false">+F18*G18</f>
        <v>0</v>
      </c>
      <c r="J18" s="13" t="n">
        <f aca="false">+E18*G18</f>
        <v>-0</v>
      </c>
      <c r="K18" s="16" t="n">
        <f aca="false">+D18*E18/1000000</f>
        <v>-0</v>
      </c>
      <c r="L18" s="16" t="n">
        <f aca="false">+D18*F18/1000000</f>
        <v>0</v>
      </c>
      <c r="M18" s="16" t="n">
        <f aca="false">+G18*K18</f>
        <v>-0</v>
      </c>
      <c r="N18" s="17" t="n">
        <f aca="false">+G18*L18</f>
        <v>0</v>
      </c>
      <c r="O18" s="3"/>
    </row>
    <row r="19" customFormat="false" ht="17.35" hidden="false" customHeight="false" outlineLevel="0" collapsed="false">
      <c r="B19" s="13" t="n">
        <v>16</v>
      </c>
      <c r="C19" s="14" t="s">
        <v>18</v>
      </c>
      <c r="D19" s="15" t="n">
        <v>0</v>
      </c>
      <c r="E19" s="15" t="n">
        <f aca="false">F19-300</f>
        <v>-300</v>
      </c>
      <c r="F19" s="15" t="n">
        <v>0</v>
      </c>
      <c r="G19" s="13"/>
      <c r="H19" s="13" t="n">
        <f aca="false">+D19*G19</f>
        <v>0</v>
      </c>
      <c r="I19" s="15" t="n">
        <f aca="false">+F19*G19</f>
        <v>0</v>
      </c>
      <c r="J19" s="13" t="n">
        <f aca="false">+E19*G19</f>
        <v>-0</v>
      </c>
      <c r="K19" s="16" t="n">
        <f aca="false">+D19*E19/1000000</f>
        <v>-0</v>
      </c>
      <c r="L19" s="16" t="n">
        <f aca="false">+D19*F19/1000000</f>
        <v>0</v>
      </c>
      <c r="M19" s="16" t="n">
        <f aca="false">+G19*K19</f>
        <v>-0</v>
      </c>
      <c r="N19" s="17" t="n">
        <f aca="false">+G19*L19</f>
        <v>0</v>
      </c>
      <c r="O19" s="3"/>
    </row>
    <row r="20" customFormat="false" ht="17.35" hidden="false" customHeight="false" outlineLevel="0" collapsed="false">
      <c r="B20" s="13" t="n">
        <v>17</v>
      </c>
      <c r="C20" s="14" t="s">
        <v>18</v>
      </c>
      <c r="D20" s="15" t="n">
        <v>0</v>
      </c>
      <c r="E20" s="15" t="n">
        <f aca="false">F20-300</f>
        <v>-300</v>
      </c>
      <c r="F20" s="15" t="n">
        <v>0</v>
      </c>
      <c r="G20" s="13"/>
      <c r="H20" s="13" t="n">
        <f aca="false">+D20*G20</f>
        <v>0</v>
      </c>
      <c r="I20" s="15" t="n">
        <f aca="false">+F20*G20</f>
        <v>0</v>
      </c>
      <c r="J20" s="13" t="n">
        <f aca="false">+E20*G20</f>
        <v>-0</v>
      </c>
      <c r="K20" s="16" t="n">
        <f aca="false">+D20*E20/1000000</f>
        <v>-0</v>
      </c>
      <c r="L20" s="16" t="n">
        <f aca="false">+D20*F20/1000000</f>
        <v>0</v>
      </c>
      <c r="M20" s="16" t="n">
        <f aca="false">+G20*K20</f>
        <v>-0</v>
      </c>
      <c r="N20" s="17" t="n">
        <f aca="false">+G20*L20</f>
        <v>0</v>
      </c>
      <c r="O20" s="3"/>
    </row>
    <row r="21" customFormat="false" ht="17.35" hidden="false" customHeight="false" outlineLevel="0" collapsed="false">
      <c r="B21" s="13" t="n">
        <v>18</v>
      </c>
      <c r="C21" s="14" t="s">
        <v>18</v>
      </c>
      <c r="D21" s="15" t="n">
        <v>0</v>
      </c>
      <c r="E21" s="15" t="n">
        <f aca="false">F21-300</f>
        <v>-300</v>
      </c>
      <c r="F21" s="15" t="n">
        <v>0</v>
      </c>
      <c r="G21" s="13"/>
      <c r="H21" s="13" t="n">
        <f aca="false">+D21*G21</f>
        <v>0</v>
      </c>
      <c r="I21" s="15" t="n">
        <f aca="false">+F21*G21</f>
        <v>0</v>
      </c>
      <c r="J21" s="13" t="n">
        <f aca="false">+E21*G21</f>
        <v>-0</v>
      </c>
      <c r="K21" s="16" t="n">
        <f aca="false">+D21*E21/1000000</f>
        <v>-0</v>
      </c>
      <c r="L21" s="16" t="n">
        <f aca="false">+D21*F21/1000000</f>
        <v>0</v>
      </c>
      <c r="M21" s="16" t="n">
        <f aca="false">+G21*K21</f>
        <v>-0</v>
      </c>
      <c r="N21" s="17" t="n">
        <f aca="false">+G21*L21</f>
        <v>0</v>
      </c>
      <c r="O21" s="3"/>
    </row>
    <row r="22" customFormat="false" ht="17.35" hidden="false" customHeight="false" outlineLevel="0" collapsed="false">
      <c r="B22" s="13" t="n">
        <v>19</v>
      </c>
      <c r="C22" s="14" t="s">
        <v>18</v>
      </c>
      <c r="D22" s="15" t="n">
        <v>0</v>
      </c>
      <c r="E22" s="15" t="n">
        <f aca="false">F22-300</f>
        <v>-300</v>
      </c>
      <c r="F22" s="15" t="n">
        <v>0</v>
      </c>
      <c r="G22" s="13"/>
      <c r="H22" s="13" t="n">
        <f aca="false">+D22*G22</f>
        <v>0</v>
      </c>
      <c r="I22" s="15" t="n">
        <f aca="false">+F22*G22</f>
        <v>0</v>
      </c>
      <c r="J22" s="13" t="n">
        <f aca="false">+E22*G22</f>
        <v>-0</v>
      </c>
      <c r="K22" s="16" t="n">
        <f aca="false">+D22*E22/1000000</f>
        <v>-0</v>
      </c>
      <c r="L22" s="16" t="n">
        <f aca="false">+D22*F22/1000000</f>
        <v>0</v>
      </c>
      <c r="M22" s="16" t="n">
        <f aca="false">+G22*K22</f>
        <v>-0</v>
      </c>
      <c r="N22" s="17" t="n">
        <f aca="false">+G22*L22</f>
        <v>0</v>
      </c>
      <c r="O22" s="3"/>
    </row>
    <row r="23" customFormat="false" ht="17.35" hidden="false" customHeight="false" outlineLevel="0" collapsed="false">
      <c r="B23" s="13" t="n">
        <v>20</v>
      </c>
      <c r="C23" s="14" t="s">
        <v>18</v>
      </c>
      <c r="D23" s="15" t="n">
        <v>0</v>
      </c>
      <c r="E23" s="15" t="n">
        <f aca="false">F23-300</f>
        <v>-300</v>
      </c>
      <c r="F23" s="15" t="n">
        <v>0</v>
      </c>
      <c r="G23" s="13"/>
      <c r="H23" s="13" t="n">
        <f aca="false">+D23*G23</f>
        <v>0</v>
      </c>
      <c r="I23" s="15" t="n">
        <f aca="false">+F23*G23</f>
        <v>0</v>
      </c>
      <c r="J23" s="13" t="n">
        <f aca="false">+E23*G23</f>
        <v>-0</v>
      </c>
      <c r="K23" s="16" t="n">
        <f aca="false">+D23*E23/1000000</f>
        <v>-0</v>
      </c>
      <c r="L23" s="16" t="n">
        <f aca="false">+D23*F23/1000000</f>
        <v>0</v>
      </c>
      <c r="M23" s="16" t="n">
        <f aca="false">+G23*K23</f>
        <v>-0</v>
      </c>
      <c r="N23" s="17" t="n">
        <f aca="false">+G23*L23</f>
        <v>0</v>
      </c>
      <c r="O23" s="3"/>
    </row>
    <row r="24" customFormat="false" ht="17.35" hidden="false" customHeight="false" outlineLevel="0" collapsed="false">
      <c r="B24" s="31" t="s">
        <v>19</v>
      </c>
      <c r="C24" s="31"/>
      <c r="D24" s="32" t="n">
        <f aca="false">SUM(D4:D23)</f>
        <v>6300</v>
      </c>
      <c r="E24" s="33" t="n">
        <f aca="false">SUM(E4:E23)</f>
        <v>250</v>
      </c>
      <c r="F24" s="33" t="n">
        <f aca="false">SUM(F4:F23)</f>
        <v>6250</v>
      </c>
      <c r="G24" s="34" t="n">
        <f aca="false">SUM(G4:G23)</f>
        <v>384</v>
      </c>
      <c r="H24" s="32" t="n">
        <f aca="false">SUM(H4:H23)</f>
        <v>676800</v>
      </c>
      <c r="I24" s="32" t="n">
        <f aca="false">SUM(I4:I23)</f>
        <v>651600</v>
      </c>
      <c r="J24" s="32" t="n">
        <f aca="false">SUM(J4:J23)</f>
        <v>536400</v>
      </c>
      <c r="K24" s="35" t="n">
        <f aca="false">SUM(K4:K23)</f>
        <v>8.19</v>
      </c>
      <c r="L24" s="35" t="n">
        <f aca="false">SUM(L4:L23)</f>
        <v>10.08</v>
      </c>
      <c r="M24" s="36" t="n">
        <f aca="false">SUM(M4:M23)</f>
        <v>951.12</v>
      </c>
      <c r="N24" s="37" t="n">
        <f aca="false">SUM(N4:N23)</f>
        <v>1154.16</v>
      </c>
      <c r="O24" s="3"/>
    </row>
    <row r="25" customFormat="false" ht="17.35" hidden="false" customHeight="false" outlineLevel="0" collapsed="false">
      <c r="B25" s="4"/>
      <c r="C25" s="4"/>
      <c r="D25" s="4"/>
      <c r="E25" s="38"/>
      <c r="F25" s="39"/>
      <c r="G25" s="39"/>
      <c r="H25" s="4"/>
      <c r="I25" s="12"/>
      <c r="J25" s="12"/>
      <c r="K25" s="12"/>
      <c r="L25" s="3"/>
      <c r="M25" s="3"/>
    </row>
    <row r="26" customFormat="false" ht="17.35" hidden="false" customHeight="false" outlineLevel="0" collapsed="false">
      <c r="B26" s="9" t="s">
        <v>20</v>
      </c>
      <c r="C26" s="9"/>
      <c r="D26" s="9"/>
      <c r="E26" s="9"/>
      <c r="F26" s="9"/>
      <c r="G26" s="9"/>
      <c r="H26" s="9"/>
      <c r="I26" s="9"/>
      <c r="J26" s="9"/>
      <c r="K26" s="22"/>
      <c r="L26" s="3"/>
      <c r="M26" s="3"/>
    </row>
    <row r="27" customFormat="false" ht="17.35" hidden="false" customHeight="false" outlineLevel="0" collapsed="false">
      <c r="B27" s="9" t="s">
        <v>5</v>
      </c>
      <c r="C27" s="42" t="s">
        <v>21</v>
      </c>
      <c r="D27" s="42" t="s">
        <v>22</v>
      </c>
      <c r="E27" s="42" t="s">
        <v>23</v>
      </c>
      <c r="F27" s="42" t="s">
        <v>24</v>
      </c>
      <c r="G27" s="42" t="s">
        <v>25</v>
      </c>
      <c r="H27" s="42" t="s">
        <v>26</v>
      </c>
      <c r="I27" s="42" t="s">
        <v>37</v>
      </c>
      <c r="J27" s="42" t="s">
        <v>164</v>
      </c>
      <c r="K27" s="22"/>
      <c r="L27" s="22"/>
      <c r="M27" s="22"/>
    </row>
    <row r="28" customFormat="false" ht="17.35" hidden="false" customHeight="false" outlineLevel="0" collapsed="false">
      <c r="B28" s="13" t="n">
        <v>1</v>
      </c>
      <c r="C28" s="113" t="s">
        <v>214</v>
      </c>
      <c r="D28" s="13" t="s">
        <v>165</v>
      </c>
      <c r="E28" s="15" t="n">
        <f aca="false">+H24*1</f>
        <v>676800</v>
      </c>
      <c r="F28" s="15" t="n">
        <f aca="false">E28+(E28*10%)</f>
        <v>744480</v>
      </c>
      <c r="G28" s="43" t="n">
        <f aca="false">F28/6400</f>
        <v>116.325</v>
      </c>
      <c r="H28" s="43" t="n">
        <f aca="false">ROUNDUP(G28,0)</f>
        <v>117</v>
      </c>
      <c r="I28" s="43" t="n">
        <f aca="false">0.837*6.4</f>
        <v>5.3568</v>
      </c>
      <c r="J28" s="44" t="n">
        <f aca="false">+H28*I28</f>
        <v>626.7456</v>
      </c>
      <c r="K28" s="22"/>
      <c r="L28" s="22"/>
      <c r="M28" s="22"/>
    </row>
    <row r="29" customFormat="false" ht="17.35" hidden="false" customHeight="false" outlineLevel="0" collapsed="false">
      <c r="B29" s="13" t="n">
        <v>2</v>
      </c>
      <c r="C29" s="113" t="s">
        <v>215</v>
      </c>
      <c r="D29" s="13" t="s">
        <v>188</v>
      </c>
      <c r="E29" s="15" t="n">
        <f aca="false">I24*2</f>
        <v>1303200</v>
      </c>
      <c r="F29" s="15" t="n">
        <f aca="false">E29+(E29*10%)</f>
        <v>1433520</v>
      </c>
      <c r="G29" s="43" t="n">
        <f aca="false">F29/6400</f>
        <v>223.9875</v>
      </c>
      <c r="H29" s="43" t="n">
        <f aca="false">ROUNDUP(G29,0)</f>
        <v>224</v>
      </c>
      <c r="I29" s="43" t="n">
        <f aca="false">0.723*6.4</f>
        <v>4.6272</v>
      </c>
      <c r="J29" s="44" t="n">
        <f aca="false">+H29*I29</f>
        <v>1036.4928</v>
      </c>
      <c r="K29" s="22"/>
      <c r="L29" s="22"/>
      <c r="M29" s="22"/>
    </row>
    <row r="30" customFormat="false" ht="17.35" hidden="false" customHeight="false" outlineLevel="0" collapsed="false">
      <c r="B30" s="13" t="n">
        <v>3</v>
      </c>
      <c r="C30" s="113" t="s">
        <v>215</v>
      </c>
      <c r="D30" s="13" t="s">
        <v>216</v>
      </c>
      <c r="E30" s="15" t="n">
        <f aca="false">+H24*1</f>
        <v>676800</v>
      </c>
      <c r="F30" s="15" t="n">
        <f aca="false">E30+(E30*10%)</f>
        <v>744480</v>
      </c>
      <c r="G30" s="43" t="n">
        <f aca="false">F30/6400</f>
        <v>116.325</v>
      </c>
      <c r="H30" s="43" t="n">
        <f aca="false">ROUNDUP(G30,0)</f>
        <v>117</v>
      </c>
      <c r="I30" s="43" t="n">
        <f aca="false">0.723*6.4</f>
        <v>4.6272</v>
      </c>
      <c r="J30" s="44" t="n">
        <f aca="false">+H30*I30</f>
        <v>541.3824</v>
      </c>
      <c r="K30" s="23"/>
      <c r="L30" s="23"/>
      <c r="M30" s="23"/>
    </row>
    <row r="31" customFormat="false" ht="17.35" hidden="false" customHeight="false" outlineLevel="0" collapsed="false">
      <c r="B31" s="13" t="n">
        <v>4</v>
      </c>
      <c r="C31" s="113" t="s">
        <v>217</v>
      </c>
      <c r="D31" s="13" t="s">
        <v>167</v>
      </c>
      <c r="E31" s="15" t="n">
        <f aca="false">+H24*1.5</f>
        <v>1015200</v>
      </c>
      <c r="F31" s="15" t="n">
        <f aca="false">E31+(E31*10%)</f>
        <v>1116720</v>
      </c>
      <c r="G31" s="43" t="n">
        <f aca="false">F31/6400</f>
        <v>174.4875</v>
      </c>
      <c r="H31" s="43" t="n">
        <f aca="false">ROUNDUP(G31,0)</f>
        <v>175</v>
      </c>
      <c r="I31" s="43" t="n">
        <f aca="false">0.356*6.4</f>
        <v>2.2784</v>
      </c>
      <c r="J31" s="44" t="n">
        <f aca="false">+H31*I31</f>
        <v>398.72</v>
      </c>
      <c r="K31" s="23"/>
      <c r="L31" s="23"/>
      <c r="M31" s="23"/>
    </row>
    <row r="32" customFormat="false" ht="17.35" hidden="false" customHeight="false" outlineLevel="0" collapsed="false">
      <c r="B32" s="13" t="n">
        <v>5</v>
      </c>
      <c r="C32" s="113" t="s">
        <v>217</v>
      </c>
      <c r="D32" s="13" t="s">
        <v>168</v>
      </c>
      <c r="E32" s="15" t="n">
        <f aca="false">+H24*1.5</f>
        <v>1015200</v>
      </c>
      <c r="F32" s="15" t="n">
        <f aca="false">E32+(E32*10%)</f>
        <v>1116720</v>
      </c>
      <c r="G32" s="43" t="n">
        <f aca="false">F32/6400</f>
        <v>174.4875</v>
      </c>
      <c r="H32" s="43" t="n">
        <f aca="false">ROUNDUP(G32,0)</f>
        <v>175</v>
      </c>
      <c r="I32" s="43" t="n">
        <f aca="false">0.356*6.4</f>
        <v>2.2784</v>
      </c>
      <c r="J32" s="44" t="n">
        <f aca="false">+H32*I32</f>
        <v>398.72</v>
      </c>
      <c r="K32" s="23"/>
      <c r="L32" s="23"/>
      <c r="M32" s="23"/>
    </row>
    <row r="33" customFormat="false" ht="17.35" hidden="false" customHeight="false" outlineLevel="0" collapsed="false">
      <c r="B33" s="13" t="n">
        <v>6</v>
      </c>
      <c r="C33" s="113" t="s">
        <v>218</v>
      </c>
      <c r="D33" s="13" t="s">
        <v>169</v>
      </c>
      <c r="E33" s="15" t="n">
        <f aca="false">+J24*3</f>
        <v>1609200</v>
      </c>
      <c r="F33" s="15" t="n">
        <f aca="false">E33+(E33*10%)</f>
        <v>1770120</v>
      </c>
      <c r="G33" s="43" t="n">
        <f aca="false">F33/6400</f>
        <v>276.58125</v>
      </c>
      <c r="H33" s="43" t="n">
        <f aca="false">ROUNDUP(G33,0)</f>
        <v>277</v>
      </c>
      <c r="I33" s="43" t="n">
        <f aca="false">0.356*6.4</f>
        <v>2.2784</v>
      </c>
      <c r="J33" s="44" t="n">
        <f aca="false">+H33*I33</f>
        <v>631.1168</v>
      </c>
      <c r="K33" s="23"/>
      <c r="L33" s="23"/>
      <c r="M33" s="23"/>
    </row>
    <row r="34" customFormat="false" ht="17.35" hidden="false" customHeight="false" outlineLevel="0" collapsed="false">
      <c r="B34" s="13" t="n">
        <v>7</v>
      </c>
      <c r="C34" s="113" t="s">
        <v>219</v>
      </c>
      <c r="D34" s="13" t="s">
        <v>31</v>
      </c>
      <c r="E34" s="15" t="n">
        <f aca="false">+J24*3</f>
        <v>1609200</v>
      </c>
      <c r="F34" s="15" t="n">
        <f aca="false">E34+(E34*10%)</f>
        <v>1770120</v>
      </c>
      <c r="G34" s="43" t="n">
        <f aca="false">F34/6400</f>
        <v>276.58125</v>
      </c>
      <c r="H34" s="43" t="n">
        <f aca="false">ROUNDUP(G34,0)</f>
        <v>277</v>
      </c>
      <c r="I34" s="43" t="n">
        <f aca="false">0.396*6.4</f>
        <v>2.5344</v>
      </c>
      <c r="J34" s="44" t="n">
        <f aca="false">+H34*I34</f>
        <v>702.0288</v>
      </c>
      <c r="K34" s="23"/>
      <c r="L34" s="23"/>
      <c r="M34" s="23"/>
    </row>
    <row r="35" customFormat="false" ht="17.35" hidden="false" customHeight="false" outlineLevel="0" collapsed="false">
      <c r="B35" s="3"/>
      <c r="C35" s="3"/>
      <c r="D35" s="3"/>
      <c r="E35" s="3"/>
      <c r="F35" s="3"/>
      <c r="G35" s="3"/>
      <c r="H35" s="23"/>
      <c r="I35" s="57" t="s">
        <v>19</v>
      </c>
      <c r="J35" s="131" t="n">
        <f aca="false">SUM(J28:J34)</f>
        <v>4335.2064</v>
      </c>
      <c r="K35" s="22"/>
      <c r="L35" s="3"/>
      <c r="M35" s="25"/>
    </row>
    <row r="36" customFormat="false" ht="17.35" hidden="false" customHeight="false" outlineLevel="0" collapsed="false">
      <c r="B36" s="9" t="s">
        <v>35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7.35" hidden="false" customHeight="false" outlineLevel="0" collapsed="false">
      <c r="B37" s="9" t="s">
        <v>5</v>
      </c>
      <c r="C37" s="42" t="s">
        <v>21</v>
      </c>
      <c r="D37" s="42" t="s">
        <v>22</v>
      </c>
      <c r="E37" s="42" t="s">
        <v>23</v>
      </c>
      <c r="F37" s="42" t="s">
        <v>36</v>
      </c>
      <c r="G37" s="42" t="s">
        <v>25</v>
      </c>
      <c r="H37" s="42" t="s">
        <v>26</v>
      </c>
      <c r="I37" s="42" t="s">
        <v>37</v>
      </c>
      <c r="J37" s="42" t="s">
        <v>28</v>
      </c>
      <c r="K37" s="9" t="s">
        <v>38</v>
      </c>
      <c r="L37" s="9"/>
      <c r="M37" s="9"/>
    </row>
    <row r="38" customFormat="false" ht="17.35" hidden="false" customHeight="false" outlineLevel="0" collapsed="false">
      <c r="B38" s="13" t="n">
        <v>1</v>
      </c>
      <c r="C38" s="13" t="n">
        <v>7019</v>
      </c>
      <c r="D38" s="13" t="s">
        <v>220</v>
      </c>
      <c r="E38" s="15" t="n">
        <f aca="false">+(H24*2)+(300*3*G24)</f>
        <v>1699200</v>
      </c>
      <c r="F38" s="15" t="n">
        <f aca="false">E38+(E38*10%)</f>
        <v>1869120</v>
      </c>
      <c r="G38" s="43" t="n">
        <f aca="false">F38/6400</f>
        <v>292.05</v>
      </c>
      <c r="H38" s="43" t="n">
        <f aca="false">ROUNDUP(G38,0)</f>
        <v>293</v>
      </c>
      <c r="I38" s="44" t="n">
        <v>5.8</v>
      </c>
      <c r="J38" s="44" t="n">
        <f aca="false">+H38*I38</f>
        <v>1699.4</v>
      </c>
      <c r="K38" s="13" t="s">
        <v>221</v>
      </c>
      <c r="L38" s="13"/>
      <c r="M38" s="13"/>
    </row>
    <row r="39" customFormat="false" ht="17.35" hidden="false" customHeight="false" outlineLevel="0" collapsed="false">
      <c r="B39" s="13" t="n">
        <v>3</v>
      </c>
      <c r="C39" s="13" t="n">
        <v>1544</v>
      </c>
      <c r="D39" s="13" t="s">
        <v>43</v>
      </c>
      <c r="E39" s="15" t="n">
        <f aca="false">300*4*G24</f>
        <v>460800</v>
      </c>
      <c r="F39" s="15" t="n">
        <f aca="false">E39+(E39*10%)</f>
        <v>506880</v>
      </c>
      <c r="G39" s="43" t="n">
        <f aca="false">F39/6400</f>
        <v>79.2</v>
      </c>
      <c r="H39" s="43" t="n">
        <f aca="false">ROUNDUP(G39,0)</f>
        <v>80</v>
      </c>
      <c r="I39" s="44" t="n">
        <v>1.6</v>
      </c>
      <c r="J39" s="44" t="n">
        <f aca="false">+H39*I39</f>
        <v>128</v>
      </c>
      <c r="K39" s="13" t="s">
        <v>44</v>
      </c>
      <c r="L39" s="13"/>
      <c r="M39" s="13"/>
    </row>
    <row r="40" customFormat="false" ht="17.35" hidden="false" customHeight="false" outlineLevel="0" collapsed="false">
      <c r="B40" s="13" t="n">
        <v>4</v>
      </c>
      <c r="C40" s="13" t="n">
        <v>6515</v>
      </c>
      <c r="D40" s="13" t="s">
        <v>45</v>
      </c>
      <c r="E40" s="15" t="n">
        <f aca="false">+H24*5</f>
        <v>3384000</v>
      </c>
      <c r="F40" s="15" t="n">
        <f aca="false">E40+(E40*10%)</f>
        <v>3722400</v>
      </c>
      <c r="G40" s="43" t="n">
        <f aca="false">F40/6400</f>
        <v>581.625</v>
      </c>
      <c r="H40" s="43" t="n">
        <f aca="false">ROUNDUP(G40,0)</f>
        <v>582</v>
      </c>
      <c r="I40" s="44" t="n">
        <v>1.9</v>
      </c>
      <c r="J40" s="44" t="n">
        <f aca="false">+H40*I40</f>
        <v>1105.8</v>
      </c>
      <c r="K40" s="13" t="s">
        <v>46</v>
      </c>
      <c r="L40" s="13"/>
      <c r="M40" s="13"/>
    </row>
    <row r="41" customFormat="false" ht="17.35" hidden="false" customHeight="false" outlineLevel="0" collapsed="false">
      <c r="B41" s="13" t="n">
        <v>5</v>
      </c>
      <c r="C41" s="13" t="n">
        <v>3035</v>
      </c>
      <c r="D41" s="13" t="s">
        <v>47</v>
      </c>
      <c r="E41" s="15" t="n">
        <f aca="false">+(H24*2)+(300*4*G24)</f>
        <v>1814400</v>
      </c>
      <c r="F41" s="15" t="n">
        <f aca="false">E41+(E41*10%)</f>
        <v>1995840</v>
      </c>
      <c r="G41" s="43" t="n">
        <f aca="false">F41/6400</f>
        <v>311.85</v>
      </c>
      <c r="H41" s="43" t="n">
        <f aca="false">ROUNDUP(G41,0)</f>
        <v>312</v>
      </c>
      <c r="I41" s="44" t="n">
        <v>1.35</v>
      </c>
      <c r="J41" s="44" t="n">
        <f aca="false">+H41*I41</f>
        <v>421.2</v>
      </c>
      <c r="K41" s="13" t="s">
        <v>222</v>
      </c>
      <c r="L41" s="13"/>
      <c r="M41" s="13"/>
    </row>
    <row r="42" customFormat="false" ht="17.35" hidden="false" customHeight="false" outlineLevel="0" collapsed="false">
      <c r="B42" s="53"/>
      <c r="C42" s="34" t="s">
        <v>19</v>
      </c>
      <c r="D42" s="32" t="n">
        <f aca="false">SUM(E38:E41)</f>
        <v>7358400</v>
      </c>
      <c r="E42" s="32" t="n">
        <f aca="false">SUM(F38:F41)</f>
        <v>8094240</v>
      </c>
      <c r="F42" s="54" t="n">
        <f aca="false">E42/6400</f>
        <v>1264.725</v>
      </c>
      <c r="G42" s="55" t="n">
        <f aca="false">SUM(G32:G41)</f>
        <v>1992.375</v>
      </c>
      <c r="H42" s="56" t="n">
        <f aca="false">SUM(H32:H34,H38:H41)</f>
        <v>1996</v>
      </c>
      <c r="I42" s="56" t="n">
        <f aca="false">SUM(I32:I34,I38:I41)</f>
        <v>17.7412</v>
      </c>
      <c r="J42" s="35" t="n">
        <f aca="false">SUM(J38:J41)</f>
        <v>3354.4</v>
      </c>
      <c r="K42" s="53"/>
      <c r="L42" s="53"/>
      <c r="M42" s="53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11"/>
      <c r="I43" s="57" t="s">
        <v>49</v>
      </c>
      <c r="J43" s="35" t="n">
        <f aca="false">+J35+J42</f>
        <v>7689.6064</v>
      </c>
      <c r="K43" s="3"/>
      <c r="L43" s="3"/>
      <c r="M43" s="3"/>
    </row>
    <row r="44" customFormat="false" ht="17.35" hidden="false" customHeight="false" outlineLevel="0" collapsed="false">
      <c r="B44" s="3"/>
      <c r="C44" s="3"/>
      <c r="D44" s="3"/>
      <c r="E44" s="3"/>
      <c r="F44" s="3"/>
      <c r="G44" s="3"/>
      <c r="H44" s="11"/>
      <c r="I44" s="3"/>
      <c r="J44" s="3"/>
      <c r="K44" s="3"/>
      <c r="O44" s="3"/>
    </row>
    <row r="45" customFormat="false" ht="17.3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7.35" hidden="false" customHeight="false" outlineLevel="0" collapsed="false">
      <c r="B46" s="42" t="s">
        <v>50</v>
      </c>
      <c r="C46" s="42"/>
      <c r="D46" s="42"/>
      <c r="E46" s="42"/>
      <c r="F46" s="42"/>
      <c r="G46" s="42"/>
      <c r="H46" s="42"/>
      <c r="I46" s="3"/>
      <c r="J46" s="3"/>
      <c r="K46" s="3"/>
    </row>
    <row r="47" customFormat="false" ht="17.35" hidden="false" customHeight="false" outlineLevel="0" collapsed="false">
      <c r="B47" s="9" t="s">
        <v>5</v>
      </c>
      <c r="C47" s="9" t="s">
        <v>22</v>
      </c>
      <c r="D47" s="9" t="s">
        <v>51</v>
      </c>
      <c r="E47" s="9" t="s">
        <v>52</v>
      </c>
      <c r="F47" s="9" t="s">
        <v>53</v>
      </c>
      <c r="G47" s="9" t="s">
        <v>54</v>
      </c>
      <c r="H47" s="9" t="s">
        <v>55</v>
      </c>
      <c r="I47" s="3"/>
      <c r="J47" s="3"/>
      <c r="K47" s="3"/>
    </row>
    <row r="48" customFormat="false" ht="17.35" hidden="false" customHeight="false" outlineLevel="0" collapsed="false">
      <c r="B48" s="13" t="n">
        <v>1</v>
      </c>
      <c r="C48" s="13" t="s">
        <v>56</v>
      </c>
      <c r="D48" s="58" t="s">
        <v>57</v>
      </c>
      <c r="E48" s="13" t="n">
        <v>4</v>
      </c>
      <c r="F48" s="13" t="n">
        <f aca="false">+E48*$G$24</f>
        <v>1536</v>
      </c>
      <c r="G48" s="15" t="n">
        <v>500</v>
      </c>
      <c r="H48" s="15" t="n">
        <f aca="false">+F48*G48</f>
        <v>768000</v>
      </c>
      <c r="I48" s="3" t="s">
        <v>223</v>
      </c>
      <c r="J48" s="3" t="s">
        <v>224</v>
      </c>
      <c r="K48" s="3"/>
    </row>
    <row r="49" customFormat="false" ht="17.35" hidden="false" customHeight="false" outlineLevel="0" collapsed="false">
      <c r="B49" s="13" t="n">
        <v>2</v>
      </c>
      <c r="C49" s="13" t="s">
        <v>225</v>
      </c>
      <c r="D49" s="58" t="s">
        <v>226</v>
      </c>
      <c r="E49" s="13" t="n">
        <v>1</v>
      </c>
      <c r="F49" s="13" t="n">
        <f aca="false">+E49*$G$24</f>
        <v>384</v>
      </c>
      <c r="G49" s="15" t="n">
        <v>1600</v>
      </c>
      <c r="H49" s="15" t="n">
        <f aca="false">+F49*G49</f>
        <v>614400</v>
      </c>
      <c r="I49" s="3"/>
      <c r="J49" s="3"/>
      <c r="K49" s="3"/>
    </row>
    <row r="50" customFormat="false" ht="17.35" hidden="false" customHeight="false" outlineLevel="0" collapsed="false">
      <c r="B50" s="13" t="n">
        <v>5</v>
      </c>
      <c r="C50" s="13" t="s">
        <v>61</v>
      </c>
      <c r="D50" s="58" t="s">
        <v>62</v>
      </c>
      <c r="E50" s="20" t="s">
        <v>203</v>
      </c>
      <c r="F50" s="16" t="n">
        <f aca="false">+(J24*4)/1000</f>
        <v>2145.6</v>
      </c>
      <c r="G50" s="15" t="n">
        <v>335</v>
      </c>
      <c r="H50" s="15" t="n">
        <f aca="false">+F50*G50</f>
        <v>718776</v>
      </c>
      <c r="I50" s="3" t="s">
        <v>225</v>
      </c>
      <c r="J50" s="3" t="s">
        <v>227</v>
      </c>
      <c r="K50" s="3" t="s">
        <v>228</v>
      </c>
    </row>
    <row r="51" customFormat="false" ht="29.85" hidden="false" customHeight="false" outlineLevel="0" collapsed="false">
      <c r="B51" s="46" t="n">
        <v>6</v>
      </c>
      <c r="C51" s="58" t="s">
        <v>64</v>
      </c>
      <c r="D51" s="58" t="s">
        <v>62</v>
      </c>
      <c r="E51" s="135" t="s">
        <v>205</v>
      </c>
      <c r="F51" s="60" t="n">
        <f aca="false">+(H24*4+I24*4)/1000</f>
        <v>5313.6</v>
      </c>
      <c r="G51" s="61" t="n">
        <v>1352</v>
      </c>
      <c r="H51" s="15" t="n">
        <f aca="false">+F51*G51</f>
        <v>7183987.2</v>
      </c>
      <c r="I51" s="3"/>
      <c r="J51" s="3"/>
      <c r="K51" s="3"/>
    </row>
    <row r="52" customFormat="false" ht="17.35" hidden="false" customHeight="false" outlineLevel="0" collapsed="false">
      <c r="B52" s="13" t="n">
        <v>7</v>
      </c>
      <c r="C52" s="13" t="s">
        <v>66</v>
      </c>
      <c r="D52" s="58" t="s">
        <v>57</v>
      </c>
      <c r="E52" s="13" t="n">
        <v>10</v>
      </c>
      <c r="F52" s="13" t="n">
        <f aca="false">+E52*$G$24</f>
        <v>3840</v>
      </c>
      <c r="G52" s="15" t="n">
        <v>180</v>
      </c>
      <c r="H52" s="15" t="n">
        <f aca="false">+F52*G52</f>
        <v>691200</v>
      </c>
      <c r="I52" s="3" t="s">
        <v>64</v>
      </c>
      <c r="J52" s="3" t="s">
        <v>229</v>
      </c>
      <c r="K52" s="3" t="s">
        <v>230</v>
      </c>
    </row>
    <row r="53" customFormat="false" ht="17.35" hidden="false" customHeight="false" outlineLevel="0" collapsed="false">
      <c r="B53" s="13" t="n">
        <v>8</v>
      </c>
      <c r="C53" s="13" t="s">
        <v>67</v>
      </c>
      <c r="D53" s="58" t="s">
        <v>57</v>
      </c>
      <c r="E53" s="13" t="n">
        <v>10</v>
      </c>
      <c r="F53" s="13" t="n">
        <f aca="false">+E53*$G$24</f>
        <v>3840</v>
      </c>
      <c r="G53" s="15" t="n">
        <v>60</v>
      </c>
      <c r="H53" s="15" t="n">
        <f aca="false">+F53*G53</f>
        <v>230400</v>
      </c>
      <c r="I53" s="3"/>
      <c r="J53" s="3"/>
      <c r="K53" s="3"/>
    </row>
    <row r="54" customFormat="false" ht="17.35" hidden="false" customHeight="false" outlineLevel="0" collapsed="false">
      <c r="B54" s="13" t="n">
        <v>9</v>
      </c>
      <c r="C54" s="13" t="s">
        <v>68</v>
      </c>
      <c r="D54" s="58" t="s">
        <v>57</v>
      </c>
      <c r="E54" s="13" t="n">
        <v>2</v>
      </c>
      <c r="F54" s="13" t="n">
        <f aca="false">+E54*$G$24</f>
        <v>768</v>
      </c>
      <c r="G54" s="15" t="n">
        <v>10000</v>
      </c>
      <c r="H54" s="15" t="n">
        <f aca="false">+F54*G54</f>
        <v>7680000</v>
      </c>
      <c r="I54" s="3"/>
      <c r="J54" s="3"/>
      <c r="K54" s="3"/>
    </row>
    <row r="55" customFormat="false" ht="17.35" hidden="false" customHeight="false" outlineLevel="0" collapsed="false">
      <c r="B55" s="13" t="n">
        <v>10</v>
      </c>
      <c r="C55" s="13" t="s">
        <v>70</v>
      </c>
      <c r="D55" s="58" t="s">
        <v>14</v>
      </c>
      <c r="E55" s="13" t="s">
        <v>111</v>
      </c>
      <c r="F55" s="17" t="n">
        <f aca="false">+N24</f>
        <v>1154.16</v>
      </c>
      <c r="G55" s="15" t="n">
        <f aca="false">55500</f>
        <v>55500</v>
      </c>
      <c r="H55" s="15" t="n">
        <f aca="false">+F55*G55</f>
        <v>64055880</v>
      </c>
      <c r="I55" s="3"/>
      <c r="J55" s="3"/>
      <c r="K55" s="3"/>
    </row>
    <row r="56" customFormat="false" ht="17.35" hidden="false" customHeight="false" outlineLevel="0" collapsed="false">
      <c r="B56" s="13" t="n">
        <v>13</v>
      </c>
      <c r="C56" s="13" t="s">
        <v>47</v>
      </c>
      <c r="D56" s="58" t="s">
        <v>14</v>
      </c>
      <c r="E56" s="117" t="s">
        <v>72</v>
      </c>
      <c r="F56" s="13" t="n">
        <f aca="false">+N24*70%</f>
        <v>807.912</v>
      </c>
      <c r="G56" s="63" t="n">
        <v>3060</v>
      </c>
      <c r="H56" s="15" t="n">
        <f aca="false">+F56*G56</f>
        <v>2472210.72</v>
      </c>
      <c r="I56" s="3"/>
      <c r="J56" s="3"/>
      <c r="K56" s="3"/>
    </row>
    <row r="57" customFormat="false" ht="19.7" hidden="false" customHeight="false" outlineLevel="0" collapsed="false">
      <c r="B57" s="3"/>
      <c r="C57" s="3"/>
      <c r="D57" s="3"/>
      <c r="E57" s="3"/>
      <c r="F57" s="3"/>
      <c r="G57" s="64" t="s">
        <v>19</v>
      </c>
      <c r="H57" s="65" t="n">
        <f aca="false">SUM(H48:H56)</f>
        <v>84414853.92</v>
      </c>
      <c r="I57" s="3"/>
      <c r="J57" s="3"/>
      <c r="K57" s="3"/>
      <c r="L57" s="3"/>
      <c r="M57" s="3"/>
    </row>
    <row r="58" customFormat="false" ht="17.35" hidden="false" customHeight="fals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customFormat="false" ht="17.35" hidden="false" customHeight="false" outlineLevel="0" collapsed="false">
      <c r="B59" s="42" t="s">
        <v>73</v>
      </c>
      <c r="C59" s="42"/>
      <c r="D59" s="42"/>
      <c r="E59" s="42"/>
      <c r="F59" s="42"/>
      <c r="G59" s="42"/>
      <c r="H59" s="42"/>
      <c r="I59" s="3"/>
      <c r="J59" s="3"/>
      <c r="K59" s="3"/>
      <c r="L59" s="3"/>
      <c r="M59" s="3"/>
    </row>
    <row r="60" customFormat="false" ht="17.35" hidden="false" customHeight="false" outlineLevel="0" collapsed="false">
      <c r="B60" s="9" t="s">
        <v>5</v>
      </c>
      <c r="C60" s="9" t="s">
        <v>22</v>
      </c>
      <c r="D60" s="9" t="s">
        <v>51</v>
      </c>
      <c r="E60" s="9" t="s">
        <v>52</v>
      </c>
      <c r="F60" s="9" t="s">
        <v>53</v>
      </c>
      <c r="G60" s="9" t="s">
        <v>54</v>
      </c>
      <c r="H60" s="9" t="s">
        <v>55</v>
      </c>
      <c r="I60" s="3"/>
      <c r="J60" s="3"/>
      <c r="K60" s="3"/>
      <c r="L60" s="3"/>
      <c r="M60" s="3"/>
    </row>
    <row r="61" customFormat="false" ht="17.35" hidden="false" customHeight="false" outlineLevel="0" collapsed="false">
      <c r="B61" s="13" t="n">
        <v>1</v>
      </c>
      <c r="C61" s="13" t="s">
        <v>56</v>
      </c>
      <c r="D61" s="58" t="s">
        <v>57</v>
      </c>
      <c r="E61" s="13" t="n">
        <v>6</v>
      </c>
      <c r="F61" s="13" t="n">
        <f aca="false">+E61*$G$24</f>
        <v>2304</v>
      </c>
      <c r="G61" s="15" t="n">
        <v>500</v>
      </c>
      <c r="H61" s="15" t="n">
        <f aca="false">+F61*G61</f>
        <v>1152000</v>
      </c>
      <c r="I61" s="3"/>
      <c r="J61" s="3"/>
      <c r="K61" s="3"/>
      <c r="L61" s="3"/>
      <c r="M61" s="3"/>
    </row>
    <row r="62" customFormat="false" ht="17.35" hidden="false" customHeight="false" outlineLevel="0" collapsed="false">
      <c r="B62" s="13" t="n">
        <v>2</v>
      </c>
      <c r="C62" s="13" t="s">
        <v>225</v>
      </c>
      <c r="D62" s="58" t="s">
        <v>226</v>
      </c>
      <c r="E62" s="13" t="n">
        <v>1</v>
      </c>
      <c r="F62" s="13" t="n">
        <f aca="false">+E62*$G$24</f>
        <v>384</v>
      </c>
      <c r="G62" s="15" t="n">
        <v>1600</v>
      </c>
      <c r="H62" s="15" t="n">
        <f aca="false">+F62*G62</f>
        <v>614400</v>
      </c>
      <c r="I62" s="3"/>
      <c r="J62" s="3"/>
      <c r="K62" s="3"/>
      <c r="L62" s="3"/>
      <c r="M62" s="3"/>
    </row>
    <row r="63" customFormat="false" ht="17.35" hidden="false" customHeight="false" outlineLevel="0" collapsed="false">
      <c r="B63" s="13" t="n">
        <v>5</v>
      </c>
      <c r="C63" s="13" t="s">
        <v>61</v>
      </c>
      <c r="D63" s="58" t="s">
        <v>62</v>
      </c>
      <c r="E63" s="20" t="s">
        <v>203</v>
      </c>
      <c r="F63" s="16" t="n">
        <f aca="false">+(J24*4)/1000</f>
        <v>2145.6</v>
      </c>
      <c r="G63" s="15" t="n">
        <v>335</v>
      </c>
      <c r="H63" s="15" t="n">
        <f aca="false">+F63*G63</f>
        <v>718776</v>
      </c>
      <c r="I63" s="3"/>
      <c r="J63" s="3"/>
      <c r="K63" s="3"/>
      <c r="L63" s="3"/>
      <c r="M63" s="3"/>
    </row>
    <row r="64" customFormat="false" ht="29.85" hidden="false" customHeight="false" outlineLevel="0" collapsed="false">
      <c r="B64" s="46" t="n">
        <v>6</v>
      </c>
      <c r="C64" s="58" t="s">
        <v>64</v>
      </c>
      <c r="D64" s="58" t="s">
        <v>62</v>
      </c>
      <c r="E64" s="59" t="s">
        <v>205</v>
      </c>
      <c r="F64" s="60" t="n">
        <f aca="false">+(H24*4+I24*4)/1000</f>
        <v>5313.6</v>
      </c>
      <c r="G64" s="61" t="n">
        <v>1352</v>
      </c>
      <c r="H64" s="15" t="n">
        <f aca="false">+F64*G64</f>
        <v>7183987.2</v>
      </c>
      <c r="I64" s="3"/>
      <c r="J64" s="3"/>
      <c r="K64" s="3"/>
      <c r="L64" s="3"/>
      <c r="M64" s="3"/>
    </row>
    <row r="65" customFormat="false" ht="17.35" hidden="false" customHeight="false" outlineLevel="0" collapsed="false">
      <c r="B65" s="13" t="n">
        <v>7</v>
      </c>
      <c r="C65" s="13" t="s">
        <v>66</v>
      </c>
      <c r="D65" s="58" t="s">
        <v>57</v>
      </c>
      <c r="E65" s="13" t="n">
        <v>10</v>
      </c>
      <c r="F65" s="13" t="n">
        <f aca="false">+E65*$G$24</f>
        <v>3840</v>
      </c>
      <c r="G65" s="15" t="n">
        <v>180</v>
      </c>
      <c r="H65" s="15" t="n">
        <f aca="false">+F65*G65</f>
        <v>691200</v>
      </c>
      <c r="I65" s="3"/>
      <c r="J65" s="3"/>
      <c r="K65" s="3"/>
      <c r="L65" s="3"/>
      <c r="M65" s="3"/>
    </row>
    <row r="66" customFormat="false" ht="17.35" hidden="false" customHeight="false" outlineLevel="0" collapsed="false">
      <c r="B66" s="13" t="n">
        <v>8</v>
      </c>
      <c r="C66" s="13" t="s">
        <v>67</v>
      </c>
      <c r="D66" s="58" t="s">
        <v>57</v>
      </c>
      <c r="E66" s="13" t="n">
        <v>10</v>
      </c>
      <c r="F66" s="13" t="n">
        <f aca="false">+E66*$G$24</f>
        <v>3840</v>
      </c>
      <c r="G66" s="15" t="n">
        <v>60</v>
      </c>
      <c r="H66" s="15" t="n">
        <f aca="false">+F66*G66</f>
        <v>230400</v>
      </c>
      <c r="I66" s="3"/>
      <c r="J66" s="3"/>
      <c r="K66" s="3"/>
      <c r="L66" s="3"/>
      <c r="M66" s="3"/>
    </row>
    <row r="67" customFormat="false" ht="17.35" hidden="false" customHeight="false" outlineLevel="0" collapsed="false">
      <c r="B67" s="13" t="n">
        <v>9</v>
      </c>
      <c r="C67" s="13" t="s">
        <v>68</v>
      </c>
      <c r="D67" s="58" t="s">
        <v>57</v>
      </c>
      <c r="E67" s="13" t="n">
        <v>2</v>
      </c>
      <c r="F67" s="13" t="n">
        <f aca="false">+E67*$G$24</f>
        <v>768</v>
      </c>
      <c r="G67" s="15" t="n">
        <v>10000</v>
      </c>
      <c r="H67" s="15" t="n">
        <f aca="false">+F67*G67</f>
        <v>7680000</v>
      </c>
      <c r="I67" s="3"/>
      <c r="J67" s="3"/>
      <c r="K67" s="3"/>
      <c r="L67" s="3"/>
      <c r="M67" s="3"/>
    </row>
    <row r="68" customFormat="false" ht="17.35" hidden="false" customHeight="false" outlineLevel="0" collapsed="false">
      <c r="B68" s="13" t="n">
        <v>10</v>
      </c>
      <c r="C68" s="13" t="s">
        <v>70</v>
      </c>
      <c r="D68" s="58" t="s">
        <v>14</v>
      </c>
      <c r="E68" s="13" t="s">
        <v>111</v>
      </c>
      <c r="F68" s="17" t="n">
        <f aca="false">+N24</f>
        <v>1154.16</v>
      </c>
      <c r="G68" s="15" t="n">
        <f aca="false">55500</f>
        <v>55500</v>
      </c>
      <c r="H68" s="15" t="n">
        <f aca="false">+F68*G68</f>
        <v>64055880</v>
      </c>
      <c r="I68" s="3"/>
      <c r="J68" s="3"/>
      <c r="K68" s="3"/>
      <c r="L68" s="3"/>
      <c r="M68" s="3"/>
    </row>
    <row r="69" customFormat="false" ht="17.35" hidden="false" customHeight="false" outlineLevel="0" collapsed="false">
      <c r="B69" s="13" t="n">
        <v>13</v>
      </c>
      <c r="C69" s="13" t="s">
        <v>47</v>
      </c>
      <c r="D69" s="58" t="s">
        <v>14</v>
      </c>
      <c r="E69" s="117" t="s">
        <v>72</v>
      </c>
      <c r="F69" s="13" t="n">
        <f aca="false">+N24*70%</f>
        <v>807.912</v>
      </c>
      <c r="G69" s="63" t="n">
        <v>3060</v>
      </c>
      <c r="H69" s="15" t="n">
        <f aca="false">+F69*G69</f>
        <v>2472210.72</v>
      </c>
      <c r="I69" s="3"/>
      <c r="J69" s="3"/>
      <c r="K69" s="3"/>
      <c r="L69" s="3"/>
      <c r="M69" s="3"/>
    </row>
    <row r="70" customFormat="false" ht="19.7" hidden="false" customHeight="false" outlineLevel="0" collapsed="false">
      <c r="B70" s="3"/>
      <c r="C70" s="3"/>
      <c r="D70" s="3"/>
      <c r="E70" s="3"/>
      <c r="F70" s="3"/>
      <c r="G70" s="64" t="s">
        <v>19</v>
      </c>
      <c r="H70" s="65" t="n">
        <f aca="false">SUM(H61:H69)</f>
        <v>84798853.92</v>
      </c>
      <c r="I70" s="3"/>
      <c r="J70" s="3"/>
      <c r="K70" s="3"/>
      <c r="L70" s="3"/>
      <c r="M70" s="3"/>
    </row>
    <row r="71" customFormat="false" ht="19.7" hidden="false" customHeight="false" outlineLevel="0" collapsed="false">
      <c r="B71" s="72"/>
      <c r="C71" s="72"/>
      <c r="D71" s="72"/>
      <c r="E71" s="72"/>
      <c r="F71" s="72"/>
      <c r="G71" s="136"/>
      <c r="H71" s="137"/>
      <c r="I71" s="3"/>
      <c r="J71" s="3"/>
      <c r="K71" s="3"/>
      <c r="L71" s="3"/>
      <c r="M71" s="3"/>
    </row>
    <row r="72" customFormat="false" ht="17.35" hidden="false" customHeight="fals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customFormat="false" ht="24.45" hidden="false" customHeight="false" outlineLevel="0" collapsed="false">
      <c r="B73" s="75" t="s">
        <v>159</v>
      </c>
      <c r="C73" s="75"/>
      <c r="D73" s="75"/>
      <c r="E73" s="76"/>
      <c r="F73" s="75" t="s">
        <v>159</v>
      </c>
      <c r="G73" s="75"/>
      <c r="H73" s="75"/>
      <c r="I73" s="3"/>
      <c r="J73" s="3"/>
      <c r="K73" s="3"/>
      <c r="L73" s="3"/>
      <c r="M73" s="3"/>
    </row>
    <row r="74" customFormat="false" ht="37.3" hidden="false" customHeight="false" outlineLevel="0" collapsed="false">
      <c r="B74" s="77" t="s">
        <v>95</v>
      </c>
      <c r="C74" s="77" t="s">
        <v>96</v>
      </c>
      <c r="D74" s="77" t="s">
        <v>97</v>
      </c>
      <c r="E74" s="3"/>
      <c r="F74" s="77" t="s">
        <v>95</v>
      </c>
      <c r="G74" s="77" t="s">
        <v>96</v>
      </c>
      <c r="H74" s="77" t="s">
        <v>97</v>
      </c>
      <c r="I74" s="3"/>
      <c r="J74" s="3"/>
      <c r="K74" s="3"/>
      <c r="L74" s="3"/>
      <c r="M74" s="3"/>
    </row>
    <row r="75" customFormat="false" ht="22.05" hidden="false" customHeight="false" outlineLevel="0" collapsed="false">
      <c r="B75" s="78" t="n">
        <v>1</v>
      </c>
      <c r="C75" s="79" t="s">
        <v>98</v>
      </c>
      <c r="D75" s="80" t="n">
        <f aca="false">+J43*4</f>
        <v>30758.4256</v>
      </c>
      <c r="E75" s="3"/>
      <c r="F75" s="78" t="n">
        <v>1</v>
      </c>
      <c r="G75" s="79" t="s">
        <v>98</v>
      </c>
      <c r="H75" s="80" t="n">
        <f aca="false">J43*4</f>
        <v>30758.4256</v>
      </c>
      <c r="I75" s="3"/>
      <c r="J75" s="3"/>
      <c r="K75" s="3"/>
      <c r="L75" s="3"/>
      <c r="M75" s="3"/>
    </row>
    <row r="76" customFormat="false" ht="22.05" hidden="false" customHeight="false" outlineLevel="0" collapsed="false">
      <c r="B76" s="78" t="n">
        <v>2</v>
      </c>
      <c r="C76" s="79" t="s">
        <v>99</v>
      </c>
      <c r="D76" s="80" t="n">
        <f aca="false">+H57/3700</f>
        <v>22814.8253837838</v>
      </c>
      <c r="E76" s="3"/>
      <c r="F76" s="78" t="n">
        <v>2</v>
      </c>
      <c r="G76" s="79" t="s">
        <v>99</v>
      </c>
      <c r="H76" s="80" t="n">
        <f aca="false">+H70/3650</f>
        <v>23232.5627178082</v>
      </c>
      <c r="I76" s="3"/>
      <c r="J76" s="3"/>
      <c r="K76" s="3"/>
      <c r="L76" s="3"/>
      <c r="M76" s="3"/>
    </row>
    <row r="77" customFormat="false" ht="22.05" hidden="false" customHeight="false" outlineLevel="0" collapsed="false">
      <c r="B77" s="78" t="n">
        <v>3</v>
      </c>
      <c r="C77" s="79" t="s">
        <v>100</v>
      </c>
      <c r="D77" s="80" t="n">
        <f aca="false">+N24*15</f>
        <v>17312.4</v>
      </c>
      <c r="E77" s="3"/>
      <c r="F77" s="78" t="n">
        <v>3</v>
      </c>
      <c r="G77" s="79" t="s">
        <v>100</v>
      </c>
      <c r="H77" s="80" t="n">
        <f aca="false">+N24*15</f>
        <v>17312.4</v>
      </c>
      <c r="I77" s="3"/>
      <c r="J77" s="3"/>
      <c r="K77" s="3"/>
      <c r="L77" s="3"/>
      <c r="M77" s="3"/>
    </row>
    <row r="78" customFormat="false" ht="22.05" hidden="false" customHeight="false" outlineLevel="0" collapsed="false">
      <c r="B78" s="78" t="n">
        <v>4</v>
      </c>
      <c r="C78" s="79" t="s">
        <v>101</v>
      </c>
      <c r="D78" s="80" t="n">
        <v>0</v>
      </c>
      <c r="E78" s="3"/>
      <c r="F78" s="78" t="n">
        <v>4</v>
      </c>
      <c r="G78" s="79" t="s">
        <v>101</v>
      </c>
      <c r="H78" s="80" t="n">
        <v>0</v>
      </c>
      <c r="I78" s="3"/>
      <c r="J78" s="3"/>
      <c r="K78" s="3"/>
      <c r="L78" s="3"/>
      <c r="M78" s="3"/>
    </row>
    <row r="79" customFormat="false" ht="22.05" hidden="false" customHeight="false" outlineLevel="0" collapsed="false">
      <c r="B79" s="3"/>
      <c r="C79" s="81" t="s">
        <v>19</v>
      </c>
      <c r="D79" s="80" t="n">
        <f aca="false">SUM(D75:D78)</f>
        <v>70885.6509837838</v>
      </c>
      <c r="E79" s="3"/>
      <c r="F79" s="3"/>
      <c r="G79" s="81" t="s">
        <v>19</v>
      </c>
      <c r="H79" s="80" t="n">
        <f aca="false">SUM(H75:H78)</f>
        <v>71303.3883178082</v>
      </c>
      <c r="I79" s="3"/>
      <c r="J79" s="3"/>
      <c r="K79" s="3"/>
      <c r="L79" s="3"/>
      <c r="M79" s="3"/>
    </row>
    <row r="80" customFormat="false" ht="22.05" hidden="false" customHeight="false" outlineLevel="0" collapsed="false">
      <c r="B80" s="3"/>
      <c r="C80" s="81" t="s">
        <v>160</v>
      </c>
      <c r="D80" s="82" t="n">
        <f aca="false">+D79*15%</f>
        <v>10632.8476475676</v>
      </c>
      <c r="E80" s="3"/>
      <c r="F80" s="3"/>
      <c r="G80" s="81" t="s">
        <v>160</v>
      </c>
      <c r="H80" s="82" t="n">
        <f aca="false">+H79*20%</f>
        <v>14260.6776635616</v>
      </c>
      <c r="I80" s="3"/>
      <c r="J80" s="3"/>
      <c r="K80" s="3"/>
      <c r="L80" s="3"/>
      <c r="M80" s="3"/>
    </row>
    <row r="81" customFormat="false" ht="22.05" hidden="false" customHeight="false" outlineLevel="0" collapsed="false">
      <c r="B81" s="3"/>
      <c r="C81" s="83" t="s">
        <v>103</v>
      </c>
      <c r="D81" s="84" t="n">
        <f aca="false">+D79+D80</f>
        <v>81518.4986313514</v>
      </c>
      <c r="E81" s="3"/>
      <c r="F81" s="3"/>
      <c r="G81" s="83" t="s">
        <v>103</v>
      </c>
      <c r="H81" s="84" t="n">
        <f aca="false">+H79+H80</f>
        <v>85564.0659813699</v>
      </c>
      <c r="I81" s="3"/>
      <c r="J81" s="3"/>
      <c r="K81" s="3"/>
      <c r="L81" s="3"/>
      <c r="M81" s="3"/>
    </row>
    <row r="82" customFormat="false" ht="22.05" hidden="false" customHeight="false" outlineLevel="0" collapsed="false">
      <c r="B82" s="3"/>
      <c r="C82" s="87" t="s">
        <v>104</v>
      </c>
      <c r="D82" s="88" t="n">
        <f aca="false">+D79/N24</f>
        <v>61.4175252857349</v>
      </c>
      <c r="E82" s="3"/>
      <c r="F82" s="3"/>
      <c r="G82" s="87" t="s">
        <v>104</v>
      </c>
      <c r="H82" s="88" t="n">
        <f aca="false">+H79/N24</f>
        <v>61.7794658607197</v>
      </c>
      <c r="I82" s="3"/>
      <c r="J82" s="3"/>
      <c r="K82" s="3"/>
      <c r="L82" s="3"/>
      <c r="M82" s="3"/>
    </row>
    <row r="83" customFormat="false" ht="37.3" hidden="false" customHeight="false" outlineLevel="0" collapsed="false">
      <c r="B83" s="3"/>
      <c r="C83" s="89" t="s">
        <v>105</v>
      </c>
      <c r="D83" s="90" t="n">
        <f aca="false">+D81/N24</f>
        <v>70.6301540785951</v>
      </c>
      <c r="E83" s="3"/>
      <c r="F83" s="3"/>
      <c r="G83" s="89" t="s">
        <v>105</v>
      </c>
      <c r="H83" s="90" t="n">
        <f aca="false">+H81/N24</f>
        <v>74.1353590328636</v>
      </c>
      <c r="I83" s="3"/>
      <c r="J83" s="3"/>
      <c r="K83" s="3"/>
      <c r="L83" s="3"/>
      <c r="M83" s="3"/>
    </row>
    <row r="84" customFormat="false" ht="17.35" hidden="false" customHeight="false" outlineLevel="0" collapsed="false">
      <c r="I84" s="3"/>
      <c r="J84" s="3"/>
      <c r="K84" s="3"/>
      <c r="L84" s="3"/>
      <c r="M84" s="3"/>
    </row>
    <row r="85" customFormat="false" ht="17.35" hidden="false" customHeight="false" outlineLevel="0" collapsed="false">
      <c r="I85" s="3"/>
      <c r="J85" s="3"/>
      <c r="K85" s="3"/>
      <c r="L85" s="3"/>
      <c r="M85" s="3"/>
    </row>
    <row r="86" customFormat="false" ht="17.35" hidden="false" customHeight="false" outlineLevel="0" collapsed="false">
      <c r="J86" s="3"/>
      <c r="K86" s="3"/>
      <c r="L86" s="3"/>
      <c r="M86" s="3"/>
    </row>
  </sheetData>
  <mergeCells count="14">
    <mergeCell ref="B2:N2"/>
    <mergeCell ref="B24:C24"/>
    <mergeCell ref="B26:J26"/>
    <mergeCell ref="B36:M36"/>
    <mergeCell ref="K37:M37"/>
    <mergeCell ref="K38:M38"/>
    <mergeCell ref="K39:M39"/>
    <mergeCell ref="K40:M40"/>
    <mergeCell ref="K41:M41"/>
    <mergeCell ref="K42:M42"/>
    <mergeCell ref="B46:H46"/>
    <mergeCell ref="B59:H59"/>
    <mergeCell ref="B73:D73"/>
    <mergeCell ref="F73:H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J9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38" activePane="bottomLeft" state="frozen"/>
      <selection pane="topLeft" activeCell="A1" activeCellId="0" sqref="A1"/>
      <selection pane="bottomLeft" activeCell="E36" activeCellId="0" sqref="E36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30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</cols>
  <sheetData>
    <row r="3" customFormat="false" ht="22.05" hidden="false" customHeight="false" outlineLevel="0" collapsed="false">
      <c r="B3" s="7" t="s">
        <v>231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customFormat="false" ht="44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233</v>
      </c>
      <c r="I4" s="10" t="s">
        <v>234</v>
      </c>
      <c r="J4" s="10" t="s">
        <v>235</v>
      </c>
      <c r="K4" s="10" t="s">
        <v>236</v>
      </c>
      <c r="L4" s="10" t="s">
        <v>12</v>
      </c>
      <c r="M4" s="10" t="s">
        <v>237</v>
      </c>
      <c r="N4" s="10" t="s">
        <v>238</v>
      </c>
      <c r="O4" s="10" t="s">
        <v>11</v>
      </c>
      <c r="P4" s="10" t="s">
        <v>13</v>
      </c>
      <c r="Q4" s="10" t="s">
        <v>239</v>
      </c>
      <c r="R4" s="10" t="s">
        <v>240</v>
      </c>
      <c r="S4" s="10" t="s">
        <v>15</v>
      </c>
      <c r="T4" s="10" t="s">
        <v>241</v>
      </c>
      <c r="U4" s="10" t="s">
        <v>242</v>
      </c>
      <c r="V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600</v>
      </c>
      <c r="E5" s="15" t="n">
        <v>1000</v>
      </c>
      <c r="F5" s="15" t="n">
        <v>27</v>
      </c>
      <c r="G5" s="15" t="n">
        <v>0</v>
      </c>
      <c r="H5" s="15" t="n">
        <v>0</v>
      </c>
      <c r="I5" s="20" t="n">
        <v>0</v>
      </c>
      <c r="J5" s="20" t="n">
        <v>0</v>
      </c>
      <c r="K5" s="15" t="n">
        <f aca="false">+E5-G5-H5</f>
        <v>1000</v>
      </c>
      <c r="L5" s="15" t="n">
        <f aca="false">+I5*5</f>
        <v>0</v>
      </c>
      <c r="M5" s="15" t="n">
        <f aca="false">+J5*F5</f>
        <v>0</v>
      </c>
      <c r="N5" s="15" t="n">
        <f aca="false">+K5*F5</f>
        <v>27000</v>
      </c>
      <c r="O5" s="15" t="n">
        <f aca="false">+D5*F5</f>
        <v>16200</v>
      </c>
      <c r="P5" s="15" t="n">
        <f aca="false">+E5*F5</f>
        <v>27000</v>
      </c>
      <c r="Q5" s="15" t="n">
        <f aca="false">+L5*D5/1000000</f>
        <v>0</v>
      </c>
      <c r="R5" s="96" t="n">
        <f aca="false">+H5*D5/1000000</f>
        <v>0</v>
      </c>
      <c r="S5" s="17" t="n">
        <f aca="false">+D5*I5/1000000*F5</f>
        <v>0</v>
      </c>
      <c r="T5" s="16" t="n">
        <f aca="false">+D5*J5/1000000*F5</f>
        <v>0</v>
      </c>
      <c r="U5" s="16" t="n">
        <f aca="false">+((D5*K5)/1000000)*F5</f>
        <v>16.2</v>
      </c>
      <c r="V5" s="16" t="n">
        <f aca="false">+D5*E5/1000000*F5</f>
        <v>16.2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/>
      <c r="E6" s="15"/>
      <c r="F6" s="15"/>
      <c r="G6" s="15" t="n">
        <v>0</v>
      </c>
      <c r="H6" s="15" t="n">
        <v>0</v>
      </c>
      <c r="I6" s="20" t="n">
        <v>0</v>
      </c>
      <c r="J6" s="20" t="n">
        <f aca="false">+E6-G6</f>
        <v>0</v>
      </c>
      <c r="K6" s="15" t="n">
        <f aca="false">+E6-G6-H6</f>
        <v>0</v>
      </c>
      <c r="L6" s="15" t="n">
        <f aca="false">+I6*5</f>
        <v>0</v>
      </c>
      <c r="M6" s="15" t="n">
        <f aca="false">+J6*F6</f>
        <v>0</v>
      </c>
      <c r="N6" s="15" t="n">
        <f aca="false">+K6*F6</f>
        <v>0</v>
      </c>
      <c r="O6" s="15" t="n">
        <f aca="false">+D6*F6</f>
        <v>0</v>
      </c>
      <c r="P6" s="15" t="n">
        <f aca="false">+E6*F6</f>
        <v>0</v>
      </c>
      <c r="Q6" s="15" t="n">
        <f aca="false">+L6*D6/1000000</f>
        <v>0</v>
      </c>
      <c r="R6" s="96" t="n">
        <f aca="false">+H6*D6/1000000</f>
        <v>0</v>
      </c>
      <c r="S6" s="17" t="n">
        <f aca="false">+D6*I6/1000000*F6</f>
        <v>0</v>
      </c>
      <c r="T6" s="16" t="n">
        <f aca="false">+D6*J6/1000000*F6</f>
        <v>0</v>
      </c>
      <c r="U6" s="16" t="n">
        <f aca="false">+((D6*K6)/1000000)*F6</f>
        <v>0</v>
      </c>
      <c r="V6" s="16" t="n">
        <f aca="false">+D6*E6/1000000*F6</f>
        <v>0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/>
      <c r="E7" s="15"/>
      <c r="F7" s="15"/>
      <c r="G7" s="15" t="n">
        <v>0</v>
      </c>
      <c r="H7" s="15" t="n">
        <v>0</v>
      </c>
      <c r="I7" s="20" t="n">
        <v>0</v>
      </c>
      <c r="J7" s="20" t="n">
        <f aca="false">+E7-G7</f>
        <v>0</v>
      </c>
      <c r="K7" s="15" t="n">
        <f aca="false">+E7-G7-H7</f>
        <v>0</v>
      </c>
      <c r="L7" s="15" t="n">
        <f aca="false">+I7*5</f>
        <v>0</v>
      </c>
      <c r="M7" s="15" t="n">
        <f aca="false">+J7*F7</f>
        <v>0</v>
      </c>
      <c r="N7" s="15" t="n">
        <f aca="false">+K7*F7</f>
        <v>0</v>
      </c>
      <c r="O7" s="15" t="n">
        <f aca="false">+D7*F7</f>
        <v>0</v>
      </c>
      <c r="P7" s="15" t="n">
        <f aca="false">+E7*F7</f>
        <v>0</v>
      </c>
      <c r="Q7" s="15" t="n">
        <f aca="false">+L7*D7/1000000</f>
        <v>0</v>
      </c>
      <c r="R7" s="96" t="n">
        <f aca="false">+H7*D7/1000000</f>
        <v>0</v>
      </c>
      <c r="S7" s="17" t="n">
        <f aca="false">+D7*I7/1000000*F7</f>
        <v>0</v>
      </c>
      <c r="T7" s="16" t="n">
        <f aca="false">+D7*J7/1000000*F7</f>
        <v>0</v>
      </c>
      <c r="U7" s="16" t="n">
        <f aca="false">+((D7*K7)/1000000)*F7</f>
        <v>0</v>
      </c>
      <c r="V7" s="16" t="n">
        <f aca="false">+D7*E7/1000000*F7</f>
        <v>0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/>
      <c r="E8" s="15"/>
      <c r="F8" s="15"/>
      <c r="G8" s="15" t="n">
        <v>0</v>
      </c>
      <c r="H8" s="15" t="n">
        <v>0</v>
      </c>
      <c r="I8" s="20" t="n">
        <v>0</v>
      </c>
      <c r="J8" s="20" t="n">
        <f aca="false">+E8-G8</f>
        <v>0</v>
      </c>
      <c r="K8" s="15" t="n">
        <f aca="false">+E8-G8-H8</f>
        <v>0</v>
      </c>
      <c r="L8" s="15" t="n">
        <f aca="false">+I8*5</f>
        <v>0</v>
      </c>
      <c r="M8" s="15" t="n">
        <f aca="false">+J8*F8</f>
        <v>0</v>
      </c>
      <c r="N8" s="15" t="n">
        <f aca="false">+K8*F8</f>
        <v>0</v>
      </c>
      <c r="O8" s="15" t="n">
        <f aca="false">+D8*F8</f>
        <v>0</v>
      </c>
      <c r="P8" s="15" t="n">
        <f aca="false">+E8*F8</f>
        <v>0</v>
      </c>
      <c r="Q8" s="15" t="n">
        <f aca="false">+L8*D8/1000000</f>
        <v>0</v>
      </c>
      <c r="R8" s="96" t="n">
        <f aca="false">+H8*D8/1000000</f>
        <v>0</v>
      </c>
      <c r="S8" s="17" t="n">
        <f aca="false">+D8*I8/1000000*F8</f>
        <v>0</v>
      </c>
      <c r="T8" s="16" t="n">
        <f aca="false">+D8*J8/1000000*F8</f>
        <v>0</v>
      </c>
      <c r="U8" s="16" t="n">
        <f aca="false">+((D8*K8)/1000000)*F8</f>
        <v>0</v>
      </c>
      <c r="V8" s="16" t="n">
        <f aca="false">+D8*E8/1000000*F8</f>
        <v>0</v>
      </c>
      <c r="AB8" s="0" t="n">
        <f aca="false">2200*4</f>
        <v>8800</v>
      </c>
      <c r="AC8" s="0" t="n">
        <f aca="false">1350*2</f>
        <v>2700</v>
      </c>
      <c r="AD8" s="140" t="n">
        <f aca="false">+AB8+AC8</f>
        <v>11500</v>
      </c>
      <c r="AE8" s="141" t="n">
        <f aca="false">+AD8+(AD8*10%)</f>
        <v>12650</v>
      </c>
      <c r="AF8" s="0" t="n">
        <f aca="false">+AE8*16</f>
        <v>202400</v>
      </c>
      <c r="AG8" s="0" t="n">
        <f aca="false">+AF8/6400</f>
        <v>31.625</v>
      </c>
      <c r="AH8" s="0" t="n">
        <v>32</v>
      </c>
      <c r="AI8" s="0" t="n">
        <v>7</v>
      </c>
      <c r="AJ8" s="1" t="n">
        <f aca="false">+AH8*AI8</f>
        <v>224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 t="n">
        <v>0</v>
      </c>
      <c r="H9" s="15" t="n">
        <v>0</v>
      </c>
      <c r="I9" s="20" t="n">
        <v>0</v>
      </c>
      <c r="J9" s="20" t="n">
        <f aca="false">+E9-G9</f>
        <v>0</v>
      </c>
      <c r="K9" s="15" t="n">
        <f aca="false">+E9-G9-H9</f>
        <v>0</v>
      </c>
      <c r="L9" s="15" t="n">
        <f aca="false">+I9*5</f>
        <v>0</v>
      </c>
      <c r="M9" s="15" t="n">
        <f aca="false">+J9*F9</f>
        <v>0</v>
      </c>
      <c r="N9" s="15" t="n">
        <f aca="false">+K9*F9</f>
        <v>0</v>
      </c>
      <c r="O9" s="15" t="n">
        <f aca="false">+D9*F9</f>
        <v>0</v>
      </c>
      <c r="P9" s="15" t="n">
        <f aca="false">+E9*F9</f>
        <v>0</v>
      </c>
      <c r="Q9" s="15" t="n">
        <f aca="false">+L9*D9/1000000</f>
        <v>0</v>
      </c>
      <c r="R9" s="96" t="n">
        <f aca="false">+H9*D9/1000000</f>
        <v>0</v>
      </c>
      <c r="S9" s="17" t="n">
        <f aca="false">+D9*I9/1000000*F9</f>
        <v>0</v>
      </c>
      <c r="T9" s="16" t="n">
        <f aca="false">+D9*J9/1000000*F9</f>
        <v>0</v>
      </c>
      <c r="U9" s="16" t="n">
        <f aca="false">+((D9*K9)/1000000)*F9</f>
        <v>0</v>
      </c>
      <c r="V9" s="16" t="n">
        <f aca="false">+D9*E9/1000000*F9</f>
        <v>0</v>
      </c>
      <c r="AB9" s="0" t="n">
        <f aca="false">675*4</f>
        <v>2700</v>
      </c>
      <c r="AD9" s="0" t="n">
        <f aca="false">AB9</f>
        <v>2700</v>
      </c>
      <c r="AE9" s="140" t="n">
        <f aca="false">+AD9+(AD9*10%)</f>
        <v>2970</v>
      </c>
      <c r="AF9" s="0" t="n">
        <f aca="false">+AE9*16</f>
        <v>47520</v>
      </c>
      <c r="AG9" s="0" t="n">
        <f aca="false">+AF9/6400</f>
        <v>7.425</v>
      </c>
      <c r="AH9" s="0" t="n">
        <v>8</v>
      </c>
      <c r="AI9" s="0" t="n">
        <v>7</v>
      </c>
      <c r="AJ9" s="0" t="n">
        <f aca="false">+AH9*AI9</f>
        <v>56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 t="n">
        <v>0</v>
      </c>
      <c r="H10" s="15" t="n">
        <v>0</v>
      </c>
      <c r="I10" s="20" t="n">
        <v>0</v>
      </c>
      <c r="J10" s="20" t="n">
        <f aca="false">+E10-G10</f>
        <v>0</v>
      </c>
      <c r="K10" s="15" t="n">
        <f aca="false">+E10-G10-H10</f>
        <v>0</v>
      </c>
      <c r="L10" s="15" t="n">
        <f aca="false">+I10*5</f>
        <v>0</v>
      </c>
      <c r="M10" s="15" t="n">
        <f aca="false">+J10*F10</f>
        <v>0</v>
      </c>
      <c r="N10" s="15" t="n">
        <f aca="false">+K10*F10</f>
        <v>0</v>
      </c>
      <c r="O10" s="15" t="n">
        <f aca="false">+D10*F10</f>
        <v>0</v>
      </c>
      <c r="P10" s="15" t="n">
        <f aca="false">+E10*F10</f>
        <v>0</v>
      </c>
      <c r="Q10" s="15" t="n">
        <f aca="false">+L10*D10/1000000</f>
        <v>0</v>
      </c>
      <c r="R10" s="96" t="n">
        <f aca="false">+H10*D10/1000000</f>
        <v>0</v>
      </c>
      <c r="S10" s="17" t="n">
        <f aca="false">+D10*I10/1000000*F10</f>
        <v>0</v>
      </c>
      <c r="T10" s="16" t="n">
        <f aca="false">+D10*J10/1000000*F10</f>
        <v>0</v>
      </c>
      <c r="U10" s="16" t="n">
        <f aca="false">+((D10*K10)/1000000)*F10</f>
        <v>0</v>
      </c>
      <c r="V10" s="16" t="n">
        <f aca="false">+D10*E10/1000000*F10</f>
        <v>0</v>
      </c>
      <c r="AJ10" s="1"/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 t="n">
        <v>0</v>
      </c>
      <c r="H11" s="15" t="n">
        <v>0</v>
      </c>
      <c r="I11" s="20" t="n">
        <v>0</v>
      </c>
      <c r="J11" s="20" t="n">
        <f aca="false">+E11-G11</f>
        <v>0</v>
      </c>
      <c r="K11" s="15" t="n">
        <f aca="false">+E11-G11-H11</f>
        <v>0</v>
      </c>
      <c r="L11" s="15" t="n">
        <f aca="false">+I11*5</f>
        <v>0</v>
      </c>
      <c r="M11" s="15" t="n">
        <f aca="false">+J11*F11</f>
        <v>0</v>
      </c>
      <c r="N11" s="15" t="n">
        <f aca="false">+K11*F11</f>
        <v>0</v>
      </c>
      <c r="O11" s="15" t="n">
        <f aca="false">+D11*F11</f>
        <v>0</v>
      </c>
      <c r="P11" s="15" t="n">
        <f aca="false">+E11*F11</f>
        <v>0</v>
      </c>
      <c r="Q11" s="15" t="n">
        <f aca="false">+L11*D11/1000000</f>
        <v>0</v>
      </c>
      <c r="R11" s="96" t="n">
        <f aca="false">+H11*D11/1000000</f>
        <v>0</v>
      </c>
      <c r="S11" s="17" t="n">
        <f aca="false">+D11*I11/1000000*F11</f>
        <v>0</v>
      </c>
      <c r="T11" s="16" t="n">
        <f aca="false">+D11*J11/1000000*F11</f>
        <v>0</v>
      </c>
      <c r="U11" s="16" t="n">
        <f aca="false">+((D11*K11)/1000000)*F11</f>
        <v>0</v>
      </c>
      <c r="V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 t="n">
        <v>0</v>
      </c>
      <c r="H12" s="15" t="n">
        <v>0</v>
      </c>
      <c r="I12" s="20" t="n">
        <v>0</v>
      </c>
      <c r="J12" s="20" t="n">
        <f aca="false">+E12-G12</f>
        <v>0</v>
      </c>
      <c r="K12" s="15" t="n">
        <f aca="false">+E12-G12-H12</f>
        <v>0</v>
      </c>
      <c r="L12" s="15" t="n">
        <f aca="false">+I12*5</f>
        <v>0</v>
      </c>
      <c r="M12" s="15" t="n">
        <f aca="false">+J12*F12</f>
        <v>0</v>
      </c>
      <c r="N12" s="15" t="n">
        <f aca="false">+K12*F12</f>
        <v>0</v>
      </c>
      <c r="O12" s="15" t="n">
        <f aca="false">+D12*F12</f>
        <v>0</v>
      </c>
      <c r="P12" s="15" t="n">
        <f aca="false">+E12*F12</f>
        <v>0</v>
      </c>
      <c r="Q12" s="15" t="n">
        <f aca="false">+L12*D12/1000000</f>
        <v>0</v>
      </c>
      <c r="R12" s="96" t="n">
        <f aca="false">+H12*D12/1000000</f>
        <v>0</v>
      </c>
      <c r="S12" s="17" t="n">
        <f aca="false">+D12*I12/1000000*F12</f>
        <v>0</v>
      </c>
      <c r="T12" s="16" t="n">
        <f aca="false">+D12*J12/1000000*F12</f>
        <v>0</v>
      </c>
      <c r="U12" s="16" t="n">
        <f aca="false">+((D12*K12)/1000000)*F12</f>
        <v>0</v>
      </c>
      <c r="V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 t="n">
        <v>0</v>
      </c>
      <c r="H13" s="15" t="n">
        <v>0</v>
      </c>
      <c r="I13" s="20" t="n">
        <v>0</v>
      </c>
      <c r="J13" s="20" t="n">
        <f aca="false">+E13-G13</f>
        <v>0</v>
      </c>
      <c r="K13" s="15" t="n">
        <f aca="false">+E13-G13-H13</f>
        <v>0</v>
      </c>
      <c r="L13" s="15" t="n">
        <f aca="false">+I13*5</f>
        <v>0</v>
      </c>
      <c r="M13" s="15" t="n">
        <f aca="false">+J13*F13</f>
        <v>0</v>
      </c>
      <c r="N13" s="15" t="n">
        <f aca="false">+K13*F13</f>
        <v>0</v>
      </c>
      <c r="O13" s="15" t="n">
        <f aca="false">+D13*F13</f>
        <v>0</v>
      </c>
      <c r="P13" s="15" t="n">
        <f aca="false">+E13*F13</f>
        <v>0</v>
      </c>
      <c r="Q13" s="15" t="n">
        <f aca="false">+L13*D13/1000000</f>
        <v>0</v>
      </c>
      <c r="R13" s="96" t="n">
        <f aca="false">+H13*D13/1000000</f>
        <v>0</v>
      </c>
      <c r="S13" s="17" t="n">
        <f aca="false">+D13*I13/1000000*F13</f>
        <v>0</v>
      </c>
      <c r="T13" s="16" t="n">
        <f aca="false">+D13*J13/1000000*F13</f>
        <v>0</v>
      </c>
      <c r="U13" s="16" t="n">
        <f aca="false">+((D13*K13)/1000000)*F13</f>
        <v>0</v>
      </c>
      <c r="V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 t="n">
        <v>0</v>
      </c>
      <c r="H14" s="15" t="n">
        <v>0</v>
      </c>
      <c r="I14" s="20" t="n">
        <v>0</v>
      </c>
      <c r="J14" s="20" t="n">
        <f aca="false">+E14-G14</f>
        <v>0</v>
      </c>
      <c r="K14" s="15" t="n">
        <f aca="false">+E14-G14-H14</f>
        <v>0</v>
      </c>
      <c r="L14" s="15" t="n">
        <f aca="false">+I14*5</f>
        <v>0</v>
      </c>
      <c r="M14" s="15" t="n">
        <f aca="false">+J14*F14</f>
        <v>0</v>
      </c>
      <c r="N14" s="15" t="n">
        <f aca="false">+K14*F14</f>
        <v>0</v>
      </c>
      <c r="O14" s="15" t="n">
        <f aca="false">+D14*F14</f>
        <v>0</v>
      </c>
      <c r="P14" s="15" t="n">
        <f aca="false">+E14*F14</f>
        <v>0</v>
      </c>
      <c r="Q14" s="15" t="n">
        <f aca="false">+L14*D14/1000000</f>
        <v>0</v>
      </c>
      <c r="R14" s="96" t="n">
        <f aca="false">+H14*D14/1000000</f>
        <v>0</v>
      </c>
      <c r="S14" s="17" t="n">
        <f aca="false">+D14*I14/1000000*F14</f>
        <v>0</v>
      </c>
      <c r="T14" s="16" t="n">
        <f aca="false">+D14*J14/1000000*F14</f>
        <v>0</v>
      </c>
      <c r="U14" s="16" t="n">
        <f aca="false">+((D14*K14)/1000000)*F14</f>
        <v>0</v>
      </c>
      <c r="V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 t="n">
        <v>0</v>
      </c>
      <c r="H15" s="15" t="n">
        <v>0</v>
      </c>
      <c r="I15" s="20" t="n">
        <v>0</v>
      </c>
      <c r="J15" s="20" t="n">
        <f aca="false">+E15-G15</f>
        <v>0</v>
      </c>
      <c r="K15" s="15" t="n">
        <f aca="false">+E15-G15-H15</f>
        <v>0</v>
      </c>
      <c r="L15" s="15" t="n">
        <f aca="false">+I15*5</f>
        <v>0</v>
      </c>
      <c r="M15" s="15" t="n">
        <f aca="false">+J15*F15</f>
        <v>0</v>
      </c>
      <c r="N15" s="15" t="n">
        <f aca="false">+K15*F15</f>
        <v>0</v>
      </c>
      <c r="O15" s="15" t="n">
        <f aca="false">+D15*F15</f>
        <v>0</v>
      </c>
      <c r="P15" s="15" t="n">
        <f aca="false">+E15*F15</f>
        <v>0</v>
      </c>
      <c r="Q15" s="15" t="n">
        <f aca="false">+L15*D15/1000000</f>
        <v>0</v>
      </c>
      <c r="R15" s="96" t="n">
        <f aca="false">+H15*D15/1000000</f>
        <v>0</v>
      </c>
      <c r="S15" s="17" t="n">
        <f aca="false">+D15*I15/1000000*F15</f>
        <v>0</v>
      </c>
      <c r="T15" s="16" t="n">
        <f aca="false">+D15*J15/1000000*F15</f>
        <v>0</v>
      </c>
      <c r="U15" s="16" t="n">
        <f aca="false">+((D15*K15)/1000000)*F15</f>
        <v>0</v>
      </c>
      <c r="V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 t="n">
        <v>0</v>
      </c>
      <c r="H16" s="15" t="n">
        <v>0</v>
      </c>
      <c r="I16" s="20" t="n">
        <v>0</v>
      </c>
      <c r="J16" s="20" t="n">
        <f aca="false">+E16-G16</f>
        <v>0</v>
      </c>
      <c r="K16" s="15" t="n">
        <f aca="false">+E16-G16-H16</f>
        <v>0</v>
      </c>
      <c r="L16" s="15" t="n">
        <f aca="false">+I16*5</f>
        <v>0</v>
      </c>
      <c r="M16" s="15" t="n">
        <f aca="false">+J16*F16</f>
        <v>0</v>
      </c>
      <c r="N16" s="15" t="n">
        <f aca="false">+K16*F16</f>
        <v>0</v>
      </c>
      <c r="O16" s="15" t="n">
        <f aca="false">+D16*F16</f>
        <v>0</v>
      </c>
      <c r="P16" s="15" t="n">
        <f aca="false">+E16*F16</f>
        <v>0</v>
      </c>
      <c r="Q16" s="15" t="n">
        <f aca="false">+L16*D16/1000000</f>
        <v>0</v>
      </c>
      <c r="R16" s="96" t="n">
        <f aca="false">+H16*D16/1000000</f>
        <v>0</v>
      </c>
      <c r="S16" s="17" t="n">
        <f aca="false">+D16*I16/1000000*F16</f>
        <v>0</v>
      </c>
      <c r="T16" s="16" t="n">
        <f aca="false">+D16*J16/1000000*F16</f>
        <v>0</v>
      </c>
      <c r="U16" s="16" t="n">
        <f aca="false">+((D16*K16)/1000000)*F16</f>
        <v>0</v>
      </c>
      <c r="V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 t="n">
        <v>0</v>
      </c>
      <c r="H17" s="15" t="n">
        <v>0</v>
      </c>
      <c r="I17" s="20" t="n">
        <v>0</v>
      </c>
      <c r="J17" s="20" t="n">
        <f aca="false">+E17-G17</f>
        <v>0</v>
      </c>
      <c r="K17" s="15" t="n">
        <f aca="false">+E17-G17-H17</f>
        <v>0</v>
      </c>
      <c r="L17" s="15" t="n">
        <f aca="false">+I17*5</f>
        <v>0</v>
      </c>
      <c r="M17" s="15" t="n">
        <f aca="false">+J17*F17</f>
        <v>0</v>
      </c>
      <c r="N17" s="15" t="n">
        <f aca="false">+K17*F17</f>
        <v>0</v>
      </c>
      <c r="O17" s="15" t="n">
        <f aca="false">+D17*F17</f>
        <v>0</v>
      </c>
      <c r="P17" s="15" t="n">
        <f aca="false">+E17*F17</f>
        <v>0</v>
      </c>
      <c r="Q17" s="15" t="n">
        <f aca="false">+L17*D17/1000000</f>
        <v>0</v>
      </c>
      <c r="R17" s="96" t="n">
        <f aca="false">+H17*D17/1000000</f>
        <v>0</v>
      </c>
      <c r="S17" s="17" t="n">
        <f aca="false">+D17*I17/1000000*F17</f>
        <v>0</v>
      </c>
      <c r="T17" s="16" t="n">
        <f aca="false">+D17*J17/1000000*F17</f>
        <v>0</v>
      </c>
      <c r="U17" s="16" t="n">
        <f aca="false">+((D17*K17)/1000000)*F17</f>
        <v>0</v>
      </c>
      <c r="V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 t="n">
        <v>0</v>
      </c>
      <c r="H18" s="15" t="n">
        <v>0</v>
      </c>
      <c r="I18" s="20" t="n">
        <v>0</v>
      </c>
      <c r="J18" s="20" t="n">
        <v>0</v>
      </c>
      <c r="K18" s="15" t="n">
        <f aca="false">+E18-G18-H18</f>
        <v>0</v>
      </c>
      <c r="L18" s="15" t="n">
        <f aca="false">+I18*5</f>
        <v>0</v>
      </c>
      <c r="M18" s="15" t="n">
        <f aca="false">+J18*F18</f>
        <v>0</v>
      </c>
      <c r="N18" s="15" t="n">
        <f aca="false">+K18*F18</f>
        <v>0</v>
      </c>
      <c r="O18" s="15" t="n">
        <f aca="false">+D18*F18</f>
        <v>0</v>
      </c>
      <c r="P18" s="15" t="n">
        <f aca="false">+E18*F18</f>
        <v>0</v>
      </c>
      <c r="Q18" s="15" t="n">
        <f aca="false">+L18*D18/1000000</f>
        <v>0</v>
      </c>
      <c r="R18" s="96" t="n">
        <f aca="false">+H18*D18/1000000</f>
        <v>0</v>
      </c>
      <c r="S18" s="17" t="n">
        <f aca="false">+D18*I18/1000000*F18</f>
        <v>0</v>
      </c>
      <c r="T18" s="16" t="n">
        <f aca="false">+D18*J18/1000000*F18</f>
        <v>0</v>
      </c>
      <c r="U18" s="16" t="n">
        <f aca="false">+((D18*K18)/1000000)*F18</f>
        <v>0</v>
      </c>
      <c r="V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 t="n">
        <v>0</v>
      </c>
      <c r="H19" s="15" t="n">
        <v>0</v>
      </c>
      <c r="I19" s="20" t="n">
        <v>0</v>
      </c>
      <c r="J19" s="20" t="n">
        <v>0</v>
      </c>
      <c r="K19" s="15" t="n">
        <f aca="false">+E19-G19-H19</f>
        <v>0</v>
      </c>
      <c r="L19" s="15" t="n">
        <f aca="false">+I19*5</f>
        <v>0</v>
      </c>
      <c r="M19" s="15" t="n">
        <f aca="false">+J19*F19</f>
        <v>0</v>
      </c>
      <c r="N19" s="15" t="n">
        <f aca="false">+K19*F19</f>
        <v>0</v>
      </c>
      <c r="O19" s="15" t="n">
        <f aca="false">+D19*F19</f>
        <v>0</v>
      </c>
      <c r="P19" s="15" t="n">
        <f aca="false">+E19*F19</f>
        <v>0</v>
      </c>
      <c r="Q19" s="15" t="n">
        <f aca="false">+L19*D19/1000000</f>
        <v>0</v>
      </c>
      <c r="R19" s="96" t="n">
        <f aca="false">+H19*D19/1000000</f>
        <v>0</v>
      </c>
      <c r="S19" s="17" t="n">
        <f aca="false">+D19*I19/1000000*F19</f>
        <v>0</v>
      </c>
      <c r="T19" s="16" t="n">
        <f aca="false">+D19*J19/1000000*F19</f>
        <v>0</v>
      </c>
      <c r="U19" s="16" t="n">
        <f aca="false">+((D19*K19)/1000000)*F19</f>
        <v>0</v>
      </c>
      <c r="V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 t="n">
        <v>0</v>
      </c>
      <c r="H20" s="15" t="n">
        <v>0</v>
      </c>
      <c r="I20" s="20" t="n">
        <v>0</v>
      </c>
      <c r="J20" s="20" t="n">
        <v>0</v>
      </c>
      <c r="K20" s="15" t="n">
        <f aca="false">+E20-G20-H20</f>
        <v>0</v>
      </c>
      <c r="L20" s="15" t="n">
        <f aca="false">+I20*5</f>
        <v>0</v>
      </c>
      <c r="M20" s="15" t="n">
        <f aca="false">+J20*F20</f>
        <v>0</v>
      </c>
      <c r="N20" s="15" t="n">
        <f aca="false">+K20*F20</f>
        <v>0</v>
      </c>
      <c r="O20" s="15" t="n">
        <f aca="false">+D20*F20</f>
        <v>0</v>
      </c>
      <c r="P20" s="15" t="n">
        <f aca="false">+E20*F20</f>
        <v>0</v>
      </c>
      <c r="Q20" s="15" t="n">
        <f aca="false">+L20*D20/1000000</f>
        <v>0</v>
      </c>
      <c r="R20" s="96" t="n">
        <f aca="false">+H20*D20/1000000</f>
        <v>0</v>
      </c>
      <c r="S20" s="17" t="n">
        <f aca="false">+D20*I20/1000000*F20</f>
        <v>0</v>
      </c>
      <c r="T20" s="16" t="n">
        <f aca="false">+D20*J20/1000000*F20</f>
        <v>0</v>
      </c>
      <c r="U20" s="16" t="n">
        <f aca="false">+((D20*K20)/1000000)*F20</f>
        <v>0</v>
      </c>
      <c r="V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 t="n">
        <v>0</v>
      </c>
      <c r="H21" s="15" t="n">
        <v>0</v>
      </c>
      <c r="I21" s="20" t="n">
        <v>0</v>
      </c>
      <c r="J21" s="20" t="n">
        <v>0</v>
      </c>
      <c r="K21" s="15" t="n">
        <f aca="false">+E21-G21-H21</f>
        <v>0</v>
      </c>
      <c r="L21" s="15" t="n">
        <f aca="false">+I21*5</f>
        <v>0</v>
      </c>
      <c r="M21" s="15" t="n">
        <f aca="false">+J21*F21</f>
        <v>0</v>
      </c>
      <c r="N21" s="15" t="n">
        <f aca="false">+K21*F21</f>
        <v>0</v>
      </c>
      <c r="O21" s="15" t="n">
        <f aca="false">+D21*F21</f>
        <v>0</v>
      </c>
      <c r="P21" s="15" t="n">
        <f aca="false">+E21*F21</f>
        <v>0</v>
      </c>
      <c r="Q21" s="15" t="n">
        <f aca="false">+L21*D21/1000000</f>
        <v>0</v>
      </c>
      <c r="R21" s="96" t="n">
        <f aca="false">+H21*D21/1000000</f>
        <v>0</v>
      </c>
      <c r="S21" s="17" t="n">
        <f aca="false">+D21*I21/1000000*F21</f>
        <v>0</v>
      </c>
      <c r="T21" s="16" t="n">
        <f aca="false">+D21*J21/1000000*F21</f>
        <v>0</v>
      </c>
      <c r="U21" s="16" t="n">
        <f aca="false">+((D21*K21)/1000000)*F21</f>
        <v>0</v>
      </c>
      <c r="V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 t="n">
        <v>0</v>
      </c>
      <c r="H22" s="15" t="n">
        <v>0</v>
      </c>
      <c r="I22" s="20" t="n">
        <v>0</v>
      </c>
      <c r="J22" s="20" t="n">
        <v>0</v>
      </c>
      <c r="K22" s="15" t="n">
        <f aca="false">+E22-G22-H22</f>
        <v>0</v>
      </c>
      <c r="L22" s="15" t="n">
        <f aca="false">+I22*5</f>
        <v>0</v>
      </c>
      <c r="M22" s="15" t="n">
        <f aca="false">+J22*F22</f>
        <v>0</v>
      </c>
      <c r="N22" s="15" t="n">
        <f aca="false">+K22*F22</f>
        <v>0</v>
      </c>
      <c r="O22" s="15" t="n">
        <f aca="false">+D22*F22</f>
        <v>0</v>
      </c>
      <c r="P22" s="15" t="n">
        <f aca="false">+E22*F22</f>
        <v>0</v>
      </c>
      <c r="Q22" s="15" t="n">
        <f aca="false">+L22*D22/1000000</f>
        <v>0</v>
      </c>
      <c r="R22" s="96" t="n">
        <f aca="false">+H22*D22/1000000</f>
        <v>0</v>
      </c>
      <c r="S22" s="17" t="n">
        <f aca="false">+D22*I22/1000000*F22</f>
        <v>0</v>
      </c>
      <c r="T22" s="16" t="n">
        <f aca="false">+D22*J22/1000000*F22</f>
        <v>0</v>
      </c>
      <c r="U22" s="16" t="n">
        <f aca="false">+((D22*K22)/1000000)*F22</f>
        <v>0</v>
      </c>
      <c r="V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 t="n">
        <v>0</v>
      </c>
      <c r="H23" s="15" t="n">
        <v>0</v>
      </c>
      <c r="I23" s="20" t="n">
        <v>0</v>
      </c>
      <c r="J23" s="20" t="n">
        <v>0</v>
      </c>
      <c r="K23" s="15" t="n">
        <f aca="false">+E23-G23-H23</f>
        <v>0</v>
      </c>
      <c r="L23" s="15" t="n">
        <f aca="false">+I23*5</f>
        <v>0</v>
      </c>
      <c r="M23" s="15" t="n">
        <f aca="false">+J23*F23</f>
        <v>0</v>
      </c>
      <c r="N23" s="15" t="n">
        <f aca="false">+K23*F23</f>
        <v>0</v>
      </c>
      <c r="O23" s="15" t="n">
        <f aca="false">+D23*F23</f>
        <v>0</v>
      </c>
      <c r="P23" s="15" t="n">
        <f aca="false">+E23*F23</f>
        <v>0</v>
      </c>
      <c r="Q23" s="15" t="n">
        <f aca="false">+L23*D23/1000000</f>
        <v>0</v>
      </c>
      <c r="R23" s="96" t="n">
        <f aca="false">+H23*D23/1000000</f>
        <v>0</v>
      </c>
      <c r="S23" s="17" t="n">
        <f aca="false">+D23*I23/1000000*F23</f>
        <v>0</v>
      </c>
      <c r="T23" s="16" t="n">
        <f aca="false">+D23*J23/1000000*F23</f>
        <v>0</v>
      </c>
      <c r="U23" s="16" t="n">
        <f aca="false">+((D23*K23)/1000000)*F23</f>
        <v>0</v>
      </c>
      <c r="V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 t="n">
        <v>0</v>
      </c>
      <c r="H24" s="15" t="n">
        <v>0</v>
      </c>
      <c r="I24" s="20" t="n">
        <v>0</v>
      </c>
      <c r="J24" s="20" t="n">
        <v>0</v>
      </c>
      <c r="K24" s="15" t="n">
        <f aca="false">+E24-G24-H24</f>
        <v>0</v>
      </c>
      <c r="L24" s="15" t="n">
        <f aca="false">+I24*5</f>
        <v>0</v>
      </c>
      <c r="M24" s="15" t="n">
        <f aca="false">+J24*F24</f>
        <v>0</v>
      </c>
      <c r="N24" s="15" t="n">
        <f aca="false">+K24*F24</f>
        <v>0</v>
      </c>
      <c r="O24" s="15" t="n">
        <f aca="false">+D24*F24</f>
        <v>0</v>
      </c>
      <c r="P24" s="15" t="n">
        <f aca="false">+E24*F24</f>
        <v>0</v>
      </c>
      <c r="Q24" s="15" t="n">
        <f aca="false">+L24*D24/1000000</f>
        <v>0</v>
      </c>
      <c r="R24" s="96" t="n">
        <f aca="false">+H24*D24/1000000</f>
        <v>0</v>
      </c>
      <c r="S24" s="17" t="n">
        <f aca="false">+D24*I24/1000000*F24</f>
        <v>0</v>
      </c>
      <c r="T24" s="16" t="n">
        <f aca="false">+D24*J24/1000000*F24</f>
        <v>0</v>
      </c>
      <c r="U24" s="16" t="n">
        <f aca="false">+((D24*K24)/1000000)*F24</f>
        <v>0</v>
      </c>
      <c r="V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 t="n">
        <v>0</v>
      </c>
      <c r="H25" s="15" t="n">
        <v>0</v>
      </c>
      <c r="I25" s="20" t="n">
        <v>0</v>
      </c>
      <c r="J25" s="20" t="n">
        <v>0</v>
      </c>
      <c r="K25" s="15" t="n">
        <f aca="false">+E25-G25-H25</f>
        <v>0</v>
      </c>
      <c r="L25" s="15" t="n">
        <f aca="false">+I25*5</f>
        <v>0</v>
      </c>
      <c r="M25" s="15" t="n">
        <f aca="false">+J25*F25</f>
        <v>0</v>
      </c>
      <c r="N25" s="15" t="n">
        <f aca="false">+K25*F25</f>
        <v>0</v>
      </c>
      <c r="O25" s="15" t="n">
        <f aca="false">+D25*F25</f>
        <v>0</v>
      </c>
      <c r="P25" s="15" t="n">
        <f aca="false">+E25*F25</f>
        <v>0</v>
      </c>
      <c r="Q25" s="15" t="n">
        <f aca="false">+L25*D25/1000000</f>
        <v>0</v>
      </c>
      <c r="R25" s="96" t="n">
        <f aca="false">+H25*D25/1000000</f>
        <v>0</v>
      </c>
      <c r="S25" s="17" t="n">
        <f aca="false">+D25*I25/1000000*F25</f>
        <v>0</v>
      </c>
      <c r="T25" s="16" t="n">
        <f aca="false">+D25*J25/1000000*F25</f>
        <v>0</v>
      </c>
      <c r="U25" s="16" t="n">
        <f aca="false">+((D25*K25)/1000000)*F25</f>
        <v>0</v>
      </c>
      <c r="V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 t="n">
        <v>0</v>
      </c>
      <c r="H26" s="15" t="n">
        <v>0</v>
      </c>
      <c r="I26" s="20" t="n">
        <v>0</v>
      </c>
      <c r="J26" s="20" t="n">
        <v>0</v>
      </c>
      <c r="K26" s="15" t="n">
        <f aca="false">+E26-G26-H26</f>
        <v>0</v>
      </c>
      <c r="L26" s="15" t="n">
        <f aca="false">+I26*5</f>
        <v>0</v>
      </c>
      <c r="M26" s="15" t="n">
        <f aca="false">+J26*F26</f>
        <v>0</v>
      </c>
      <c r="N26" s="15" t="n">
        <f aca="false">+K26*F26</f>
        <v>0</v>
      </c>
      <c r="O26" s="15" t="n">
        <f aca="false">+D26*F26</f>
        <v>0</v>
      </c>
      <c r="P26" s="15" t="n">
        <f aca="false">+E26*F26</f>
        <v>0</v>
      </c>
      <c r="Q26" s="15"/>
      <c r="R26" s="96" t="n">
        <f aca="false">+H26*D26/1000000</f>
        <v>0</v>
      </c>
      <c r="S26" s="17" t="n">
        <f aca="false">+D26*I26/1000000*F26</f>
        <v>0</v>
      </c>
      <c r="T26" s="16" t="n">
        <f aca="false">+D26*J26/1000000*F26</f>
        <v>0</v>
      </c>
      <c r="U26" s="16" t="n">
        <f aca="false">+((D26*K26)/1000000)*F26</f>
        <v>0</v>
      </c>
      <c r="V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 t="n">
        <v>0</v>
      </c>
      <c r="H27" s="15" t="n">
        <v>0</v>
      </c>
      <c r="I27" s="20" t="n">
        <v>0</v>
      </c>
      <c r="J27" s="20" t="n">
        <v>0</v>
      </c>
      <c r="K27" s="15" t="n">
        <f aca="false">+E27-G27-H27</f>
        <v>0</v>
      </c>
      <c r="L27" s="15"/>
      <c r="M27" s="15" t="n">
        <f aca="false">+J27*F27</f>
        <v>0</v>
      </c>
      <c r="N27" s="15" t="n">
        <f aca="false">+K27*F27</f>
        <v>0</v>
      </c>
      <c r="O27" s="15" t="n">
        <f aca="false">+D27*F27</f>
        <v>0</v>
      </c>
      <c r="P27" s="15" t="n">
        <f aca="false">+E27*F27</f>
        <v>0</v>
      </c>
      <c r="Q27" s="15"/>
      <c r="R27" s="96" t="n">
        <f aca="false">+H27*D27/1000000</f>
        <v>0</v>
      </c>
      <c r="S27" s="17" t="n">
        <f aca="false">+D27*I27/1000000*F27</f>
        <v>0</v>
      </c>
      <c r="T27" s="16" t="n">
        <f aca="false">+D27*J27/1000000*F27</f>
        <v>0</v>
      </c>
      <c r="U27" s="16" t="n">
        <f aca="false">+((D27*K27)/1000000)*F27</f>
        <v>0</v>
      </c>
      <c r="V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 t="n">
        <v>0</v>
      </c>
      <c r="H28" s="15" t="n">
        <v>0</v>
      </c>
      <c r="I28" s="20" t="n">
        <v>0</v>
      </c>
      <c r="J28" s="20" t="n">
        <v>0</v>
      </c>
      <c r="K28" s="15" t="n">
        <f aca="false">+E28-G28-H28</f>
        <v>0</v>
      </c>
      <c r="L28" s="15"/>
      <c r="M28" s="15" t="n">
        <f aca="false">+J28*F28</f>
        <v>0</v>
      </c>
      <c r="N28" s="15" t="n">
        <f aca="false">+K28*F28</f>
        <v>0</v>
      </c>
      <c r="O28" s="15" t="n">
        <f aca="false">+D28*F28</f>
        <v>0</v>
      </c>
      <c r="P28" s="15" t="n">
        <f aca="false">+E28*F28</f>
        <v>0</v>
      </c>
      <c r="Q28" s="15"/>
      <c r="R28" s="96" t="n">
        <f aca="false">+H28*D28/1000000</f>
        <v>0</v>
      </c>
      <c r="S28" s="17" t="n">
        <f aca="false">+D28*I28/1000000*F28</f>
        <v>0</v>
      </c>
      <c r="T28" s="16" t="n">
        <f aca="false">+D28*J28/1000000*F28</f>
        <v>0</v>
      </c>
      <c r="U28" s="16" t="n">
        <f aca="false">+((D28*K28)/1000000)*F28</f>
        <v>0</v>
      </c>
      <c r="V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 t="n">
        <v>0</v>
      </c>
      <c r="H29" s="15" t="n">
        <v>0</v>
      </c>
      <c r="I29" s="20" t="n">
        <v>0</v>
      </c>
      <c r="J29" s="20" t="n">
        <v>0</v>
      </c>
      <c r="K29" s="15" t="n">
        <f aca="false">+E29-G29-H29</f>
        <v>0</v>
      </c>
      <c r="L29" s="15"/>
      <c r="M29" s="15" t="n">
        <f aca="false">+J29*F29</f>
        <v>0</v>
      </c>
      <c r="N29" s="15" t="n">
        <f aca="false">+K29*F29</f>
        <v>0</v>
      </c>
      <c r="O29" s="15" t="n">
        <f aca="false">+D29*F29</f>
        <v>0</v>
      </c>
      <c r="P29" s="15" t="n">
        <f aca="false">+E29*F29</f>
        <v>0</v>
      </c>
      <c r="Q29" s="15"/>
      <c r="R29" s="96" t="n">
        <f aca="false">+H29*D29/1000000</f>
        <v>0</v>
      </c>
      <c r="S29" s="17" t="n">
        <f aca="false">+D29*I29/1000000*F29</f>
        <v>0</v>
      </c>
      <c r="T29" s="16" t="n">
        <f aca="false">+D29*J29/1000000*F29</f>
        <v>0</v>
      </c>
      <c r="U29" s="16" t="n">
        <f aca="false">+((D29*K29)/1000000)*F29</f>
        <v>0</v>
      </c>
      <c r="V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 t="n">
        <v>0</v>
      </c>
      <c r="H30" s="15" t="n">
        <v>0</v>
      </c>
      <c r="I30" s="20" t="n">
        <v>0</v>
      </c>
      <c r="J30" s="20" t="n">
        <v>0</v>
      </c>
      <c r="K30" s="15"/>
      <c r="L30" s="15"/>
      <c r="M30" s="15"/>
      <c r="N30" s="15"/>
      <c r="O30" s="15"/>
      <c r="P30" s="15"/>
      <c r="Q30" s="15"/>
      <c r="R30" s="96"/>
      <c r="S30" s="17"/>
      <c r="T30" s="16"/>
      <c r="U30" s="16"/>
      <c r="V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 t="n">
        <v>0</v>
      </c>
      <c r="H31" s="15" t="n">
        <v>0</v>
      </c>
      <c r="I31" s="20" t="n">
        <v>0</v>
      </c>
      <c r="J31" s="20" t="n">
        <v>0</v>
      </c>
      <c r="K31" s="15" t="n">
        <f aca="false">+E31-G31-H31</f>
        <v>0</v>
      </c>
      <c r="L31" s="15" t="n">
        <f aca="false">+I31*5</f>
        <v>0</v>
      </c>
      <c r="M31" s="15" t="n">
        <f aca="false">+J31*F31</f>
        <v>0</v>
      </c>
      <c r="N31" s="15" t="n">
        <f aca="false">+K31*F31</f>
        <v>0</v>
      </c>
      <c r="O31" s="15" t="n">
        <f aca="false">+D31*F31</f>
        <v>0</v>
      </c>
      <c r="P31" s="15" t="n">
        <f aca="false">+E31*F31</f>
        <v>0</v>
      </c>
      <c r="Q31" s="15" t="n">
        <f aca="false">+L31*D31/1000000</f>
        <v>0</v>
      </c>
      <c r="R31" s="96" t="n">
        <f aca="false">+H31*D31/1000000</f>
        <v>0</v>
      </c>
      <c r="S31" s="17" t="n">
        <f aca="false">+D31*I31/1000000*F31</f>
        <v>0</v>
      </c>
      <c r="T31" s="16" t="n">
        <f aca="false">+D31*J31/1000000*F31</f>
        <v>0</v>
      </c>
      <c r="U31" s="16" t="n">
        <f aca="false">+((D31*K31)/1000000)*F31</f>
        <v>0</v>
      </c>
      <c r="V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600</v>
      </c>
      <c r="E32" s="32" t="n">
        <f aca="false">SUM(E5:E31)</f>
        <v>1000</v>
      </c>
      <c r="F32" s="32" t="n">
        <f aca="false">SUM(F5:F31)</f>
        <v>27</v>
      </c>
      <c r="G32" s="33" t="n">
        <f aca="false">SUM(G5:G31)</f>
        <v>0</v>
      </c>
      <c r="H32" s="33" t="n">
        <f aca="false">SUM(H5:H31)</f>
        <v>0</v>
      </c>
      <c r="I32" s="34" t="n">
        <f aca="false">SUM(I5:I31)</f>
        <v>0</v>
      </c>
      <c r="J32" s="32" t="n">
        <f aca="false">SUM(J5:J31)</f>
        <v>0</v>
      </c>
      <c r="K32" s="32" t="n">
        <f aca="false">SUM(K5:K31)</f>
        <v>1000</v>
      </c>
      <c r="L32" s="32" t="n">
        <f aca="false">SUM(L5:L31)</f>
        <v>0</v>
      </c>
      <c r="M32" s="32" t="n">
        <f aca="false">SUM(M5:M31)</f>
        <v>0</v>
      </c>
      <c r="N32" s="32" t="n">
        <f aca="false">SUM(N5:N31)</f>
        <v>27000</v>
      </c>
      <c r="O32" s="32" t="n">
        <f aca="false">SUM(O5:O31)</f>
        <v>16200</v>
      </c>
      <c r="P32" s="32" t="n">
        <f aca="false">SUM(P5:P31)</f>
        <v>27000</v>
      </c>
      <c r="Q32" s="32" t="n">
        <f aca="false">SUM(Q5:Q31)</f>
        <v>0</v>
      </c>
      <c r="R32" s="35" t="n">
        <f aca="false">SUM(R5:R31)</f>
        <v>0</v>
      </c>
      <c r="S32" s="32" t="n">
        <f aca="false">SUM(S5:S31)</f>
        <v>0</v>
      </c>
      <c r="T32" s="35" t="n">
        <f aca="false">SUM(T5:T31)</f>
        <v>0</v>
      </c>
      <c r="U32" s="35" t="n">
        <f aca="false">SUM(U5:U31)</f>
        <v>16.2</v>
      </c>
      <c r="V32" s="36" t="n">
        <f aca="false">SUM(V5:V31)</f>
        <v>16.2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20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4009</v>
      </c>
      <c r="D36" s="13" t="s">
        <v>29</v>
      </c>
      <c r="E36" s="15" t="n">
        <f aca="false">+O32*2+P32*2</f>
        <v>86400</v>
      </c>
      <c r="F36" s="15" t="n">
        <f aca="false">E36+(E36*10%)</f>
        <v>95040</v>
      </c>
      <c r="G36" s="43" t="n">
        <f aca="false">F36/6400</f>
        <v>14.85</v>
      </c>
      <c r="H36" s="43" t="n">
        <f aca="false">ROUNDUP(G36,0)</f>
        <v>15</v>
      </c>
      <c r="I36" s="44" t="n">
        <v>3.7</v>
      </c>
      <c r="J36" s="44" t="n">
        <f aca="false">+I36*H36</f>
        <v>55.5</v>
      </c>
      <c r="K36" s="22"/>
      <c r="L36" s="22"/>
      <c r="M36" s="22"/>
      <c r="N36" s="22"/>
    </row>
    <row r="37" customFormat="false" ht="17.35" hidden="false" customHeight="false" outlineLevel="0" collapsed="false">
      <c r="B37" s="13" t="n">
        <v>2</v>
      </c>
      <c r="C37" s="13" t="n">
        <v>4011</v>
      </c>
      <c r="D37" s="13" t="s">
        <v>30</v>
      </c>
      <c r="E37" s="15" t="n">
        <f aca="false">+O32*2+N32*2</f>
        <v>86400</v>
      </c>
      <c r="F37" s="15" t="n">
        <f aca="false">E37+(E37*10%)</f>
        <v>95040</v>
      </c>
      <c r="G37" s="43" t="n">
        <f aca="false">F37/6400</f>
        <v>14.85</v>
      </c>
      <c r="H37" s="43" t="n">
        <f aca="false">ROUNDUP(G37,0)</f>
        <v>15</v>
      </c>
      <c r="I37" s="44" t="n">
        <v>4</v>
      </c>
      <c r="J37" s="44" t="n">
        <f aca="false">+I37*H37</f>
        <v>60</v>
      </c>
      <c r="K37" s="22"/>
      <c r="L37" s="22"/>
      <c r="M37" s="22"/>
      <c r="N37" s="22"/>
    </row>
    <row r="38" customFormat="false" ht="17.35" hidden="false" customHeight="false" outlineLevel="0" collapsed="false">
      <c r="B38" s="13" t="n">
        <v>3</v>
      </c>
      <c r="C38" s="13" t="n">
        <v>4013</v>
      </c>
      <c r="D38" s="13" t="s">
        <v>245</v>
      </c>
      <c r="E38" s="15" t="n">
        <f aca="false">+O32*2+N32*2</f>
        <v>86400</v>
      </c>
      <c r="F38" s="15" t="n">
        <f aca="false">E38+(E38*10%)</f>
        <v>95040</v>
      </c>
      <c r="G38" s="43" t="n">
        <f aca="false">F38/6400</f>
        <v>14.85</v>
      </c>
      <c r="H38" s="43" t="n">
        <f aca="false">ROUNDUP(G38,0)</f>
        <v>15</v>
      </c>
      <c r="I38" s="44" t="n">
        <v>1.5</v>
      </c>
      <c r="J38" s="44" t="n">
        <f aca="false">+I38*H38</f>
        <v>22.5</v>
      </c>
      <c r="K38" s="23"/>
      <c r="L38" s="23"/>
      <c r="M38" s="23"/>
      <c r="N38" s="23"/>
    </row>
    <row r="39" customFormat="false" ht="17.35" hidden="false" customHeight="false" outlineLevel="0" collapsed="false">
      <c r="B39" s="3"/>
      <c r="C39" s="3"/>
      <c r="D39" s="3"/>
      <c r="E39" s="3"/>
      <c r="F39" s="3"/>
      <c r="G39" s="3"/>
      <c r="H39" s="23"/>
      <c r="I39" s="51" t="s">
        <v>19</v>
      </c>
      <c r="J39" s="52" t="n">
        <f aca="false">SUM(J36:J38)</f>
        <v>138</v>
      </c>
      <c r="K39" s="22"/>
      <c r="L39" s="3"/>
      <c r="M39" s="25"/>
      <c r="N39" s="25"/>
    </row>
    <row r="40" customFormat="false" ht="17.35" hidden="false" customHeight="false" outlineLevel="0" collapsed="false">
      <c r="B40" s="9" t="s">
        <v>35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</row>
    <row r="41" customFormat="false" ht="17.35" hidden="false" customHeight="false" outlineLevel="0" collapsed="false">
      <c r="B41" s="9" t="s">
        <v>5</v>
      </c>
      <c r="C41" s="42" t="s">
        <v>21</v>
      </c>
      <c r="D41" s="42" t="s">
        <v>22</v>
      </c>
      <c r="E41" s="42" t="s">
        <v>23</v>
      </c>
      <c r="F41" s="42" t="s">
        <v>36</v>
      </c>
      <c r="G41" s="42" t="s">
        <v>25</v>
      </c>
      <c r="H41" s="42" t="s">
        <v>26</v>
      </c>
      <c r="I41" s="42" t="s">
        <v>244</v>
      </c>
      <c r="J41" s="42" t="s">
        <v>28</v>
      </c>
      <c r="K41" s="9" t="s">
        <v>38</v>
      </c>
      <c r="L41" s="9"/>
      <c r="M41" s="9"/>
      <c r="N41" s="6"/>
    </row>
    <row r="42" customFormat="false" ht="17.35" hidden="false" customHeight="false" outlineLevel="0" collapsed="false">
      <c r="B42" s="13" t="n">
        <v>1</v>
      </c>
      <c r="C42" s="13" t="n">
        <v>4011</v>
      </c>
      <c r="D42" s="13" t="s">
        <v>246</v>
      </c>
      <c r="E42" s="15" t="n">
        <f aca="false">+O32*1</f>
        <v>16200</v>
      </c>
      <c r="F42" s="15" t="n">
        <f aca="false">E42+(E42*10%)</f>
        <v>17820</v>
      </c>
      <c r="G42" s="43" t="n">
        <f aca="false">F42/6400</f>
        <v>2.784375</v>
      </c>
      <c r="H42" s="43" t="n">
        <f aca="false">ROUNDUP(G42,0)</f>
        <v>3</v>
      </c>
      <c r="I42" s="44" t="n">
        <v>4</v>
      </c>
      <c r="J42" s="44" t="n">
        <f aca="false">+H42*I42</f>
        <v>12</v>
      </c>
      <c r="K42" s="13"/>
      <c r="L42" s="13"/>
      <c r="M42" s="13"/>
      <c r="N42" s="4"/>
    </row>
    <row r="43" customFormat="false" ht="17.35" hidden="false" customHeight="false" outlineLevel="0" collapsed="false">
      <c r="B43" s="13" t="n">
        <v>3</v>
      </c>
      <c r="C43" s="13" t="n">
        <v>1544</v>
      </c>
      <c r="D43" s="13" t="s">
        <v>43</v>
      </c>
      <c r="E43" s="15" t="n">
        <f aca="false">+(300*2)*F32</f>
        <v>16200</v>
      </c>
      <c r="F43" s="15" t="n">
        <f aca="false">E43+(E43*10%)</f>
        <v>17820</v>
      </c>
      <c r="G43" s="43" t="n">
        <f aca="false">F43/6400</f>
        <v>2.784375</v>
      </c>
      <c r="H43" s="43" t="n">
        <f aca="false">ROUNDUP(G43,0)</f>
        <v>3</v>
      </c>
      <c r="I43" s="44" t="n">
        <v>1.6</v>
      </c>
      <c r="J43" s="44" t="n">
        <f aca="false">+H43*I43</f>
        <v>4.8</v>
      </c>
      <c r="K43" s="13"/>
      <c r="L43" s="13"/>
      <c r="M43" s="13"/>
      <c r="N43" s="4"/>
    </row>
    <row r="44" customFormat="false" ht="17.35" hidden="false" customHeight="false" outlineLevel="0" collapsed="false">
      <c r="B44" s="13" t="n">
        <v>4</v>
      </c>
      <c r="C44" s="13" t="n">
        <v>6515</v>
      </c>
      <c r="D44" s="13" t="s">
        <v>45</v>
      </c>
      <c r="E44" s="15" t="n">
        <f aca="false">+O32*5</f>
        <v>81000</v>
      </c>
      <c r="F44" s="15" t="n">
        <f aca="false">E44+(E44*10%)</f>
        <v>89100</v>
      </c>
      <c r="G44" s="43" t="n">
        <f aca="false">F44/6400</f>
        <v>13.921875</v>
      </c>
      <c r="H44" s="43" t="n">
        <f aca="false">ROUNDUP(G44,0)</f>
        <v>14</v>
      </c>
      <c r="I44" s="44" t="n">
        <v>1.9</v>
      </c>
      <c r="J44" s="44" t="n">
        <f aca="false">+H44*I44</f>
        <v>26.6</v>
      </c>
      <c r="K44" s="13"/>
      <c r="L44" s="13"/>
      <c r="M44" s="13"/>
      <c r="N44" s="4"/>
    </row>
    <row r="45" customFormat="false" ht="17.35" hidden="false" customHeight="false" outlineLevel="0" collapsed="false">
      <c r="B45" s="13" t="n">
        <v>5</v>
      </c>
      <c r="C45" s="13" t="n">
        <v>3035</v>
      </c>
      <c r="D45" s="13" t="s">
        <v>47</v>
      </c>
      <c r="E45" s="15" t="n">
        <f aca="false">+O32*2+(F32*(300*2))</f>
        <v>48600</v>
      </c>
      <c r="F45" s="15" t="n">
        <f aca="false">E45+(E45*10%)</f>
        <v>53460</v>
      </c>
      <c r="G45" s="43" t="n">
        <f aca="false">F45/6400</f>
        <v>8.353125</v>
      </c>
      <c r="H45" s="43" t="n">
        <f aca="false">ROUNDUP(G45,0)</f>
        <v>9</v>
      </c>
      <c r="I45" s="44" t="n">
        <v>1.35</v>
      </c>
      <c r="J45" s="44" t="n">
        <f aca="false">+H45*I45</f>
        <v>12.15</v>
      </c>
      <c r="K45" s="13"/>
      <c r="L45" s="13"/>
      <c r="M45" s="13"/>
      <c r="N45" s="4"/>
    </row>
    <row r="46" customFormat="false" ht="17.35" hidden="false" customHeight="false" outlineLevel="0" collapsed="false">
      <c r="B46" s="3"/>
      <c r="C46" s="3"/>
      <c r="D46" s="3"/>
      <c r="E46" s="3"/>
      <c r="F46" s="3"/>
      <c r="G46" s="3"/>
      <c r="H46" s="11"/>
      <c r="I46" s="57" t="s">
        <v>19</v>
      </c>
      <c r="J46" s="35" t="n">
        <f aca="false">SUM(J42:J45)</f>
        <v>55.55</v>
      </c>
      <c r="K46" s="3"/>
      <c r="L46" s="3"/>
      <c r="M46" s="3"/>
      <c r="N46" s="3"/>
    </row>
    <row r="47" customFormat="false" ht="17.35" hidden="false" customHeight="false" outlineLevel="0" collapsed="false">
      <c r="B47" s="9" t="s">
        <v>247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3"/>
    </row>
    <row r="48" customFormat="false" ht="17.35" hidden="false" customHeight="false" outlineLevel="0" collapsed="false">
      <c r="B48" s="9" t="s">
        <v>5</v>
      </c>
      <c r="C48" s="42" t="s">
        <v>21</v>
      </c>
      <c r="D48" s="42" t="s">
        <v>22</v>
      </c>
      <c r="E48" s="42" t="s">
        <v>23</v>
      </c>
      <c r="F48" s="42" t="s">
        <v>36</v>
      </c>
      <c r="G48" s="42" t="s">
        <v>25</v>
      </c>
      <c r="H48" s="42" t="s">
        <v>26</v>
      </c>
      <c r="I48" s="42" t="s">
        <v>37</v>
      </c>
      <c r="J48" s="42" t="s">
        <v>28</v>
      </c>
      <c r="K48" s="9" t="s">
        <v>38</v>
      </c>
      <c r="L48" s="9"/>
      <c r="M48" s="9"/>
      <c r="N48" s="3"/>
    </row>
    <row r="49" customFormat="false" ht="17.35" hidden="false" customHeight="false" outlineLevel="0" collapsed="false">
      <c r="B49" s="13" t="n">
        <v>1</v>
      </c>
      <c r="C49" s="13" t="n">
        <v>4011</v>
      </c>
      <c r="D49" s="13" t="s">
        <v>246</v>
      </c>
      <c r="E49" s="15" t="n">
        <f aca="false">+O32*1</f>
        <v>16200</v>
      </c>
      <c r="F49" s="15" t="n">
        <f aca="false">E49+(E49*10%)</f>
        <v>17820</v>
      </c>
      <c r="G49" s="43" t="n">
        <f aca="false">F49/6400</f>
        <v>2.784375</v>
      </c>
      <c r="H49" s="43" t="n">
        <f aca="false">ROUNDUP(G49,0)</f>
        <v>3</v>
      </c>
      <c r="I49" s="44" t="n">
        <v>4</v>
      </c>
      <c r="J49" s="44" t="n">
        <f aca="false">+H49*I49</f>
        <v>12</v>
      </c>
      <c r="K49" s="13"/>
      <c r="L49" s="13"/>
      <c r="M49" s="13"/>
      <c r="N49" s="3"/>
    </row>
    <row r="50" customFormat="false" ht="17.35" hidden="false" customHeight="false" outlineLevel="0" collapsed="false">
      <c r="B50" s="13" t="n">
        <v>2</v>
      </c>
      <c r="C50" s="13" t="n">
        <v>4013</v>
      </c>
      <c r="D50" s="13" t="s">
        <v>245</v>
      </c>
      <c r="E50" s="15" t="n">
        <f aca="false">+O32*2+(F32*(500*2))</f>
        <v>59400</v>
      </c>
      <c r="F50" s="15" t="n">
        <f aca="false">E50+(E50*10%)</f>
        <v>65340</v>
      </c>
      <c r="G50" s="43" t="n">
        <f aca="false">F50/6400</f>
        <v>10.209375</v>
      </c>
      <c r="H50" s="43" t="n">
        <f aca="false">ROUNDUP(G50,0)</f>
        <v>11</v>
      </c>
      <c r="I50" s="44" t="n">
        <v>1.5</v>
      </c>
      <c r="J50" s="44" t="n">
        <f aca="false">+H50*I50</f>
        <v>16.5</v>
      </c>
      <c r="K50" s="13"/>
      <c r="L50" s="13"/>
      <c r="M50" s="13"/>
      <c r="N50" s="3"/>
    </row>
    <row r="51" customFormat="false" ht="17.35" hidden="false" customHeight="false" outlineLevel="0" collapsed="false">
      <c r="B51" s="3"/>
      <c r="C51" s="3"/>
      <c r="D51" s="3"/>
      <c r="E51" s="3"/>
      <c r="F51" s="3"/>
      <c r="G51" s="3"/>
      <c r="H51" s="3"/>
      <c r="I51" s="57" t="s">
        <v>19</v>
      </c>
      <c r="J51" s="35" t="n">
        <f aca="false">SUM(J49:J50)</f>
        <v>28.5</v>
      </c>
      <c r="K51" s="3"/>
      <c r="L51" s="3"/>
      <c r="M51" s="3"/>
      <c r="N51" s="3"/>
    </row>
    <row r="52" customFormat="false" ht="17.35" hidden="false" customHeight="false" outlineLevel="0" collapsed="false">
      <c r="B52" s="3"/>
      <c r="C52" s="3"/>
      <c r="D52" s="3"/>
      <c r="E52" s="3"/>
      <c r="F52" s="3"/>
      <c r="G52" s="3"/>
      <c r="H52" s="3"/>
      <c r="I52" s="57" t="s">
        <v>49</v>
      </c>
      <c r="J52" s="35" t="n">
        <f aca="false">+J39+J46+J51</f>
        <v>222.05</v>
      </c>
      <c r="K52" s="3"/>
      <c r="L52" s="3"/>
      <c r="M52" s="3"/>
      <c r="N52" s="3"/>
    </row>
    <row r="53" customFormat="false" ht="17.35" hidden="false" customHeight="false" outlineLevel="0" collapsed="false">
      <c r="B53" s="42" t="s">
        <v>248</v>
      </c>
      <c r="C53" s="42"/>
      <c r="D53" s="42"/>
      <c r="E53" s="42"/>
      <c r="F53" s="42"/>
      <c r="G53" s="42"/>
      <c r="H53" s="42"/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9" t="s">
        <v>5</v>
      </c>
      <c r="C54" s="9" t="s">
        <v>22</v>
      </c>
      <c r="D54" s="9" t="s">
        <v>51</v>
      </c>
      <c r="E54" s="9" t="s">
        <v>52</v>
      </c>
      <c r="F54" s="9" t="s">
        <v>53</v>
      </c>
      <c r="G54" s="9" t="s">
        <v>54</v>
      </c>
      <c r="H54" s="9" t="s">
        <v>55</v>
      </c>
      <c r="I54" s="3"/>
      <c r="J54" s="3"/>
      <c r="K54" s="3"/>
      <c r="L54" s="3"/>
      <c r="M54" s="3"/>
      <c r="N54" s="3"/>
    </row>
    <row r="55" customFormat="false" ht="17.35" hidden="false" customHeight="false" outlineLevel="0" collapsed="false">
      <c r="B55" s="46" t="n">
        <v>1</v>
      </c>
      <c r="C55" s="13" t="s">
        <v>249</v>
      </c>
      <c r="D55" s="58" t="s">
        <v>57</v>
      </c>
      <c r="E55" s="13" t="n">
        <v>1</v>
      </c>
      <c r="F55" s="20" t="n">
        <f aca="false">+E55*F32</f>
        <v>27</v>
      </c>
      <c r="G55" s="15" t="n">
        <v>15000</v>
      </c>
      <c r="H55" s="15" t="n">
        <f aca="false">+F55*G55</f>
        <v>405000</v>
      </c>
      <c r="I55" s="3"/>
      <c r="J55" s="3"/>
      <c r="K55" s="3"/>
      <c r="L55" s="3"/>
      <c r="M55" s="3"/>
      <c r="N55" s="3"/>
    </row>
    <row r="56" customFormat="false" ht="17.35" hidden="false" customHeight="false" outlineLevel="0" collapsed="false">
      <c r="B56" s="46" t="n">
        <v>2</v>
      </c>
      <c r="C56" s="13" t="s">
        <v>250</v>
      </c>
      <c r="D56" s="58" t="s">
        <v>226</v>
      </c>
      <c r="E56" s="13" t="n">
        <v>1</v>
      </c>
      <c r="F56" s="20" t="n">
        <f aca="false">+E56*F32</f>
        <v>27</v>
      </c>
      <c r="G56" s="15" t="n">
        <v>25000</v>
      </c>
      <c r="H56" s="15" t="n">
        <f aca="false">+F56*G56</f>
        <v>675000</v>
      </c>
      <c r="I56" s="3"/>
      <c r="J56" s="3"/>
      <c r="K56" s="3"/>
      <c r="L56" s="3"/>
      <c r="M56" s="3"/>
      <c r="N56" s="3"/>
    </row>
    <row r="57" customFormat="false" ht="29.85" hidden="false" customHeight="false" outlineLevel="0" collapsed="false">
      <c r="B57" s="46" t="n">
        <v>3</v>
      </c>
      <c r="C57" s="142" t="s">
        <v>251</v>
      </c>
      <c r="D57" s="58" t="s">
        <v>57</v>
      </c>
      <c r="E57" s="46" t="n">
        <v>10</v>
      </c>
      <c r="F57" s="143" t="n">
        <f aca="false">+E57*F32</f>
        <v>270</v>
      </c>
      <c r="G57" s="48" t="n">
        <v>50</v>
      </c>
      <c r="H57" s="48" t="n">
        <f aca="false">+F57*G57</f>
        <v>13500</v>
      </c>
      <c r="I57" s="3"/>
      <c r="J57" s="3" t="s">
        <v>252</v>
      </c>
      <c r="K57" s="3" t="s">
        <v>253</v>
      </c>
      <c r="L57" s="67" t="n">
        <v>25000</v>
      </c>
      <c r="M57" s="3"/>
      <c r="N57" s="3"/>
    </row>
    <row r="58" customFormat="false" ht="29.85" hidden="false" customHeight="false" outlineLevel="0" collapsed="false">
      <c r="B58" s="46" t="n">
        <v>4</v>
      </c>
      <c r="C58" s="142" t="s">
        <v>254</v>
      </c>
      <c r="D58" s="58" t="s">
        <v>57</v>
      </c>
      <c r="E58" s="46" t="n">
        <v>32</v>
      </c>
      <c r="F58" s="143" t="n">
        <f aca="false">+E58*F32</f>
        <v>864</v>
      </c>
      <c r="G58" s="48" t="n">
        <v>50</v>
      </c>
      <c r="H58" s="48" t="n">
        <f aca="false">+F58*G58</f>
        <v>43200</v>
      </c>
      <c r="I58" s="3"/>
      <c r="J58" s="3" t="s">
        <v>255</v>
      </c>
      <c r="K58" s="3" t="s">
        <v>256</v>
      </c>
      <c r="L58" s="67" t="n">
        <v>4000</v>
      </c>
      <c r="M58" s="3" t="s">
        <v>257</v>
      </c>
      <c r="N58" s="3"/>
    </row>
    <row r="59" customFormat="false" ht="29.85" hidden="false" customHeight="false" outlineLevel="0" collapsed="false">
      <c r="B59" s="46" t="n">
        <v>5</v>
      </c>
      <c r="C59" s="142" t="s">
        <v>258</v>
      </c>
      <c r="D59" s="58" t="s">
        <v>62</v>
      </c>
      <c r="E59" s="143" t="n">
        <f aca="false">+(N32*2+O32*2)/1000</f>
        <v>86.4</v>
      </c>
      <c r="F59" s="143" t="n">
        <f aca="false">+E59</f>
        <v>86.4</v>
      </c>
      <c r="G59" s="48" t="n">
        <v>335</v>
      </c>
      <c r="H59" s="48" t="n">
        <f aca="false">+F59*G59</f>
        <v>28944</v>
      </c>
      <c r="I59" s="3"/>
      <c r="J59" s="3" t="s">
        <v>259</v>
      </c>
      <c r="K59" s="3" t="s">
        <v>260</v>
      </c>
      <c r="L59" s="67" t="n">
        <v>110000</v>
      </c>
      <c r="M59" s="3"/>
      <c r="N59" s="3"/>
    </row>
    <row r="60" customFormat="false" ht="29.85" hidden="false" customHeight="false" outlineLevel="0" collapsed="false">
      <c r="B60" s="46" t="n">
        <v>6</v>
      </c>
      <c r="C60" s="59" t="s">
        <v>261</v>
      </c>
      <c r="D60" s="58" t="s">
        <v>62</v>
      </c>
      <c r="E60" s="135" t="n">
        <f aca="false">+(O32*2)/1000+(N32*2)/1000</f>
        <v>86.4</v>
      </c>
      <c r="F60" s="143" t="n">
        <f aca="false">+E60</f>
        <v>86.4</v>
      </c>
      <c r="G60" s="61" t="n">
        <v>1000</v>
      </c>
      <c r="H60" s="48" t="n">
        <f aca="false">+F60*G60</f>
        <v>86400</v>
      </c>
      <c r="I60" s="3"/>
      <c r="J60" s="3" t="s">
        <v>262</v>
      </c>
      <c r="K60" s="3" t="s">
        <v>256</v>
      </c>
      <c r="L60" s="67" t="n">
        <v>55000</v>
      </c>
      <c r="M60" s="3" t="s">
        <v>263</v>
      </c>
      <c r="N60" s="3"/>
    </row>
    <row r="61" customFormat="false" ht="17.35" hidden="false" customHeight="false" outlineLevel="0" collapsed="false">
      <c r="B61" s="46" t="n">
        <v>8</v>
      </c>
      <c r="C61" s="13" t="s">
        <v>84</v>
      </c>
      <c r="D61" s="58" t="s">
        <v>57</v>
      </c>
      <c r="E61" s="13" t="n">
        <v>10</v>
      </c>
      <c r="F61" s="20" t="n">
        <f aca="false">+E61*F32</f>
        <v>270</v>
      </c>
      <c r="G61" s="15" t="n">
        <v>40</v>
      </c>
      <c r="H61" s="15" t="n">
        <f aca="false">+F61*G61</f>
        <v>10800</v>
      </c>
      <c r="I61" s="3"/>
      <c r="J61" s="3" t="s">
        <v>67</v>
      </c>
      <c r="K61" s="3" t="s">
        <v>256</v>
      </c>
      <c r="L61" s="67" t="n">
        <v>4000</v>
      </c>
      <c r="M61" s="3" t="s">
        <v>264</v>
      </c>
      <c r="N61" s="3"/>
    </row>
    <row r="62" customFormat="false" ht="17.35" hidden="false" customHeight="false" outlineLevel="0" collapsed="false">
      <c r="B62" s="46" t="n">
        <v>9</v>
      </c>
      <c r="C62" s="142" t="s">
        <v>265</v>
      </c>
      <c r="D62" s="58" t="s">
        <v>57</v>
      </c>
      <c r="E62" s="13" t="n">
        <v>1</v>
      </c>
      <c r="F62" s="20" t="n">
        <f aca="false">+E62*F32</f>
        <v>27</v>
      </c>
      <c r="G62" s="15" t="n">
        <v>16000</v>
      </c>
      <c r="H62" s="15" t="n">
        <f aca="false">+F62*G62</f>
        <v>432000</v>
      </c>
      <c r="I62" s="3"/>
      <c r="J62" s="3" t="s">
        <v>47</v>
      </c>
      <c r="K62" s="3" t="s">
        <v>266</v>
      </c>
      <c r="L62" s="67" t="n">
        <v>110000</v>
      </c>
      <c r="M62" s="3" t="s">
        <v>267</v>
      </c>
      <c r="N62" s="3"/>
    </row>
    <row r="63" customFormat="false" ht="29.85" hidden="false" customHeight="false" outlineLevel="0" collapsed="false">
      <c r="B63" s="46" t="n">
        <v>10</v>
      </c>
      <c r="C63" s="46" t="s">
        <v>268</v>
      </c>
      <c r="D63" s="58" t="s">
        <v>14</v>
      </c>
      <c r="E63" s="47" t="s">
        <v>269</v>
      </c>
      <c r="F63" s="62" t="n">
        <f aca="false">+U32</f>
        <v>16.2</v>
      </c>
      <c r="G63" s="48" t="n">
        <v>55000</v>
      </c>
      <c r="H63" s="48" t="n">
        <f aca="false">+F63*G63</f>
        <v>891000</v>
      </c>
      <c r="I63" s="3"/>
      <c r="J63" s="3" t="s">
        <v>47</v>
      </c>
      <c r="K63" s="3" t="s">
        <v>270</v>
      </c>
      <c r="L63" s="67" t="n">
        <v>150000</v>
      </c>
      <c r="M63" s="3" t="s">
        <v>267</v>
      </c>
      <c r="N63" s="3"/>
    </row>
    <row r="64" customFormat="false" ht="19.7" hidden="false" customHeight="false" outlineLevel="0" collapsed="false">
      <c r="B64" s="3"/>
      <c r="C64" s="3"/>
      <c r="D64" s="3"/>
      <c r="E64" s="3"/>
      <c r="F64" s="3"/>
      <c r="G64" s="64" t="s">
        <v>19</v>
      </c>
      <c r="H64" s="65" t="n">
        <f aca="false">SUM(H55:H63)</f>
        <v>2585844</v>
      </c>
      <c r="I64" s="3"/>
      <c r="J64" s="3"/>
      <c r="K64" s="3"/>
      <c r="L64" s="3"/>
      <c r="M64" s="3"/>
      <c r="N64" s="3"/>
    </row>
    <row r="65" customFormat="false" ht="17.35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7.35" hidden="false" customHeight="false" outlineLevel="0" collapsed="false">
      <c r="B66" s="42" t="s">
        <v>271</v>
      </c>
      <c r="C66" s="42"/>
      <c r="D66" s="42"/>
      <c r="E66" s="42"/>
      <c r="F66" s="42"/>
      <c r="G66" s="42"/>
      <c r="H66" s="42"/>
      <c r="I66" s="3"/>
      <c r="J66" s="3"/>
      <c r="K66" s="3"/>
      <c r="L66" s="3"/>
      <c r="M66" s="3"/>
      <c r="N66" s="3"/>
    </row>
    <row r="67" customFormat="false" ht="17.35" hidden="false" customHeight="false" outlineLevel="0" collapsed="false">
      <c r="B67" s="9" t="s">
        <v>5</v>
      </c>
      <c r="C67" s="9" t="s">
        <v>22</v>
      </c>
      <c r="D67" s="9" t="s">
        <v>51</v>
      </c>
      <c r="E67" s="9" t="s">
        <v>74</v>
      </c>
      <c r="F67" s="9" t="s">
        <v>272</v>
      </c>
      <c r="G67" s="9" t="s">
        <v>54</v>
      </c>
      <c r="H67" s="9" t="s">
        <v>55</v>
      </c>
      <c r="I67" s="3"/>
      <c r="J67" s="3"/>
      <c r="K67" s="3"/>
      <c r="L67" s="3"/>
      <c r="M67" s="3"/>
      <c r="N67" s="3"/>
    </row>
    <row r="68" customFormat="false" ht="17.35" hidden="false" customHeight="false" outlineLevel="0" collapsed="false">
      <c r="B68" s="46" t="n">
        <v>1</v>
      </c>
      <c r="C68" s="46" t="s">
        <v>273</v>
      </c>
      <c r="D68" s="58" t="s">
        <v>57</v>
      </c>
      <c r="E68" s="46" t="n">
        <v>20</v>
      </c>
      <c r="F68" s="143" t="n">
        <f aca="false">+E68*F32</f>
        <v>540</v>
      </c>
      <c r="G68" s="48" t="n">
        <v>50</v>
      </c>
      <c r="H68" s="48" t="n">
        <f aca="false">+F68*G68</f>
        <v>27000</v>
      </c>
      <c r="I68" s="3"/>
      <c r="J68" s="3"/>
      <c r="K68" s="3"/>
      <c r="L68" s="3"/>
      <c r="M68" s="3"/>
      <c r="N68" s="3"/>
    </row>
    <row r="69" customFormat="false" ht="17.35" hidden="false" customHeight="false" outlineLevel="0" collapsed="false">
      <c r="B69" s="46" t="n">
        <v>2</v>
      </c>
      <c r="C69" s="46" t="s">
        <v>274</v>
      </c>
      <c r="D69" s="58" t="s">
        <v>57</v>
      </c>
      <c r="E69" s="46" t="n">
        <v>2</v>
      </c>
      <c r="F69" s="143" t="n">
        <f aca="false">+E69*F32</f>
        <v>54</v>
      </c>
      <c r="G69" s="48" t="n">
        <v>50</v>
      </c>
      <c r="H69" s="48" t="n">
        <f aca="false">+F69*G69</f>
        <v>2700</v>
      </c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46" t="n">
        <v>3</v>
      </c>
      <c r="C70" s="46" t="s">
        <v>86</v>
      </c>
      <c r="D70" s="58" t="s">
        <v>14</v>
      </c>
      <c r="E70" s="58" t="s">
        <v>275</v>
      </c>
      <c r="F70" s="60" t="n">
        <f aca="false">+G32*D32/1000000</f>
        <v>0</v>
      </c>
      <c r="G70" s="69" t="n">
        <v>3700</v>
      </c>
      <c r="H70" s="48" t="n">
        <f aca="false">+F70*G70</f>
        <v>0</v>
      </c>
      <c r="I70" s="3"/>
      <c r="J70" s="3"/>
      <c r="K70" s="3"/>
      <c r="L70" s="3"/>
      <c r="M70" s="3"/>
      <c r="N70" s="3"/>
    </row>
    <row r="71" customFormat="false" ht="19.7" hidden="false" customHeight="false" outlineLevel="0" collapsed="false">
      <c r="B71" s="72"/>
      <c r="C71" s="72"/>
      <c r="D71" s="72"/>
      <c r="E71" s="72"/>
      <c r="F71" s="72"/>
      <c r="G71" s="73" t="s">
        <v>19</v>
      </c>
      <c r="H71" s="74" t="n">
        <f aca="false">SUM(H68:H70)</f>
        <v>29700</v>
      </c>
      <c r="I71" s="3"/>
      <c r="J71" s="3"/>
      <c r="K71" s="3"/>
      <c r="L71" s="3"/>
      <c r="M71" s="3"/>
      <c r="N71" s="3"/>
    </row>
    <row r="72" customFormat="false" ht="17.35" hidden="false" customHeight="false" outlineLevel="0" collapsed="false">
      <c r="I72" s="3"/>
      <c r="J72" s="3"/>
      <c r="K72" s="3"/>
      <c r="L72" s="3"/>
      <c r="M72" s="3"/>
      <c r="N72" s="3"/>
    </row>
    <row r="73" customFormat="false" ht="17.35" hidden="false" customHeight="false" outlineLevel="0" collapsed="false">
      <c r="B73" s="42" t="s">
        <v>271</v>
      </c>
      <c r="C73" s="42"/>
      <c r="D73" s="42"/>
      <c r="E73" s="42"/>
      <c r="F73" s="42"/>
      <c r="G73" s="42"/>
      <c r="H73" s="42"/>
      <c r="I73" s="3"/>
      <c r="J73" s="3"/>
      <c r="K73" s="3"/>
      <c r="L73" s="3"/>
      <c r="M73" s="3"/>
      <c r="N73" s="3"/>
    </row>
    <row r="74" customFormat="false" ht="17.35" hidden="false" customHeight="false" outlineLevel="0" collapsed="false">
      <c r="B74" s="9" t="s">
        <v>5</v>
      </c>
      <c r="C74" s="9" t="s">
        <v>22</v>
      </c>
      <c r="D74" s="9" t="s">
        <v>51</v>
      </c>
      <c r="E74" s="9" t="s">
        <v>74</v>
      </c>
      <c r="F74" s="9" t="s">
        <v>272</v>
      </c>
      <c r="G74" s="9" t="s">
        <v>54</v>
      </c>
      <c r="H74" s="9" t="s">
        <v>55</v>
      </c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B75" s="46" t="n">
        <v>1</v>
      </c>
      <c r="C75" s="59" t="s">
        <v>276</v>
      </c>
      <c r="D75" s="58" t="s">
        <v>277</v>
      </c>
      <c r="E75" s="135" t="n">
        <f aca="false">+((O32*2)/1000)+(F32*(0.5*2))</f>
        <v>59.4</v>
      </c>
      <c r="F75" s="143" t="n">
        <f aca="false">E75</f>
        <v>59.4</v>
      </c>
      <c r="G75" s="48" t="n">
        <v>1000</v>
      </c>
      <c r="H75" s="48" t="n">
        <f aca="false">+F75*G75</f>
        <v>59400</v>
      </c>
      <c r="I75" s="3"/>
      <c r="J75" s="3"/>
      <c r="K75" s="3"/>
      <c r="L75" s="3"/>
      <c r="M75" s="3"/>
      <c r="N75" s="3"/>
    </row>
    <row r="76" customFormat="false" ht="17.35" hidden="false" customHeight="false" outlineLevel="0" collapsed="false">
      <c r="B76" s="46" t="n">
        <v>2</v>
      </c>
      <c r="C76" s="46" t="s">
        <v>278</v>
      </c>
      <c r="D76" s="58" t="s">
        <v>57</v>
      </c>
      <c r="E76" s="46" t="n">
        <v>2</v>
      </c>
      <c r="F76" s="143" t="n">
        <f aca="false">+E76*F32</f>
        <v>54</v>
      </c>
      <c r="G76" s="48" t="n">
        <v>50</v>
      </c>
      <c r="H76" s="48" t="n">
        <f aca="false">+F76*G76</f>
        <v>2700</v>
      </c>
      <c r="I76" s="3"/>
      <c r="J76" s="3"/>
      <c r="K76" s="3"/>
      <c r="L76" s="3"/>
      <c r="M76" s="3"/>
      <c r="N76" s="3"/>
    </row>
    <row r="77" customFormat="false" ht="17.35" hidden="false" customHeight="false" outlineLevel="0" collapsed="false">
      <c r="B77" s="46" t="n">
        <v>3</v>
      </c>
      <c r="C77" s="46" t="s">
        <v>279</v>
      </c>
      <c r="D77" s="58" t="s">
        <v>14</v>
      </c>
      <c r="E77" s="58" t="s">
        <v>280</v>
      </c>
      <c r="F77" s="60" t="n">
        <f aca="false">R32</f>
        <v>0</v>
      </c>
      <c r="G77" s="69" t="n">
        <v>55000</v>
      </c>
      <c r="H77" s="48" t="n">
        <f aca="false">+F77*G77</f>
        <v>0</v>
      </c>
      <c r="I77" s="3"/>
      <c r="J77" s="3"/>
      <c r="K77" s="3"/>
      <c r="L77" s="3"/>
      <c r="M77" s="3"/>
      <c r="N77" s="3"/>
    </row>
    <row r="78" customFormat="false" ht="19.7" hidden="false" customHeight="false" outlineLevel="0" collapsed="false">
      <c r="B78" s="72"/>
      <c r="C78" s="72"/>
      <c r="D78" s="72"/>
      <c r="E78" s="72"/>
      <c r="F78" s="72"/>
      <c r="G78" s="73" t="s">
        <v>19</v>
      </c>
      <c r="H78" s="74" t="n">
        <f aca="false">SUM(H75:H77)</f>
        <v>62100</v>
      </c>
      <c r="I78" s="3"/>
      <c r="J78" s="3"/>
      <c r="K78" s="3"/>
      <c r="L78" s="3"/>
      <c r="M78" s="3"/>
      <c r="N78" s="3"/>
    </row>
    <row r="79" customFormat="false" ht="17.35" hidden="false" customHeight="false" outlineLevel="0" collapsed="false">
      <c r="B79" s="72"/>
      <c r="C79" s="72"/>
      <c r="D79" s="72"/>
      <c r="E79" s="72"/>
      <c r="F79" s="72"/>
      <c r="G79" s="3"/>
      <c r="H79" s="3"/>
      <c r="I79" s="3"/>
      <c r="J79" s="3"/>
      <c r="K79" s="3"/>
      <c r="L79" s="3"/>
      <c r="M79" s="3"/>
      <c r="N79" s="3"/>
    </row>
    <row r="80" customFormat="false" ht="24.45" hidden="false" customHeight="false" outlineLevel="0" collapsed="false">
      <c r="B80" s="75" t="s">
        <v>281</v>
      </c>
      <c r="C80" s="75"/>
      <c r="D80" s="75"/>
      <c r="E80" s="76"/>
      <c r="F80" s="75" t="s">
        <v>282</v>
      </c>
      <c r="G80" s="75"/>
      <c r="H80" s="75"/>
      <c r="I80" s="3"/>
      <c r="J80" s="75" t="s">
        <v>283</v>
      </c>
      <c r="K80" s="75"/>
      <c r="L80" s="75"/>
      <c r="M80" s="3"/>
      <c r="N80" s="75" t="s">
        <v>284</v>
      </c>
      <c r="O80" s="75"/>
      <c r="P80" s="75"/>
    </row>
    <row r="81" customFormat="false" ht="37.3" hidden="false" customHeight="false" outlineLevel="0" collapsed="false">
      <c r="B81" s="77" t="s">
        <v>95</v>
      </c>
      <c r="C81" s="77" t="s">
        <v>96</v>
      </c>
      <c r="D81" s="77" t="s">
        <v>97</v>
      </c>
      <c r="E81" s="3"/>
      <c r="F81" s="77" t="s">
        <v>95</v>
      </c>
      <c r="G81" s="77" t="s">
        <v>96</v>
      </c>
      <c r="H81" s="77" t="s">
        <v>97</v>
      </c>
      <c r="I81" s="3"/>
      <c r="J81" s="77" t="s">
        <v>95</v>
      </c>
      <c r="K81" s="77" t="s">
        <v>96</v>
      </c>
      <c r="L81" s="77" t="s">
        <v>97</v>
      </c>
      <c r="M81" s="3"/>
      <c r="N81" s="77" t="s">
        <v>95</v>
      </c>
      <c r="O81" s="77" t="s">
        <v>96</v>
      </c>
      <c r="P81" s="77" t="s">
        <v>97</v>
      </c>
    </row>
    <row r="82" customFormat="false" ht="22.05" hidden="false" customHeight="false" outlineLevel="0" collapsed="false">
      <c r="B82" s="78" t="n">
        <v>1</v>
      </c>
      <c r="C82" s="79" t="s">
        <v>98</v>
      </c>
      <c r="D82" s="80" t="n">
        <f aca="false">+J39*4</f>
        <v>552</v>
      </c>
      <c r="E82" s="3"/>
      <c r="F82" s="78" t="n">
        <v>1</v>
      </c>
      <c r="G82" s="79" t="s">
        <v>98</v>
      </c>
      <c r="H82" s="80" t="n">
        <f aca="false">(J39+J46)*4</f>
        <v>774.2</v>
      </c>
      <c r="I82" s="3"/>
      <c r="J82" s="78" t="n">
        <v>1</v>
      </c>
      <c r="K82" s="79" t="s">
        <v>98</v>
      </c>
      <c r="L82" s="80" t="n">
        <f aca="false">(J39+J51)*4</f>
        <v>666</v>
      </c>
      <c r="M82" s="3"/>
      <c r="N82" s="78" t="n">
        <v>1</v>
      </c>
      <c r="O82" s="79" t="s">
        <v>98</v>
      </c>
      <c r="P82" s="80" t="n">
        <f aca="false">+J52*4</f>
        <v>888.2</v>
      </c>
    </row>
    <row r="83" customFormat="false" ht="22.05" hidden="false" customHeight="false" outlineLevel="0" collapsed="false">
      <c r="B83" s="78" t="n">
        <v>2</v>
      </c>
      <c r="C83" s="79" t="s">
        <v>99</v>
      </c>
      <c r="D83" s="80" t="n">
        <f aca="false">+H64/3650</f>
        <v>708.450410958904</v>
      </c>
      <c r="E83" s="3"/>
      <c r="F83" s="78" t="n">
        <v>2</v>
      </c>
      <c r="G83" s="79" t="s">
        <v>99</v>
      </c>
      <c r="H83" s="80" t="n">
        <f aca="false">+(H64+H71)/3650</f>
        <v>716.587397260274</v>
      </c>
      <c r="I83" s="3"/>
      <c r="J83" s="78" t="n">
        <v>2</v>
      </c>
      <c r="K83" s="79" t="s">
        <v>99</v>
      </c>
      <c r="L83" s="80" t="n">
        <f aca="false">+(H64+H78)/3650</f>
        <v>725.464109589041</v>
      </c>
      <c r="M83" s="3"/>
      <c r="N83" s="78" t="n">
        <v>2</v>
      </c>
      <c r="O83" s="79" t="s">
        <v>99</v>
      </c>
      <c r="P83" s="80" t="n">
        <f aca="false">+(H64+H71+H78)/3650</f>
        <v>733.601095890411</v>
      </c>
    </row>
    <row r="84" customFormat="false" ht="22.05" hidden="false" customHeight="false" outlineLevel="0" collapsed="false">
      <c r="B84" s="78" t="n">
        <v>3</v>
      </c>
      <c r="C84" s="79" t="s">
        <v>100</v>
      </c>
      <c r="D84" s="80" t="n">
        <f aca="false">+U32*10</f>
        <v>162</v>
      </c>
      <c r="E84" s="3"/>
      <c r="F84" s="78" t="n">
        <v>3</v>
      </c>
      <c r="G84" s="79" t="s">
        <v>100</v>
      </c>
      <c r="H84" s="80" t="n">
        <f aca="false">+U32*15</f>
        <v>243</v>
      </c>
      <c r="I84" s="3"/>
      <c r="J84" s="78" t="n">
        <v>3</v>
      </c>
      <c r="K84" s="79" t="s">
        <v>100</v>
      </c>
      <c r="L84" s="80" t="n">
        <f aca="false">+T32*15</f>
        <v>0</v>
      </c>
      <c r="M84" s="3"/>
      <c r="N84" s="78" t="n">
        <v>3</v>
      </c>
      <c r="O84" s="79" t="s">
        <v>100</v>
      </c>
      <c r="P84" s="80" t="n">
        <f aca="false">+V32*12</f>
        <v>194.4</v>
      </c>
    </row>
    <row r="85" customFormat="false" ht="22.05" hidden="false" customHeight="false" outlineLevel="0" collapsed="false">
      <c r="B85" s="78" t="n">
        <v>4</v>
      </c>
      <c r="C85" s="79" t="s">
        <v>101</v>
      </c>
      <c r="D85" s="80" t="n">
        <f aca="false">+U32*0</f>
        <v>0</v>
      </c>
      <c r="E85" s="3"/>
      <c r="F85" s="78" t="n">
        <v>4</v>
      </c>
      <c r="G85" s="79" t="s">
        <v>101</v>
      </c>
      <c r="H85" s="80" t="n">
        <f aca="false">+S32*0</f>
        <v>0</v>
      </c>
      <c r="I85" s="3"/>
      <c r="J85" s="78" t="n">
        <v>4</v>
      </c>
      <c r="K85" s="79" t="s">
        <v>101</v>
      </c>
      <c r="L85" s="80" t="n">
        <f aca="false">+T32*0</f>
        <v>0</v>
      </c>
      <c r="M85" s="3"/>
      <c r="N85" s="78" t="n">
        <v>4</v>
      </c>
      <c r="O85" s="79" t="s">
        <v>101</v>
      </c>
      <c r="P85" s="80" t="n">
        <f aca="false">+V32*0</f>
        <v>0</v>
      </c>
    </row>
    <row r="86" customFormat="false" ht="22.05" hidden="false" customHeight="false" outlineLevel="0" collapsed="false">
      <c r="B86" s="3"/>
      <c r="C86" s="81" t="s">
        <v>19</v>
      </c>
      <c r="D86" s="80" t="n">
        <f aca="false">SUM(D82:D85)</f>
        <v>1422.4504109589</v>
      </c>
      <c r="E86" s="3"/>
      <c r="F86" s="3"/>
      <c r="G86" s="81" t="s">
        <v>19</v>
      </c>
      <c r="H86" s="80" t="n">
        <f aca="false">SUM(H82:H85)</f>
        <v>1733.78739726027</v>
      </c>
      <c r="I86" s="3"/>
      <c r="J86" s="3"/>
      <c r="K86" s="81" t="s">
        <v>19</v>
      </c>
      <c r="L86" s="80" t="n">
        <f aca="false">SUM(L82:L85)</f>
        <v>1391.46410958904</v>
      </c>
      <c r="M86" s="3"/>
      <c r="N86" s="3"/>
      <c r="O86" s="81" t="s">
        <v>19</v>
      </c>
      <c r="P86" s="80" t="n">
        <f aca="false">SUM(P82:P85)</f>
        <v>1816.20109589041</v>
      </c>
    </row>
    <row r="87" customFormat="false" ht="22.05" hidden="false" customHeight="false" outlineLevel="0" collapsed="false">
      <c r="B87" s="3"/>
      <c r="C87" s="81" t="s">
        <v>102</v>
      </c>
      <c r="D87" s="82" t="n">
        <f aca="false">+D86*30%</f>
        <v>426.735123287671</v>
      </c>
      <c r="E87" s="3"/>
      <c r="F87" s="3"/>
      <c r="G87" s="81" t="s">
        <v>102</v>
      </c>
      <c r="H87" s="82" t="n">
        <f aca="false">+H86*30%</f>
        <v>520.136219178082</v>
      </c>
      <c r="I87" s="3"/>
      <c r="J87" s="3"/>
      <c r="K87" s="81" t="s">
        <v>102</v>
      </c>
      <c r="L87" s="82" t="n">
        <f aca="false">+L86*30%</f>
        <v>417.439232876712</v>
      </c>
      <c r="M87" s="3"/>
      <c r="N87" s="3"/>
      <c r="O87" s="81" t="s">
        <v>102</v>
      </c>
      <c r="P87" s="82" t="n">
        <f aca="false">+P86*30%</f>
        <v>544.860328767123</v>
      </c>
    </row>
    <row r="88" customFormat="false" ht="22.05" hidden="false" customHeight="false" outlineLevel="0" collapsed="false">
      <c r="B88" s="3"/>
      <c r="C88" s="83" t="s">
        <v>103</v>
      </c>
      <c r="D88" s="84" t="n">
        <f aca="false">+D86+D87</f>
        <v>1849.18553424658</v>
      </c>
      <c r="E88" s="3"/>
      <c r="F88" s="3"/>
      <c r="G88" s="83" t="s">
        <v>103</v>
      </c>
      <c r="H88" s="84" t="n">
        <f aca="false">+H86+H87</f>
        <v>2253.92361643836</v>
      </c>
      <c r="I88" s="3"/>
      <c r="J88" s="3"/>
      <c r="K88" s="83" t="s">
        <v>103</v>
      </c>
      <c r="L88" s="84" t="n">
        <f aca="false">+L86+L87</f>
        <v>1808.90334246575</v>
      </c>
      <c r="M88" s="3"/>
      <c r="N88" s="3"/>
      <c r="O88" s="83" t="s">
        <v>103</v>
      </c>
      <c r="P88" s="84" t="n">
        <f aca="false">+P86+P87</f>
        <v>2361.06142465753</v>
      </c>
    </row>
    <row r="89" customFormat="false" ht="22.05" hidden="false" customHeight="false" outlineLevel="0" collapsed="false">
      <c r="B89" s="3"/>
      <c r="C89" s="87" t="s">
        <v>104</v>
      </c>
      <c r="D89" s="88" t="n">
        <f aca="false">+D86/U32</f>
        <v>87.8055809233891</v>
      </c>
      <c r="E89" s="3"/>
      <c r="F89" s="3"/>
      <c r="G89" s="87" t="s">
        <v>104</v>
      </c>
      <c r="H89" s="88" t="n">
        <f aca="false">+H86/V32</f>
        <v>107.023913411128</v>
      </c>
      <c r="I89" s="3"/>
      <c r="J89" s="3"/>
      <c r="K89" s="87" t="s">
        <v>104</v>
      </c>
      <c r="L89" s="88" t="e">
        <f aca="false">+L86/T32</f>
        <v>#DIV/0!</v>
      </c>
      <c r="M89" s="3"/>
      <c r="N89" s="3"/>
      <c r="O89" s="87" t="s">
        <v>104</v>
      </c>
      <c r="P89" s="88" t="n">
        <f aca="false">+P86/V32</f>
        <v>112.111178758667</v>
      </c>
    </row>
    <row r="90" customFormat="false" ht="37.3" hidden="false" customHeight="false" outlineLevel="0" collapsed="false">
      <c r="B90" s="3"/>
      <c r="C90" s="89" t="s">
        <v>105</v>
      </c>
      <c r="D90" s="90" t="n">
        <f aca="false">+D88/U32</f>
        <v>114.147255200406</v>
      </c>
      <c r="E90" s="3"/>
      <c r="F90" s="3"/>
      <c r="G90" s="89" t="s">
        <v>105</v>
      </c>
      <c r="H90" s="90" t="n">
        <f aca="false">+H88/V32</f>
        <v>139.131087434466</v>
      </c>
      <c r="I90" s="3"/>
      <c r="J90" s="3"/>
      <c r="K90" s="89" t="s">
        <v>105</v>
      </c>
      <c r="L90" s="90" t="e">
        <f aca="false">+L88/T32</f>
        <v>#DIV/0!</v>
      </c>
      <c r="M90" s="3"/>
      <c r="N90" s="3"/>
      <c r="O90" s="89" t="s">
        <v>105</v>
      </c>
      <c r="P90" s="90" t="n">
        <f aca="false">+P88/V32</f>
        <v>145.744532386268</v>
      </c>
    </row>
    <row r="91" customFormat="false" ht="17.35" hidden="false" customHeight="false" outlineLevel="0" collapsed="false">
      <c r="I91" s="3"/>
      <c r="J91" s="67"/>
      <c r="K91" s="67"/>
      <c r="L91" s="68"/>
      <c r="M91" s="3"/>
    </row>
    <row r="92" customFormat="false" ht="17.35" hidden="false" customHeight="false" outlineLevel="0" collapsed="false">
      <c r="I92" s="3"/>
      <c r="J92" s="67"/>
      <c r="K92" s="67"/>
      <c r="L92" s="68"/>
      <c r="M92" s="3"/>
    </row>
    <row r="93" customFormat="false" ht="17.35" hidden="false" customHeight="false" outlineLevel="0" collapsed="false">
      <c r="I93" s="3"/>
      <c r="J93" s="67"/>
      <c r="K93" s="67"/>
      <c r="L93" s="68"/>
      <c r="M93" s="3"/>
    </row>
    <row r="94" customFormat="false" ht="17.35" hidden="false" customHeight="false" outlineLevel="0" collapsed="false">
      <c r="I94" s="3"/>
      <c r="J94" s="67"/>
      <c r="K94" s="67"/>
      <c r="L94" s="68"/>
      <c r="M94" s="3"/>
    </row>
  </sheetData>
  <mergeCells count="20">
    <mergeCell ref="B3:V3"/>
    <mergeCell ref="B32:C32"/>
    <mergeCell ref="B34:J34"/>
    <mergeCell ref="B40:M40"/>
    <mergeCell ref="K41:M41"/>
    <mergeCell ref="K42:M42"/>
    <mergeCell ref="K43:M43"/>
    <mergeCell ref="K44:M44"/>
    <mergeCell ref="K45:M45"/>
    <mergeCell ref="B47:M47"/>
    <mergeCell ref="K48:M48"/>
    <mergeCell ref="K49:M49"/>
    <mergeCell ref="K50:M50"/>
    <mergeCell ref="B53:H53"/>
    <mergeCell ref="B66:H66"/>
    <mergeCell ref="B73:H73"/>
    <mergeCell ref="B80:D80"/>
    <mergeCell ref="F80:H80"/>
    <mergeCell ref="J80:L80"/>
    <mergeCell ref="N80:P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V10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62" activePane="bottomLeft" state="frozen"/>
      <selection pane="topLeft" activeCell="A1" activeCellId="0" sqref="A1"/>
      <selection pane="bottomLeft" activeCell="K73" activeCellId="0" sqref="K73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31.33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  <col collapsed="false" customWidth="true" hidden="false" outlineLevel="0" max="18" min="18" style="0" width="16.84"/>
    <col collapsed="false" customWidth="true" hidden="false" outlineLevel="0" max="19" min="19" style="0" width="22.33"/>
    <col collapsed="false" customWidth="true" hidden="false" outlineLevel="0" max="20" min="20" style="0" width="19.67"/>
  </cols>
  <sheetData>
    <row r="3" customFormat="false" ht="22.05" hidden="false" customHeight="false" outlineLevel="0" collapsed="false">
      <c r="B3" s="127" t="s">
        <v>231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customFormat="false" ht="44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233</v>
      </c>
      <c r="I4" s="10" t="s">
        <v>234</v>
      </c>
      <c r="J4" s="10" t="s">
        <v>235</v>
      </c>
      <c r="K4" s="10" t="s">
        <v>236</v>
      </c>
      <c r="L4" s="10" t="s">
        <v>12</v>
      </c>
      <c r="M4" s="10" t="s">
        <v>237</v>
      </c>
      <c r="N4" s="10" t="s">
        <v>238</v>
      </c>
      <c r="O4" s="10" t="s">
        <v>11</v>
      </c>
      <c r="P4" s="10" t="s">
        <v>13</v>
      </c>
      <c r="Q4" s="10" t="s">
        <v>239</v>
      </c>
      <c r="R4" s="10" t="s">
        <v>240</v>
      </c>
      <c r="S4" s="10" t="s">
        <v>15</v>
      </c>
      <c r="T4" s="10" t="s">
        <v>241</v>
      </c>
      <c r="U4" s="10" t="s">
        <v>242</v>
      </c>
      <c r="V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960</v>
      </c>
      <c r="E5" s="15" t="n">
        <v>1740</v>
      </c>
      <c r="F5" s="15" t="n">
        <v>1</v>
      </c>
      <c r="G5" s="15" t="n">
        <v>300</v>
      </c>
      <c r="H5" s="15" t="n">
        <v>500</v>
      </c>
      <c r="I5" s="20" t="n">
        <f aca="false">+E5-H5</f>
        <v>1240</v>
      </c>
      <c r="J5" s="20" t="n">
        <f aca="false">+E5-G5</f>
        <v>1440</v>
      </c>
      <c r="K5" s="15" t="n">
        <f aca="false">+E5-G5-H5</f>
        <v>940</v>
      </c>
      <c r="L5" s="15" t="n">
        <f aca="false">+I5*5</f>
        <v>6200</v>
      </c>
      <c r="M5" s="15" t="n">
        <f aca="false">+J5*F5</f>
        <v>1440</v>
      </c>
      <c r="N5" s="15" t="n">
        <f aca="false">+K5*F5</f>
        <v>940</v>
      </c>
      <c r="O5" s="15" t="n">
        <f aca="false">+D5*F5</f>
        <v>960</v>
      </c>
      <c r="P5" s="15" t="n">
        <f aca="false">+E5*F5</f>
        <v>1740</v>
      </c>
      <c r="Q5" s="15" t="n">
        <f aca="false">+L5*D5/1000000</f>
        <v>5.952</v>
      </c>
      <c r="R5" s="96" t="n">
        <f aca="false">+H5*D5/1000000</f>
        <v>0.48</v>
      </c>
      <c r="S5" s="17" t="n">
        <f aca="false">+D5*I5/1000000*F5</f>
        <v>1.1904</v>
      </c>
      <c r="T5" s="16" t="n">
        <f aca="false">+D5*J5/1000000*F5</f>
        <v>1.3824</v>
      </c>
      <c r="U5" s="16" t="n">
        <f aca="false">+((D5*K5)/1000000)*F5</f>
        <v>0.9024</v>
      </c>
      <c r="V5" s="16" t="n">
        <f aca="false">+D5*E5/1000000*F5</f>
        <v>1.6704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960</v>
      </c>
      <c r="E6" s="15" t="n">
        <v>1160</v>
      </c>
      <c r="F6" s="15" t="n">
        <v>1</v>
      </c>
      <c r="G6" s="15" t="n">
        <v>300</v>
      </c>
      <c r="H6" s="15" t="n">
        <v>300</v>
      </c>
      <c r="I6" s="20" t="n">
        <f aca="false">+E6-H6</f>
        <v>860</v>
      </c>
      <c r="J6" s="20" t="n">
        <f aca="false">+E6-G6</f>
        <v>860</v>
      </c>
      <c r="K6" s="15" t="n">
        <f aca="false">+E6-G6-H6</f>
        <v>560</v>
      </c>
      <c r="L6" s="15" t="n">
        <f aca="false">+I6*5</f>
        <v>4300</v>
      </c>
      <c r="M6" s="15" t="n">
        <f aca="false">+J6*F6</f>
        <v>860</v>
      </c>
      <c r="N6" s="15" t="n">
        <f aca="false">+K6*F6</f>
        <v>560</v>
      </c>
      <c r="O6" s="15" t="n">
        <f aca="false">+D6*F6</f>
        <v>960</v>
      </c>
      <c r="P6" s="15" t="n">
        <f aca="false">+E6*F6</f>
        <v>1160</v>
      </c>
      <c r="Q6" s="15" t="n">
        <f aca="false">+L6*D6/1000000</f>
        <v>4.128</v>
      </c>
      <c r="R6" s="96" t="n">
        <f aca="false">+H6*D6/1000000</f>
        <v>0.288</v>
      </c>
      <c r="S6" s="17" t="n">
        <f aca="false">+D6*I6/1000000*F6</f>
        <v>0.8256</v>
      </c>
      <c r="T6" s="16" t="n">
        <f aca="false">+D6*J6/1000000*F6</f>
        <v>0.8256</v>
      </c>
      <c r="U6" s="16" t="n">
        <f aca="false">+((D6*K6)/1000000)*F6</f>
        <v>0.5376</v>
      </c>
      <c r="V6" s="16" t="n">
        <f aca="false">+D6*E6/1000000*F6</f>
        <v>1.1136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950</v>
      </c>
      <c r="E7" s="15" t="n">
        <v>2450</v>
      </c>
      <c r="F7" s="15" t="n">
        <v>1</v>
      </c>
      <c r="G7" s="15" t="n">
        <v>300</v>
      </c>
      <c r="H7" s="15" t="n">
        <v>500</v>
      </c>
      <c r="I7" s="20" t="n">
        <f aca="false">+E7-H7</f>
        <v>1950</v>
      </c>
      <c r="J7" s="20" t="n">
        <f aca="false">+E7-G7</f>
        <v>2150</v>
      </c>
      <c r="K7" s="15" t="n">
        <f aca="false">+E7-G7-H7</f>
        <v>1650</v>
      </c>
      <c r="L7" s="15" t="n">
        <f aca="false">+I7*5</f>
        <v>9750</v>
      </c>
      <c r="M7" s="15" t="n">
        <f aca="false">+J7*F7</f>
        <v>2150</v>
      </c>
      <c r="N7" s="15" t="n">
        <f aca="false">+K7*F7</f>
        <v>1650</v>
      </c>
      <c r="O7" s="15" t="n">
        <f aca="false">+D7*F7</f>
        <v>950</v>
      </c>
      <c r="P7" s="15" t="n">
        <f aca="false">+E7*F7</f>
        <v>2450</v>
      </c>
      <c r="Q7" s="15" t="n">
        <f aca="false">+L7*D7/1000000</f>
        <v>9.2625</v>
      </c>
      <c r="R7" s="96" t="n">
        <f aca="false">+H7*D7/1000000</f>
        <v>0.475</v>
      </c>
      <c r="S7" s="17" t="n">
        <f aca="false">+D7*I7/1000000*F7</f>
        <v>1.8525</v>
      </c>
      <c r="T7" s="16" t="n">
        <f aca="false">+D7*J7/1000000*F7</f>
        <v>2.0425</v>
      </c>
      <c r="U7" s="16" t="n">
        <f aca="false">+((D7*K7)/1000000)*F7</f>
        <v>1.5675</v>
      </c>
      <c r="V7" s="16" t="n">
        <f aca="false">+D7*E7/1000000*F7</f>
        <v>2.3275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 t="n">
        <v>740</v>
      </c>
      <c r="E8" s="15" t="n">
        <v>2010</v>
      </c>
      <c r="F8" s="15" t="n">
        <v>1</v>
      </c>
      <c r="G8" s="15" t="n">
        <v>300</v>
      </c>
      <c r="H8" s="15" t="n">
        <v>500</v>
      </c>
      <c r="I8" s="20" t="n">
        <f aca="false">+E8-H8</f>
        <v>1510</v>
      </c>
      <c r="J8" s="20" t="n">
        <f aca="false">+E8-G8</f>
        <v>1710</v>
      </c>
      <c r="K8" s="15" t="n">
        <f aca="false">+E8-G8-H8</f>
        <v>1210</v>
      </c>
      <c r="L8" s="15" t="n">
        <f aca="false">+I8*5</f>
        <v>7550</v>
      </c>
      <c r="M8" s="15" t="n">
        <f aca="false">+J8*F8</f>
        <v>1710</v>
      </c>
      <c r="N8" s="15" t="n">
        <f aca="false">+K8*F8</f>
        <v>1210</v>
      </c>
      <c r="O8" s="15" t="n">
        <f aca="false">+D8*F8</f>
        <v>740</v>
      </c>
      <c r="P8" s="15" t="n">
        <f aca="false">+E8*F8</f>
        <v>2010</v>
      </c>
      <c r="Q8" s="15" t="n">
        <f aca="false">+L8*D8/1000000</f>
        <v>5.587</v>
      </c>
      <c r="R8" s="96" t="n">
        <f aca="false">+H8*D8/1000000</f>
        <v>0.37</v>
      </c>
      <c r="S8" s="17" t="n">
        <f aca="false">+D8*I8/1000000*F8</f>
        <v>1.1174</v>
      </c>
      <c r="T8" s="16" t="n">
        <f aca="false">+D8*J8/1000000*F8</f>
        <v>1.2654</v>
      </c>
      <c r="U8" s="16" t="n">
        <f aca="false">+((D8*K8)/1000000)*F8</f>
        <v>0.8954</v>
      </c>
      <c r="V8" s="16" t="n">
        <f aca="false">+D8*E8/1000000*F8</f>
        <v>1.4874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 t="n">
        <v>810</v>
      </c>
      <c r="E9" s="15" t="n">
        <v>2030</v>
      </c>
      <c r="F9" s="15" t="n">
        <v>2</v>
      </c>
      <c r="G9" s="15" t="n">
        <v>300</v>
      </c>
      <c r="H9" s="15" t="n">
        <v>500</v>
      </c>
      <c r="I9" s="20" t="n">
        <f aca="false">+E9-H9</f>
        <v>1530</v>
      </c>
      <c r="J9" s="20" t="n">
        <f aca="false">+E9-G9</f>
        <v>1730</v>
      </c>
      <c r="K9" s="15" t="n">
        <f aca="false">+E9-G9-H9</f>
        <v>1230</v>
      </c>
      <c r="L9" s="15" t="n">
        <f aca="false">+I9*5</f>
        <v>7650</v>
      </c>
      <c r="M9" s="15" t="n">
        <f aca="false">+J9*F9</f>
        <v>3460</v>
      </c>
      <c r="N9" s="15" t="n">
        <f aca="false">+K9*F9</f>
        <v>2460</v>
      </c>
      <c r="O9" s="15" t="n">
        <f aca="false">+D9*F9</f>
        <v>1620</v>
      </c>
      <c r="P9" s="15" t="n">
        <f aca="false">+E9*F9</f>
        <v>4060</v>
      </c>
      <c r="Q9" s="15" t="n">
        <f aca="false">+L9*D9/1000000</f>
        <v>6.1965</v>
      </c>
      <c r="R9" s="96" t="n">
        <f aca="false">+H9*D9/1000000</f>
        <v>0.405</v>
      </c>
      <c r="S9" s="17" t="n">
        <f aca="false">+D9*I9/1000000*F9</f>
        <v>2.4786</v>
      </c>
      <c r="T9" s="16" t="n">
        <f aca="false">+D9*J9/1000000*F9</f>
        <v>2.8026</v>
      </c>
      <c r="U9" s="16" t="n">
        <f aca="false">+((D9*K9)/1000000)*F9</f>
        <v>1.9926</v>
      </c>
      <c r="V9" s="16" t="n">
        <f aca="false">+D9*E9/1000000*F9</f>
        <v>3.2886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 t="n">
        <v>820</v>
      </c>
      <c r="E10" s="15" t="n">
        <v>1780</v>
      </c>
      <c r="F10" s="15" t="n">
        <v>1</v>
      </c>
      <c r="G10" s="15" t="n">
        <v>300</v>
      </c>
      <c r="H10" s="15" t="n">
        <v>500</v>
      </c>
      <c r="I10" s="20" t="n">
        <f aca="false">+E10-H10</f>
        <v>1280</v>
      </c>
      <c r="J10" s="20" t="n">
        <f aca="false">+E10-G10</f>
        <v>1480</v>
      </c>
      <c r="K10" s="15" t="n">
        <f aca="false">+E10-G10-H10</f>
        <v>980</v>
      </c>
      <c r="L10" s="15" t="n">
        <f aca="false">+I10*5</f>
        <v>6400</v>
      </c>
      <c r="M10" s="15" t="n">
        <f aca="false">+J10*F10</f>
        <v>1480</v>
      </c>
      <c r="N10" s="15" t="n">
        <f aca="false">+K10*F10</f>
        <v>980</v>
      </c>
      <c r="O10" s="15" t="n">
        <f aca="false">+D10*F10</f>
        <v>820</v>
      </c>
      <c r="P10" s="15" t="n">
        <f aca="false">+E10*F10</f>
        <v>1780</v>
      </c>
      <c r="Q10" s="15" t="n">
        <f aca="false">+L10*D10/1000000</f>
        <v>5.248</v>
      </c>
      <c r="R10" s="96" t="n">
        <f aca="false">+H10*D10/1000000</f>
        <v>0.41</v>
      </c>
      <c r="S10" s="17" t="n">
        <f aca="false">+D10*I10/1000000*F10</f>
        <v>1.0496</v>
      </c>
      <c r="T10" s="16" t="n">
        <f aca="false">+D10*J10/1000000*F10</f>
        <v>1.2136</v>
      </c>
      <c r="U10" s="16" t="n">
        <f aca="false">+((D10*K10)/1000000)*F10</f>
        <v>0.8036</v>
      </c>
      <c r="V10" s="16" t="n">
        <f aca="false">+D10*E10/1000000*F10</f>
        <v>1.4596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 t="n">
        <v>750</v>
      </c>
      <c r="E11" s="15" t="n">
        <v>1110</v>
      </c>
      <c r="F11" s="15" t="n">
        <v>2</v>
      </c>
      <c r="G11" s="15" t="n">
        <v>300</v>
      </c>
      <c r="H11" s="15" t="n">
        <v>300</v>
      </c>
      <c r="I11" s="20" t="n">
        <f aca="false">+E11-H11</f>
        <v>810</v>
      </c>
      <c r="J11" s="20" t="n">
        <f aca="false">+E11-G11</f>
        <v>810</v>
      </c>
      <c r="K11" s="15" t="n">
        <f aca="false">+E11-G11-H11</f>
        <v>510</v>
      </c>
      <c r="L11" s="15" t="n">
        <f aca="false">+I11*5</f>
        <v>4050</v>
      </c>
      <c r="M11" s="15" t="n">
        <f aca="false">+J11*F11</f>
        <v>1620</v>
      </c>
      <c r="N11" s="15" t="n">
        <f aca="false">+K11*F11</f>
        <v>1020</v>
      </c>
      <c r="O11" s="15" t="n">
        <f aca="false">+D11*F11</f>
        <v>1500</v>
      </c>
      <c r="P11" s="15" t="n">
        <f aca="false">+E11*F11</f>
        <v>2220</v>
      </c>
      <c r="Q11" s="15" t="n">
        <f aca="false">+L11*D11/1000000</f>
        <v>3.0375</v>
      </c>
      <c r="R11" s="96" t="n">
        <f aca="false">+H11*D11/1000000</f>
        <v>0.225</v>
      </c>
      <c r="S11" s="17" t="n">
        <f aca="false">+D11*I11/1000000*F11</f>
        <v>1.215</v>
      </c>
      <c r="T11" s="16" t="n">
        <f aca="false">+D11*J11/1000000*F11</f>
        <v>1.215</v>
      </c>
      <c r="U11" s="16" t="n">
        <f aca="false">+((D11*K11)/1000000)*F11</f>
        <v>0.765</v>
      </c>
      <c r="V11" s="16" t="n">
        <f aca="false">+D11*E11/1000000*F11</f>
        <v>1.665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 t="n">
        <v>750</v>
      </c>
      <c r="E12" s="15" t="n">
        <v>1720</v>
      </c>
      <c r="F12" s="15" t="n">
        <v>1</v>
      </c>
      <c r="G12" s="15" t="n">
        <v>300</v>
      </c>
      <c r="H12" s="15" t="n">
        <v>500</v>
      </c>
      <c r="I12" s="20" t="n">
        <f aca="false">+E12-H12</f>
        <v>1220</v>
      </c>
      <c r="J12" s="20" t="n">
        <f aca="false">+E12-G12</f>
        <v>1420</v>
      </c>
      <c r="K12" s="15" t="n">
        <f aca="false">+E12-G12-H12</f>
        <v>920</v>
      </c>
      <c r="L12" s="15" t="n">
        <f aca="false">+I12*5</f>
        <v>6100</v>
      </c>
      <c r="M12" s="15" t="n">
        <f aca="false">+J12*F12</f>
        <v>1420</v>
      </c>
      <c r="N12" s="15" t="n">
        <f aca="false">+K12*F12</f>
        <v>920</v>
      </c>
      <c r="O12" s="15" t="n">
        <f aca="false">+D12*F12</f>
        <v>750</v>
      </c>
      <c r="P12" s="15" t="n">
        <f aca="false">+E12*F12</f>
        <v>1720</v>
      </c>
      <c r="Q12" s="15" t="n">
        <f aca="false">+L12*D12/1000000</f>
        <v>4.575</v>
      </c>
      <c r="R12" s="96" t="n">
        <f aca="false">+H12*D12/1000000</f>
        <v>0.375</v>
      </c>
      <c r="S12" s="17" t="n">
        <f aca="false">+D12*I12/1000000*F12</f>
        <v>0.915</v>
      </c>
      <c r="T12" s="16" t="n">
        <f aca="false">+D12*J12/1000000*F12</f>
        <v>1.065</v>
      </c>
      <c r="U12" s="16" t="n">
        <f aca="false">+((D12*K12)/1000000)*F12</f>
        <v>0.69</v>
      </c>
      <c r="V12" s="16" t="n">
        <f aca="false">+D12*E12/1000000*F12</f>
        <v>1.29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 t="n">
        <v>820</v>
      </c>
      <c r="E13" s="15" t="n">
        <v>1990</v>
      </c>
      <c r="F13" s="15" t="n">
        <v>2</v>
      </c>
      <c r="G13" s="15" t="n">
        <v>300</v>
      </c>
      <c r="H13" s="15" t="n">
        <v>500</v>
      </c>
      <c r="I13" s="20" t="n">
        <f aca="false">+E13-H13</f>
        <v>1490</v>
      </c>
      <c r="J13" s="20" t="n">
        <f aca="false">+E13-G13</f>
        <v>1690</v>
      </c>
      <c r="K13" s="15" t="n">
        <f aca="false">+E13-G13-H13</f>
        <v>1190</v>
      </c>
      <c r="L13" s="15" t="n">
        <f aca="false">+I13*5</f>
        <v>7450</v>
      </c>
      <c r="M13" s="15" t="n">
        <f aca="false">+J13*F13</f>
        <v>3380</v>
      </c>
      <c r="N13" s="15" t="n">
        <f aca="false">+K13*F13</f>
        <v>2380</v>
      </c>
      <c r="O13" s="15" t="n">
        <f aca="false">+D13*F13</f>
        <v>1640</v>
      </c>
      <c r="P13" s="15" t="n">
        <f aca="false">+E13*F13</f>
        <v>3980</v>
      </c>
      <c r="Q13" s="15" t="n">
        <f aca="false">+L13*D13/1000000</f>
        <v>6.109</v>
      </c>
      <c r="R13" s="96" t="n">
        <f aca="false">+H13*D13/1000000</f>
        <v>0.41</v>
      </c>
      <c r="S13" s="17" t="n">
        <f aca="false">+D13*I13/1000000*F13</f>
        <v>2.4436</v>
      </c>
      <c r="T13" s="16" t="n">
        <f aca="false">+D13*J13/1000000*F13</f>
        <v>2.7716</v>
      </c>
      <c r="U13" s="16" t="n">
        <f aca="false">+((D13*K13)/1000000)*F13</f>
        <v>1.9516</v>
      </c>
      <c r="V13" s="16" t="n">
        <f aca="false">+D13*E13/1000000*F13</f>
        <v>3.2636</v>
      </c>
    </row>
    <row r="14" customFormat="false" ht="17.35" hidden="false" customHeight="false" outlineLevel="0" collapsed="false">
      <c r="B14" s="13" t="n">
        <v>10</v>
      </c>
      <c r="C14" s="14"/>
      <c r="D14" s="15" t="n">
        <v>740</v>
      </c>
      <c r="E14" s="15" t="n">
        <v>1940</v>
      </c>
      <c r="F14" s="15" t="n">
        <v>1</v>
      </c>
      <c r="G14" s="15" t="n">
        <v>300</v>
      </c>
      <c r="H14" s="15" t="n">
        <v>500</v>
      </c>
      <c r="I14" s="20" t="n">
        <f aca="false">+E14-H14</f>
        <v>1440</v>
      </c>
      <c r="J14" s="20" t="n">
        <f aca="false">+E14-G14</f>
        <v>1640</v>
      </c>
      <c r="K14" s="15" t="n">
        <f aca="false">+E14-G14-H14</f>
        <v>1140</v>
      </c>
      <c r="L14" s="15" t="n">
        <f aca="false">+I14*5</f>
        <v>7200</v>
      </c>
      <c r="M14" s="15" t="n">
        <f aca="false">+J14*F14</f>
        <v>1640</v>
      </c>
      <c r="N14" s="15" t="n">
        <f aca="false">+K14*F14</f>
        <v>1140</v>
      </c>
      <c r="O14" s="15" t="n">
        <f aca="false">+D14*F14</f>
        <v>740</v>
      </c>
      <c r="P14" s="15" t="n">
        <f aca="false">+E14*F14</f>
        <v>1940</v>
      </c>
      <c r="Q14" s="15" t="n">
        <f aca="false">+L14*D14/1000000</f>
        <v>5.328</v>
      </c>
      <c r="R14" s="96" t="n">
        <f aca="false">+H14*D14/1000000</f>
        <v>0.37</v>
      </c>
      <c r="S14" s="17" t="n">
        <f aca="false">+D14*I14/1000000*F14</f>
        <v>1.0656</v>
      </c>
      <c r="T14" s="16" t="n">
        <f aca="false">+D14*J14/1000000*F14</f>
        <v>1.2136</v>
      </c>
      <c r="U14" s="16" t="n">
        <f aca="false">+((D14*K14)/1000000)*F14</f>
        <v>0.8436</v>
      </c>
      <c r="V14" s="16" t="n">
        <f aca="false">+D14*E14/1000000*F14</f>
        <v>1.4356</v>
      </c>
    </row>
    <row r="15" customFormat="false" ht="17.35" hidden="false" customHeight="false" outlineLevel="0" collapsed="false">
      <c r="B15" s="13" t="n">
        <v>11</v>
      </c>
      <c r="C15" s="14"/>
      <c r="D15" s="15" t="n">
        <v>750</v>
      </c>
      <c r="E15" s="15" t="n">
        <v>1800</v>
      </c>
      <c r="F15" s="15" t="n">
        <v>1</v>
      </c>
      <c r="G15" s="15" t="n">
        <v>300</v>
      </c>
      <c r="H15" s="15" t="n">
        <v>500</v>
      </c>
      <c r="I15" s="20" t="n">
        <f aca="false">+E15-H15</f>
        <v>1300</v>
      </c>
      <c r="J15" s="20" t="n">
        <f aca="false">+E15-G15</f>
        <v>1500</v>
      </c>
      <c r="K15" s="15" t="n">
        <f aca="false">+E15-G15-H15</f>
        <v>1000</v>
      </c>
      <c r="L15" s="15" t="n">
        <f aca="false">+I15*5</f>
        <v>6500</v>
      </c>
      <c r="M15" s="15" t="n">
        <f aca="false">+J15*F15</f>
        <v>1500</v>
      </c>
      <c r="N15" s="15" t="n">
        <f aca="false">+K15*F15</f>
        <v>1000</v>
      </c>
      <c r="O15" s="15" t="n">
        <f aca="false">+D15*F15</f>
        <v>750</v>
      </c>
      <c r="P15" s="15" t="n">
        <f aca="false">+E15*F15</f>
        <v>1800</v>
      </c>
      <c r="Q15" s="15" t="n">
        <f aca="false">+L15*D15/1000000</f>
        <v>4.875</v>
      </c>
      <c r="R15" s="96" t="n">
        <f aca="false">+H15*D15/1000000</f>
        <v>0.375</v>
      </c>
      <c r="S15" s="17" t="n">
        <f aca="false">+D15*I15/1000000*F15</f>
        <v>0.975</v>
      </c>
      <c r="T15" s="16" t="n">
        <f aca="false">+D15*J15/1000000*F15</f>
        <v>1.125</v>
      </c>
      <c r="U15" s="16" t="n">
        <f aca="false">+((D15*K15)/1000000)*F15</f>
        <v>0.75</v>
      </c>
      <c r="V15" s="16" t="n">
        <f aca="false">+D15*E15/1000000*F15</f>
        <v>1.35</v>
      </c>
    </row>
    <row r="16" customFormat="false" ht="17.35" hidden="false" customHeight="false" outlineLevel="0" collapsed="false">
      <c r="B16" s="13" t="n">
        <v>12</v>
      </c>
      <c r="C16" s="14"/>
      <c r="D16" s="15" t="n">
        <v>765</v>
      </c>
      <c r="E16" s="15" t="n">
        <v>1110</v>
      </c>
      <c r="F16" s="15" t="n">
        <v>1</v>
      </c>
      <c r="G16" s="15" t="n">
        <v>300</v>
      </c>
      <c r="H16" s="15" t="n">
        <v>500</v>
      </c>
      <c r="I16" s="20" t="n">
        <f aca="false">+E16-H16</f>
        <v>610</v>
      </c>
      <c r="J16" s="20" t="n">
        <f aca="false">+E16-G16</f>
        <v>810</v>
      </c>
      <c r="K16" s="15" t="n">
        <f aca="false">+E16-G16-H16</f>
        <v>310</v>
      </c>
      <c r="L16" s="15" t="n">
        <f aca="false">+I16*5</f>
        <v>3050</v>
      </c>
      <c r="M16" s="15" t="n">
        <f aca="false">+J16*F16</f>
        <v>810</v>
      </c>
      <c r="N16" s="15" t="n">
        <f aca="false">+K16*F16</f>
        <v>310</v>
      </c>
      <c r="O16" s="15" t="n">
        <f aca="false">+D16*F16</f>
        <v>765</v>
      </c>
      <c r="P16" s="15" t="n">
        <f aca="false">+E16*F16</f>
        <v>1110</v>
      </c>
      <c r="Q16" s="15" t="n">
        <f aca="false">+L16*D16/1000000</f>
        <v>2.33325</v>
      </c>
      <c r="R16" s="96" t="n">
        <f aca="false">+H16*D16/1000000</f>
        <v>0.3825</v>
      </c>
      <c r="S16" s="17" t="n">
        <f aca="false">+D16*I16/1000000*F16</f>
        <v>0.46665</v>
      </c>
      <c r="T16" s="16" t="n">
        <f aca="false">+D16*J16/1000000*F16</f>
        <v>0.61965</v>
      </c>
      <c r="U16" s="16" t="n">
        <f aca="false">+((D16*K16)/1000000)*F16</f>
        <v>0.23715</v>
      </c>
      <c r="V16" s="16" t="n">
        <f aca="false">+D16*E16/1000000*F16</f>
        <v>0.84915</v>
      </c>
    </row>
    <row r="17" customFormat="false" ht="17.35" hidden="false" customHeight="false" outlineLevel="0" collapsed="false">
      <c r="B17" s="13" t="n">
        <v>13</v>
      </c>
      <c r="C17" s="14"/>
      <c r="D17" s="15" t="n">
        <v>765</v>
      </c>
      <c r="E17" s="15" t="n">
        <v>1760</v>
      </c>
      <c r="F17" s="15" t="n">
        <v>1</v>
      </c>
      <c r="G17" s="15" t="n">
        <v>300</v>
      </c>
      <c r="H17" s="15" t="n">
        <v>500</v>
      </c>
      <c r="I17" s="20" t="n">
        <f aca="false">+E17-H17</f>
        <v>1260</v>
      </c>
      <c r="J17" s="20" t="n">
        <f aca="false">+E17-G17</f>
        <v>1460</v>
      </c>
      <c r="K17" s="15" t="n">
        <f aca="false">+E17-G17-H17</f>
        <v>960</v>
      </c>
      <c r="L17" s="15" t="n">
        <f aca="false">+I17*5</f>
        <v>6300</v>
      </c>
      <c r="M17" s="15" t="n">
        <f aca="false">+J17*F17</f>
        <v>1460</v>
      </c>
      <c r="N17" s="15" t="n">
        <f aca="false">+K17*F17</f>
        <v>960</v>
      </c>
      <c r="O17" s="15" t="n">
        <f aca="false">+D17*F17</f>
        <v>765</v>
      </c>
      <c r="P17" s="15" t="n">
        <f aca="false">+E17*F17</f>
        <v>1760</v>
      </c>
      <c r="Q17" s="15" t="n">
        <f aca="false">+L17*D17/1000000</f>
        <v>4.8195</v>
      </c>
      <c r="R17" s="96" t="n">
        <f aca="false">+H17*D17/1000000</f>
        <v>0.3825</v>
      </c>
      <c r="S17" s="17" t="n">
        <f aca="false">+D17*I17/1000000*F17</f>
        <v>0.9639</v>
      </c>
      <c r="T17" s="16" t="n">
        <f aca="false">+D17*J17/1000000*F17</f>
        <v>1.1169</v>
      </c>
      <c r="U17" s="16" t="n">
        <f aca="false">+((D17*K17)/1000000)*F17</f>
        <v>0.7344</v>
      </c>
      <c r="V17" s="16" t="n">
        <f aca="false">+D17*E17/1000000*F17</f>
        <v>1.3464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 t="n">
        <v>0</v>
      </c>
      <c r="H18" s="15" t="n">
        <v>0</v>
      </c>
      <c r="I18" s="20" t="n">
        <f aca="false">+E18-H18</f>
        <v>0</v>
      </c>
      <c r="J18" s="20" t="n">
        <v>0</v>
      </c>
      <c r="K18" s="15" t="n">
        <f aca="false">+E18-G18-H18</f>
        <v>0</v>
      </c>
      <c r="L18" s="15" t="n">
        <f aca="false">+I18*5</f>
        <v>0</v>
      </c>
      <c r="M18" s="15" t="n">
        <f aca="false">+J18*F18</f>
        <v>0</v>
      </c>
      <c r="N18" s="15" t="n">
        <f aca="false">+K18*F18</f>
        <v>0</v>
      </c>
      <c r="O18" s="15" t="n">
        <f aca="false">+D18*F18</f>
        <v>0</v>
      </c>
      <c r="P18" s="15" t="n">
        <f aca="false">+E18*F18</f>
        <v>0</v>
      </c>
      <c r="Q18" s="15" t="n">
        <f aca="false">+L18*D18/1000000</f>
        <v>0</v>
      </c>
      <c r="R18" s="96" t="n">
        <f aca="false">+H18*D18/1000000</f>
        <v>0</v>
      </c>
      <c r="S18" s="17" t="n">
        <f aca="false">+D18*I18/1000000*F18</f>
        <v>0</v>
      </c>
      <c r="T18" s="16" t="n">
        <f aca="false">+D18*J18/1000000*F18</f>
        <v>0</v>
      </c>
      <c r="U18" s="16" t="n">
        <f aca="false">+((D18*K18)/1000000)*F18</f>
        <v>0</v>
      </c>
      <c r="V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 t="n">
        <v>0</v>
      </c>
      <c r="H19" s="15" t="n">
        <v>0</v>
      </c>
      <c r="I19" s="20" t="n">
        <v>0</v>
      </c>
      <c r="J19" s="20" t="n">
        <v>0</v>
      </c>
      <c r="K19" s="15" t="n">
        <f aca="false">+E19-G19-H19</f>
        <v>0</v>
      </c>
      <c r="L19" s="15" t="n">
        <f aca="false">+I19*5</f>
        <v>0</v>
      </c>
      <c r="M19" s="15" t="n">
        <f aca="false">+J19*F19</f>
        <v>0</v>
      </c>
      <c r="N19" s="15" t="n">
        <f aca="false">+K19*F19</f>
        <v>0</v>
      </c>
      <c r="O19" s="15" t="n">
        <f aca="false">+D19*F19</f>
        <v>0</v>
      </c>
      <c r="P19" s="15" t="n">
        <f aca="false">+E19*F19</f>
        <v>0</v>
      </c>
      <c r="Q19" s="15" t="n">
        <f aca="false">+L19*D19/1000000</f>
        <v>0</v>
      </c>
      <c r="R19" s="96" t="n">
        <f aca="false">+H19*D19/1000000</f>
        <v>0</v>
      </c>
      <c r="S19" s="17" t="n">
        <f aca="false">+D19*I19/1000000*F19</f>
        <v>0</v>
      </c>
      <c r="T19" s="16" t="n">
        <f aca="false">+D19*J19/1000000*F19</f>
        <v>0</v>
      </c>
      <c r="U19" s="16" t="n">
        <f aca="false">+((D19*K19)/1000000)*F19</f>
        <v>0</v>
      </c>
      <c r="V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 t="n">
        <v>0</v>
      </c>
      <c r="H20" s="15" t="n">
        <v>0</v>
      </c>
      <c r="I20" s="20" t="n">
        <v>0</v>
      </c>
      <c r="J20" s="20" t="n">
        <v>0</v>
      </c>
      <c r="K20" s="15" t="n">
        <f aca="false">+E20-G20-H20</f>
        <v>0</v>
      </c>
      <c r="L20" s="15" t="n">
        <f aca="false">+I20*5</f>
        <v>0</v>
      </c>
      <c r="M20" s="15" t="n">
        <f aca="false">+J20*F20</f>
        <v>0</v>
      </c>
      <c r="N20" s="15" t="n">
        <f aca="false">+K20*F20</f>
        <v>0</v>
      </c>
      <c r="O20" s="15" t="n">
        <f aca="false">+D20*F20</f>
        <v>0</v>
      </c>
      <c r="P20" s="15" t="n">
        <f aca="false">+E20*F20</f>
        <v>0</v>
      </c>
      <c r="Q20" s="15" t="n">
        <f aca="false">+L20*D20/1000000</f>
        <v>0</v>
      </c>
      <c r="R20" s="96" t="n">
        <f aca="false">+H20*D20/1000000</f>
        <v>0</v>
      </c>
      <c r="S20" s="17" t="n">
        <f aca="false">+D20*I20/1000000*F20</f>
        <v>0</v>
      </c>
      <c r="T20" s="16" t="n">
        <f aca="false">+D20*J20/1000000*F20</f>
        <v>0</v>
      </c>
      <c r="U20" s="16" t="n">
        <f aca="false">+((D20*K20)/1000000)*F20</f>
        <v>0</v>
      </c>
      <c r="V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 t="n">
        <v>0</v>
      </c>
      <c r="H21" s="15" t="n">
        <v>0</v>
      </c>
      <c r="I21" s="20" t="n">
        <v>0</v>
      </c>
      <c r="J21" s="20" t="n">
        <v>0</v>
      </c>
      <c r="K21" s="15" t="n">
        <f aca="false">+E21-G21-H21</f>
        <v>0</v>
      </c>
      <c r="L21" s="15" t="n">
        <f aca="false">+I21*5</f>
        <v>0</v>
      </c>
      <c r="M21" s="15" t="n">
        <f aca="false">+J21*F21</f>
        <v>0</v>
      </c>
      <c r="N21" s="15" t="n">
        <f aca="false">+K21*F21</f>
        <v>0</v>
      </c>
      <c r="O21" s="15" t="n">
        <f aca="false">+D21*F21</f>
        <v>0</v>
      </c>
      <c r="P21" s="15" t="n">
        <f aca="false">+E21*F21</f>
        <v>0</v>
      </c>
      <c r="Q21" s="15" t="n">
        <f aca="false">+L21*D21/1000000</f>
        <v>0</v>
      </c>
      <c r="R21" s="96" t="n">
        <f aca="false">+H21*D21/1000000</f>
        <v>0</v>
      </c>
      <c r="S21" s="17" t="n">
        <f aca="false">+D21*I21/1000000*F21</f>
        <v>0</v>
      </c>
      <c r="T21" s="16" t="n">
        <f aca="false">+D21*J21/1000000*F21</f>
        <v>0</v>
      </c>
      <c r="U21" s="16" t="n">
        <f aca="false">+((D21*K21)/1000000)*F21</f>
        <v>0</v>
      </c>
      <c r="V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 t="n">
        <v>0</v>
      </c>
      <c r="H22" s="15" t="n">
        <v>0</v>
      </c>
      <c r="I22" s="20" t="n">
        <v>0</v>
      </c>
      <c r="J22" s="20" t="n">
        <v>0</v>
      </c>
      <c r="K22" s="15" t="n">
        <f aca="false">+E22-G22-H22</f>
        <v>0</v>
      </c>
      <c r="L22" s="15" t="n">
        <f aca="false">+I22*5</f>
        <v>0</v>
      </c>
      <c r="M22" s="15" t="n">
        <f aca="false">+J22*F22</f>
        <v>0</v>
      </c>
      <c r="N22" s="15" t="n">
        <f aca="false">+K22*F22</f>
        <v>0</v>
      </c>
      <c r="O22" s="15" t="n">
        <f aca="false">+D22*F22</f>
        <v>0</v>
      </c>
      <c r="P22" s="15" t="n">
        <f aca="false">+E22*F22</f>
        <v>0</v>
      </c>
      <c r="Q22" s="15" t="n">
        <f aca="false">+L22*D22/1000000</f>
        <v>0</v>
      </c>
      <c r="R22" s="96" t="n">
        <f aca="false">+H22*D22/1000000</f>
        <v>0</v>
      </c>
      <c r="S22" s="17" t="n">
        <f aca="false">+D22*I22/1000000*F22</f>
        <v>0</v>
      </c>
      <c r="T22" s="16" t="n">
        <f aca="false">+D22*J22/1000000*F22</f>
        <v>0</v>
      </c>
      <c r="U22" s="16" t="n">
        <f aca="false">+((D22*K22)/1000000)*F22</f>
        <v>0</v>
      </c>
      <c r="V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 t="n">
        <v>0</v>
      </c>
      <c r="H23" s="15" t="n">
        <v>0</v>
      </c>
      <c r="I23" s="20" t="n">
        <v>0</v>
      </c>
      <c r="J23" s="20" t="n">
        <v>0</v>
      </c>
      <c r="K23" s="15" t="n">
        <f aca="false">+E23-G23-H23</f>
        <v>0</v>
      </c>
      <c r="L23" s="15" t="n">
        <f aca="false">+I23*5</f>
        <v>0</v>
      </c>
      <c r="M23" s="15" t="n">
        <f aca="false">+J23*F23</f>
        <v>0</v>
      </c>
      <c r="N23" s="15" t="n">
        <f aca="false">+K23*F23</f>
        <v>0</v>
      </c>
      <c r="O23" s="15" t="n">
        <f aca="false">+D23*F23</f>
        <v>0</v>
      </c>
      <c r="P23" s="15" t="n">
        <f aca="false">+E23*F23</f>
        <v>0</v>
      </c>
      <c r="Q23" s="15" t="n">
        <f aca="false">+L23*D23/1000000</f>
        <v>0</v>
      </c>
      <c r="R23" s="96" t="n">
        <f aca="false">+H23*D23/1000000</f>
        <v>0</v>
      </c>
      <c r="S23" s="17" t="n">
        <f aca="false">+D23*I23/1000000*F23</f>
        <v>0</v>
      </c>
      <c r="T23" s="16" t="n">
        <f aca="false">+D23*J23/1000000*F23</f>
        <v>0</v>
      </c>
      <c r="U23" s="16" t="n">
        <f aca="false">+((D23*K23)/1000000)*F23</f>
        <v>0</v>
      </c>
      <c r="V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 t="n">
        <v>0</v>
      </c>
      <c r="H24" s="15" t="n">
        <v>0</v>
      </c>
      <c r="I24" s="20" t="n">
        <v>0</v>
      </c>
      <c r="J24" s="20" t="n">
        <v>0</v>
      </c>
      <c r="K24" s="15" t="n">
        <f aca="false">+E24-G24-H24</f>
        <v>0</v>
      </c>
      <c r="L24" s="15" t="n">
        <f aca="false">+I24*5</f>
        <v>0</v>
      </c>
      <c r="M24" s="15" t="n">
        <f aca="false">+J24*F24</f>
        <v>0</v>
      </c>
      <c r="N24" s="15" t="n">
        <f aca="false">+K24*F24</f>
        <v>0</v>
      </c>
      <c r="O24" s="15" t="n">
        <f aca="false">+D24*F24</f>
        <v>0</v>
      </c>
      <c r="P24" s="15" t="n">
        <f aca="false">+E24*F24</f>
        <v>0</v>
      </c>
      <c r="Q24" s="15" t="n">
        <f aca="false">+L24*D24/1000000</f>
        <v>0</v>
      </c>
      <c r="R24" s="96" t="n">
        <f aca="false">+H24*D24/1000000</f>
        <v>0</v>
      </c>
      <c r="S24" s="17" t="n">
        <f aca="false">+D24*I24/1000000*F24</f>
        <v>0</v>
      </c>
      <c r="T24" s="16" t="n">
        <f aca="false">+D24*J24/1000000*F24</f>
        <v>0</v>
      </c>
      <c r="U24" s="16" t="n">
        <f aca="false">+((D24*K24)/1000000)*F24</f>
        <v>0</v>
      </c>
      <c r="V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 t="n">
        <v>0</v>
      </c>
      <c r="H25" s="15" t="n">
        <v>0</v>
      </c>
      <c r="I25" s="20" t="n">
        <v>0</v>
      </c>
      <c r="J25" s="20" t="n">
        <v>0</v>
      </c>
      <c r="K25" s="15" t="n">
        <f aca="false">+E25-G25-H25</f>
        <v>0</v>
      </c>
      <c r="L25" s="15" t="n">
        <f aca="false">+I25*5</f>
        <v>0</v>
      </c>
      <c r="M25" s="15" t="n">
        <f aca="false">+J25*F25</f>
        <v>0</v>
      </c>
      <c r="N25" s="15" t="n">
        <f aca="false">+K25*F25</f>
        <v>0</v>
      </c>
      <c r="O25" s="15" t="n">
        <f aca="false">+D25*F25</f>
        <v>0</v>
      </c>
      <c r="P25" s="15" t="n">
        <f aca="false">+E25*F25</f>
        <v>0</v>
      </c>
      <c r="Q25" s="15" t="n">
        <f aca="false">+L25*D25/1000000</f>
        <v>0</v>
      </c>
      <c r="R25" s="96" t="n">
        <f aca="false">+H25*D25/1000000</f>
        <v>0</v>
      </c>
      <c r="S25" s="17" t="n">
        <f aca="false">+D25*I25/1000000*F25</f>
        <v>0</v>
      </c>
      <c r="T25" s="16" t="n">
        <f aca="false">+D25*J25/1000000*F25</f>
        <v>0</v>
      </c>
      <c r="U25" s="16" t="n">
        <f aca="false">+((D25*K25)/1000000)*F25</f>
        <v>0</v>
      </c>
      <c r="V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 t="n">
        <v>0</v>
      </c>
      <c r="H26" s="15" t="n">
        <v>0</v>
      </c>
      <c r="I26" s="20" t="n">
        <v>0</v>
      </c>
      <c r="J26" s="20" t="n">
        <v>0</v>
      </c>
      <c r="K26" s="15" t="n">
        <f aca="false">+E26-G26-H26</f>
        <v>0</v>
      </c>
      <c r="L26" s="15" t="n">
        <f aca="false">+I26*5</f>
        <v>0</v>
      </c>
      <c r="M26" s="15" t="n">
        <f aca="false">+J26*F26</f>
        <v>0</v>
      </c>
      <c r="N26" s="15" t="n">
        <f aca="false">+K26*F26</f>
        <v>0</v>
      </c>
      <c r="O26" s="15" t="n">
        <f aca="false">+D26*F26</f>
        <v>0</v>
      </c>
      <c r="P26" s="15" t="n">
        <f aca="false">+E26*F26</f>
        <v>0</v>
      </c>
      <c r="Q26" s="15"/>
      <c r="R26" s="96" t="n">
        <f aca="false">+H26*D26/1000000</f>
        <v>0</v>
      </c>
      <c r="S26" s="17" t="n">
        <f aca="false">+D26*I26/1000000*F26</f>
        <v>0</v>
      </c>
      <c r="T26" s="16" t="n">
        <f aca="false">+D26*J26/1000000*F26</f>
        <v>0</v>
      </c>
      <c r="U26" s="16" t="n">
        <f aca="false">+((D26*K26)/1000000)*F26</f>
        <v>0</v>
      </c>
      <c r="V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/>
      <c r="I27" s="20"/>
      <c r="J27" s="20"/>
      <c r="K27" s="15" t="n">
        <f aca="false">+E27-G27-H27</f>
        <v>0</v>
      </c>
      <c r="L27" s="15"/>
      <c r="M27" s="15" t="n">
        <f aca="false">+J27*F27</f>
        <v>0</v>
      </c>
      <c r="N27" s="15" t="n">
        <f aca="false">+K27*F27</f>
        <v>0</v>
      </c>
      <c r="O27" s="15" t="n">
        <f aca="false">+D27*F27</f>
        <v>0</v>
      </c>
      <c r="P27" s="15" t="n">
        <f aca="false">+E27*F27</f>
        <v>0</v>
      </c>
      <c r="Q27" s="15"/>
      <c r="R27" s="96" t="n">
        <f aca="false">+H27*D27/1000000</f>
        <v>0</v>
      </c>
      <c r="S27" s="17" t="n">
        <f aca="false">+D27*I27/1000000*F27</f>
        <v>0</v>
      </c>
      <c r="T27" s="16" t="n">
        <f aca="false">+D27*J27/1000000*F27</f>
        <v>0</v>
      </c>
      <c r="U27" s="16" t="n">
        <f aca="false">+((D27*K27)/1000000)*F27</f>
        <v>0</v>
      </c>
      <c r="V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/>
      <c r="I28" s="20"/>
      <c r="J28" s="20"/>
      <c r="K28" s="15" t="n">
        <f aca="false">+E28-G28-H28</f>
        <v>0</v>
      </c>
      <c r="L28" s="15"/>
      <c r="M28" s="15" t="n">
        <f aca="false">+J28*F28</f>
        <v>0</v>
      </c>
      <c r="N28" s="15" t="n">
        <f aca="false">+K28*F28</f>
        <v>0</v>
      </c>
      <c r="O28" s="15" t="n">
        <f aca="false">+D28*F28</f>
        <v>0</v>
      </c>
      <c r="P28" s="15" t="n">
        <f aca="false">+E28*F28</f>
        <v>0</v>
      </c>
      <c r="Q28" s="15"/>
      <c r="R28" s="96" t="n">
        <f aca="false">+H28*D28/1000000</f>
        <v>0</v>
      </c>
      <c r="S28" s="17" t="n">
        <f aca="false">+D28*I28/1000000*F28</f>
        <v>0</v>
      </c>
      <c r="T28" s="16" t="n">
        <f aca="false">+D28*J28/1000000*F28</f>
        <v>0</v>
      </c>
      <c r="U28" s="16" t="n">
        <f aca="false">+((D28*K28)/1000000)*F28</f>
        <v>0</v>
      </c>
      <c r="V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/>
      <c r="I29" s="20"/>
      <c r="J29" s="20"/>
      <c r="K29" s="15" t="n">
        <f aca="false">+E29-G29-H29</f>
        <v>0</v>
      </c>
      <c r="L29" s="15"/>
      <c r="M29" s="15" t="n">
        <f aca="false">+J29*F29</f>
        <v>0</v>
      </c>
      <c r="N29" s="15" t="n">
        <f aca="false">+K29*F29</f>
        <v>0</v>
      </c>
      <c r="O29" s="15" t="n">
        <f aca="false">+D29*F29</f>
        <v>0</v>
      </c>
      <c r="P29" s="15" t="n">
        <f aca="false">+E29*F29</f>
        <v>0</v>
      </c>
      <c r="Q29" s="15"/>
      <c r="R29" s="96" t="n">
        <f aca="false">+H29*D29/1000000</f>
        <v>0</v>
      </c>
      <c r="S29" s="17" t="n">
        <f aca="false">+D29*I29/1000000*F29</f>
        <v>0</v>
      </c>
      <c r="T29" s="16" t="n">
        <f aca="false">+D29*J29/1000000*F29</f>
        <v>0</v>
      </c>
      <c r="U29" s="16" t="n">
        <f aca="false">+((D29*K29)/1000000)*F29</f>
        <v>0</v>
      </c>
      <c r="V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/>
      <c r="I30" s="20"/>
      <c r="J30" s="20"/>
      <c r="K30" s="15"/>
      <c r="L30" s="15"/>
      <c r="M30" s="15"/>
      <c r="N30" s="15"/>
      <c r="O30" s="15"/>
      <c r="P30" s="15"/>
      <c r="Q30" s="15"/>
      <c r="R30" s="96"/>
      <c r="S30" s="17"/>
      <c r="T30" s="16"/>
      <c r="U30" s="16"/>
      <c r="V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/>
      <c r="I31" s="20" t="n">
        <v>0</v>
      </c>
      <c r="J31" s="20" t="n">
        <v>0</v>
      </c>
      <c r="K31" s="15" t="n">
        <f aca="false">+E31-G31-H31</f>
        <v>0</v>
      </c>
      <c r="L31" s="15" t="n">
        <f aca="false">+I31*5</f>
        <v>0</v>
      </c>
      <c r="M31" s="15" t="n">
        <f aca="false">+J31*F31</f>
        <v>0</v>
      </c>
      <c r="N31" s="15" t="n">
        <f aca="false">+K31*F31</f>
        <v>0</v>
      </c>
      <c r="O31" s="15" t="n">
        <f aca="false">+D31*F31</f>
        <v>0</v>
      </c>
      <c r="P31" s="15" t="n">
        <f aca="false">+E31*F31</f>
        <v>0</v>
      </c>
      <c r="Q31" s="15" t="n">
        <f aca="false">+L31*D31/1000000</f>
        <v>0</v>
      </c>
      <c r="R31" s="96" t="n">
        <f aca="false">+H31*D31/1000000</f>
        <v>0</v>
      </c>
      <c r="S31" s="17" t="n">
        <f aca="false">+D31*I31/1000000*F31</f>
        <v>0</v>
      </c>
      <c r="T31" s="16" t="n">
        <f aca="false">+D31*J31/1000000*F31</f>
        <v>0</v>
      </c>
      <c r="U31" s="16" t="n">
        <f aca="false">+((D31*K31)/1000000)*F31</f>
        <v>0</v>
      </c>
      <c r="V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10580</v>
      </c>
      <c r="E32" s="32" t="n">
        <f aca="false">SUM(E5:E31)</f>
        <v>22600</v>
      </c>
      <c r="F32" s="32" t="n">
        <f aca="false">SUM(F5:F31)</f>
        <v>16</v>
      </c>
      <c r="G32" s="33" t="n">
        <f aca="false">SUM(G5:G31)</f>
        <v>3900</v>
      </c>
      <c r="H32" s="33" t="n">
        <f aca="false">SUM(H5:H31)</f>
        <v>6100</v>
      </c>
      <c r="I32" s="34" t="n">
        <f aca="false">SUM(I5:I31)</f>
        <v>16500</v>
      </c>
      <c r="J32" s="32" t="n">
        <f aca="false">SUM(J5:J31)</f>
        <v>18700</v>
      </c>
      <c r="K32" s="32" t="n">
        <f aca="false">SUM(K5:K31)</f>
        <v>12600</v>
      </c>
      <c r="L32" s="32" t="n">
        <f aca="false">SUM(L5:L31)</f>
        <v>82500</v>
      </c>
      <c r="M32" s="32" t="n">
        <f aca="false">SUM(M5:M31)</f>
        <v>22930</v>
      </c>
      <c r="N32" s="32" t="n">
        <f aca="false">SUM(N5:N31)</f>
        <v>15530</v>
      </c>
      <c r="O32" s="32" t="n">
        <f aca="false">SUM(O5:O31)</f>
        <v>12960</v>
      </c>
      <c r="P32" s="32" t="n">
        <f aca="false">SUM(P5:P31)</f>
        <v>27730</v>
      </c>
      <c r="Q32" s="32" t="n">
        <f aca="false">SUM(Q5:Q31)</f>
        <v>67.45125</v>
      </c>
      <c r="R32" s="35" t="n">
        <f aca="false">SUM(R5:R31)</f>
        <v>4.948</v>
      </c>
      <c r="S32" s="35" t="n">
        <f aca="false">SUM(S5:S31)</f>
        <v>16.55885</v>
      </c>
      <c r="T32" s="35" t="n">
        <f aca="false">SUM(T5:T31)</f>
        <v>18.65885</v>
      </c>
      <c r="U32" s="35" t="n">
        <f aca="false">SUM(U5:U31)</f>
        <v>12.67085</v>
      </c>
      <c r="V32" s="36" t="n">
        <f aca="false">SUM(V5:V31)</f>
        <v>22.54685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20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6011</v>
      </c>
      <c r="D36" s="13" t="s">
        <v>29</v>
      </c>
      <c r="E36" s="15" t="n">
        <f aca="false">+O32*2+P32*2</f>
        <v>81380</v>
      </c>
      <c r="F36" s="15" t="n">
        <f aca="false">E36+(E36*10%)</f>
        <v>89518</v>
      </c>
      <c r="G36" s="43" t="n">
        <f aca="false">F36/6400</f>
        <v>13.9871875</v>
      </c>
      <c r="H36" s="43" t="n">
        <f aca="false">ROUNDUP(G36,0)</f>
        <v>14</v>
      </c>
      <c r="I36" s="44" t="n">
        <v>4</v>
      </c>
      <c r="J36" s="44" t="n">
        <f aca="false">+I36*H36</f>
        <v>56</v>
      </c>
      <c r="K36" s="22"/>
      <c r="L36" s="22"/>
      <c r="M36" s="22"/>
      <c r="N36" s="22"/>
    </row>
    <row r="37" customFormat="false" ht="17.35" hidden="false" customHeight="false" outlineLevel="0" collapsed="false">
      <c r="B37" s="13" t="n">
        <v>2</v>
      </c>
      <c r="C37" s="13" t="n">
        <v>6009</v>
      </c>
      <c r="D37" s="13" t="s">
        <v>30</v>
      </c>
      <c r="E37" s="15" t="n">
        <f aca="false">+O32*2+N32*2</f>
        <v>56980</v>
      </c>
      <c r="F37" s="15" t="n">
        <f aca="false">E37+(E37*10%)</f>
        <v>62678</v>
      </c>
      <c r="G37" s="43" t="n">
        <f aca="false">F37/6400</f>
        <v>9.7934375</v>
      </c>
      <c r="H37" s="43" t="n">
        <f aca="false">ROUNDUP(G37,0)</f>
        <v>10</v>
      </c>
      <c r="I37" s="44" t="n">
        <v>6.5</v>
      </c>
      <c r="J37" s="44" t="n">
        <f aca="false">+I37*H37</f>
        <v>65</v>
      </c>
      <c r="K37" s="22"/>
      <c r="L37" s="22"/>
      <c r="M37" s="22"/>
      <c r="N37" s="22"/>
    </row>
    <row r="38" customFormat="false" ht="17.35" hidden="false" customHeight="false" outlineLevel="0" collapsed="false">
      <c r="B38" s="3"/>
      <c r="C38" s="3"/>
      <c r="D38" s="3"/>
      <c r="E38" s="3"/>
      <c r="F38" s="3"/>
      <c r="G38" s="3"/>
      <c r="H38" s="23"/>
      <c r="I38" s="51" t="s">
        <v>19</v>
      </c>
      <c r="J38" s="52" t="n">
        <f aca="false">SUM(J36:J37)</f>
        <v>121</v>
      </c>
      <c r="K38" s="22"/>
      <c r="L38" s="3"/>
      <c r="M38" s="25"/>
      <c r="N38" s="25"/>
    </row>
    <row r="39" customFormat="false" ht="17.35" hidden="false" customHeight="false" outlineLevel="0" collapsed="false">
      <c r="B39" s="9" t="s">
        <v>285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</row>
    <row r="40" customFormat="false" ht="17.35" hidden="false" customHeight="false" outlineLevel="0" collapsed="false">
      <c r="B40" s="9" t="s">
        <v>5</v>
      </c>
      <c r="C40" s="42" t="s">
        <v>21</v>
      </c>
      <c r="D40" s="42" t="s">
        <v>22</v>
      </c>
      <c r="E40" s="42" t="s">
        <v>23</v>
      </c>
      <c r="F40" s="42" t="s">
        <v>36</v>
      </c>
      <c r="G40" s="42" t="s">
        <v>25</v>
      </c>
      <c r="H40" s="42" t="s">
        <v>26</v>
      </c>
      <c r="I40" s="42" t="s">
        <v>244</v>
      </c>
      <c r="J40" s="42" t="s">
        <v>28</v>
      </c>
      <c r="K40" s="9" t="s">
        <v>38</v>
      </c>
      <c r="L40" s="9"/>
      <c r="M40" s="9"/>
      <c r="N40" s="6"/>
    </row>
    <row r="41" customFormat="false" ht="17.35" hidden="false" customHeight="false" outlineLevel="0" collapsed="false">
      <c r="B41" s="13" t="n">
        <v>1</v>
      </c>
      <c r="C41" s="13" t="n">
        <v>3503</v>
      </c>
      <c r="D41" s="13" t="s">
        <v>29</v>
      </c>
      <c r="E41" s="15" t="n">
        <f aca="false">+N32*2</f>
        <v>31060</v>
      </c>
      <c r="F41" s="15" t="n">
        <f aca="false">E41+(E41*10%)</f>
        <v>34166</v>
      </c>
      <c r="G41" s="43" t="n">
        <f aca="false">F41/6400</f>
        <v>5.3384375</v>
      </c>
      <c r="H41" s="43" t="n">
        <f aca="false">ROUNDUP(G41,0)</f>
        <v>6</v>
      </c>
      <c r="I41" s="44" t="n">
        <v>1.7</v>
      </c>
      <c r="J41" s="44" t="n">
        <f aca="false">+H41*I41</f>
        <v>10.2</v>
      </c>
      <c r="K41" s="13"/>
      <c r="L41" s="13"/>
      <c r="M41" s="13"/>
      <c r="N41" s="4"/>
    </row>
    <row r="42" customFormat="false" ht="17.35" hidden="false" customHeight="false" outlineLevel="0" collapsed="false">
      <c r="B42" s="13" t="n">
        <v>3</v>
      </c>
      <c r="C42" s="13" t="n">
        <v>3501</v>
      </c>
      <c r="D42" s="13" t="s">
        <v>286</v>
      </c>
      <c r="E42" s="15" t="n">
        <f aca="false">+O32*2</f>
        <v>25920</v>
      </c>
      <c r="F42" s="15" t="n">
        <f aca="false">E42+(E42*10%)</f>
        <v>28512</v>
      </c>
      <c r="G42" s="43" t="n">
        <f aca="false">F42/6400</f>
        <v>4.455</v>
      </c>
      <c r="H42" s="43" t="n">
        <f aca="false">ROUNDUP(G42,0)</f>
        <v>5</v>
      </c>
      <c r="I42" s="44" t="n">
        <v>1.7</v>
      </c>
      <c r="J42" s="44" t="n">
        <f aca="false">+H42*I42</f>
        <v>8.5</v>
      </c>
      <c r="K42" s="13"/>
      <c r="L42" s="13"/>
      <c r="M42" s="13"/>
      <c r="N42" s="4"/>
    </row>
    <row r="43" customFormat="false" ht="17.35" hidden="false" customHeight="false" outlineLevel="0" collapsed="false">
      <c r="B43" s="13" t="n">
        <v>4</v>
      </c>
      <c r="C43" s="13" t="n">
        <v>3505</v>
      </c>
      <c r="D43" s="13" t="s">
        <v>287</v>
      </c>
      <c r="E43" s="15" t="n">
        <f aca="false">+O32*1</f>
        <v>12960</v>
      </c>
      <c r="F43" s="15" t="n">
        <f aca="false">E43+(E43*10%)</f>
        <v>14256</v>
      </c>
      <c r="G43" s="43" t="n">
        <f aca="false">F43/6400</f>
        <v>2.2275</v>
      </c>
      <c r="H43" s="43" t="n">
        <f aca="false">ROUNDUP(G43,0)</f>
        <v>3</v>
      </c>
      <c r="I43" s="44" t="n">
        <v>3.35</v>
      </c>
      <c r="J43" s="44" t="n">
        <f aca="false">+H43*I43</f>
        <v>10.05</v>
      </c>
      <c r="K43" s="13"/>
      <c r="L43" s="13"/>
      <c r="M43" s="13"/>
      <c r="N43" s="4"/>
    </row>
    <row r="44" customFormat="false" ht="17.35" hidden="false" customHeight="false" outlineLevel="0" collapsed="false">
      <c r="B44" s="3"/>
      <c r="C44" s="3"/>
      <c r="D44" s="3"/>
      <c r="E44" s="3"/>
      <c r="F44" s="3"/>
      <c r="G44" s="3"/>
      <c r="H44" s="11"/>
      <c r="I44" s="57" t="s">
        <v>19</v>
      </c>
      <c r="J44" s="35" t="n">
        <f aca="false">SUM(J41:J43)</f>
        <v>28.75</v>
      </c>
      <c r="K44" s="3"/>
      <c r="L44" s="3"/>
      <c r="M44" s="3"/>
      <c r="N44" s="3"/>
    </row>
    <row r="45" customFormat="false" ht="17.35" hidden="false" customHeight="false" outlineLevel="0" collapsed="false">
      <c r="B45" s="9" t="s">
        <v>35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3"/>
    </row>
    <row r="46" customFormat="false" ht="17.35" hidden="false" customHeight="false" outlineLevel="0" collapsed="false">
      <c r="B46" s="9" t="s">
        <v>5</v>
      </c>
      <c r="C46" s="42" t="s">
        <v>21</v>
      </c>
      <c r="D46" s="42" t="s">
        <v>22</v>
      </c>
      <c r="E46" s="42" t="s">
        <v>23</v>
      </c>
      <c r="F46" s="42" t="s">
        <v>36</v>
      </c>
      <c r="G46" s="42" t="s">
        <v>25</v>
      </c>
      <c r="H46" s="42" t="s">
        <v>26</v>
      </c>
      <c r="I46" s="42" t="s">
        <v>244</v>
      </c>
      <c r="J46" s="42" t="s">
        <v>28</v>
      </c>
      <c r="K46" s="9" t="s">
        <v>38</v>
      </c>
      <c r="L46" s="9"/>
      <c r="M46" s="9"/>
      <c r="N46" s="3"/>
    </row>
    <row r="47" customFormat="false" ht="17.35" hidden="false" customHeight="false" outlineLevel="0" collapsed="false">
      <c r="B47" s="13" t="n">
        <v>1</v>
      </c>
      <c r="C47" s="13" t="n">
        <v>6013</v>
      </c>
      <c r="D47" s="13" t="s">
        <v>246</v>
      </c>
      <c r="E47" s="15" t="n">
        <f aca="false">+O32*1</f>
        <v>12960</v>
      </c>
      <c r="F47" s="15" t="n">
        <f aca="false">E47+(E47*10%)</f>
        <v>14256</v>
      </c>
      <c r="G47" s="43" t="n">
        <f aca="false">F47/6400</f>
        <v>2.2275</v>
      </c>
      <c r="H47" s="43" t="n">
        <f aca="false">ROUNDUP(G47,0)</f>
        <v>3</v>
      </c>
      <c r="I47" s="44" t="n">
        <v>4.5</v>
      </c>
      <c r="J47" s="44" t="n">
        <f aca="false">+H47*I47</f>
        <v>13.5</v>
      </c>
      <c r="K47" s="13"/>
      <c r="L47" s="13"/>
      <c r="M47" s="13"/>
      <c r="N47" s="3"/>
    </row>
    <row r="48" customFormat="false" ht="17.35" hidden="false" customHeight="false" outlineLevel="0" collapsed="false">
      <c r="B48" s="13" t="n">
        <v>3</v>
      </c>
      <c r="C48" s="13" t="n">
        <v>1544</v>
      </c>
      <c r="D48" s="13" t="s">
        <v>43</v>
      </c>
      <c r="E48" s="15" t="n">
        <f aca="false">+(G32*2)*F32</f>
        <v>124800</v>
      </c>
      <c r="F48" s="15" t="n">
        <f aca="false">E48+(E48*10%)</f>
        <v>137280</v>
      </c>
      <c r="G48" s="43" t="n">
        <f aca="false">F48/6400</f>
        <v>21.45</v>
      </c>
      <c r="H48" s="43" t="n">
        <f aca="false">ROUNDUP(G48,0)</f>
        <v>22</v>
      </c>
      <c r="I48" s="44" t="n">
        <v>1.6</v>
      </c>
      <c r="J48" s="44" t="n">
        <f aca="false">+H48*I48</f>
        <v>35.2</v>
      </c>
      <c r="K48" s="13"/>
      <c r="L48" s="13"/>
      <c r="M48" s="13"/>
      <c r="N48" s="3"/>
    </row>
    <row r="49" customFormat="false" ht="17.35" hidden="false" customHeight="false" outlineLevel="0" collapsed="false">
      <c r="B49" s="13" t="n">
        <v>4</v>
      </c>
      <c r="C49" s="13" t="n">
        <v>6515</v>
      </c>
      <c r="D49" s="13" t="s">
        <v>45</v>
      </c>
      <c r="E49" s="15" t="n">
        <f aca="false">+O32*5</f>
        <v>64800</v>
      </c>
      <c r="F49" s="15" t="n">
        <f aca="false">E49+(E49*10%)</f>
        <v>71280</v>
      </c>
      <c r="G49" s="43" t="n">
        <f aca="false">F49/6400</f>
        <v>11.1375</v>
      </c>
      <c r="H49" s="43" t="n">
        <f aca="false">ROUNDUP(G49,0)</f>
        <v>12</v>
      </c>
      <c r="I49" s="44" t="n">
        <v>1.9</v>
      </c>
      <c r="J49" s="44" t="n">
        <f aca="false">+H49*I49</f>
        <v>22.8</v>
      </c>
      <c r="K49" s="13"/>
      <c r="L49" s="13"/>
      <c r="M49" s="13"/>
      <c r="N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19</v>
      </c>
      <c r="J50" s="35" t="n">
        <f aca="false">SUM(J47:J49)</f>
        <v>71.5</v>
      </c>
      <c r="K50" s="3"/>
      <c r="L50" s="3"/>
      <c r="M50" s="3"/>
      <c r="N50" s="3"/>
    </row>
    <row r="51" customFormat="false" ht="17.35" hidden="false" customHeight="false" outlineLevel="0" collapsed="false">
      <c r="B51" s="9" t="s">
        <v>247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3"/>
    </row>
    <row r="52" customFormat="false" ht="17.35" hidden="false" customHeight="false" outlineLevel="0" collapsed="false">
      <c r="B52" s="9" t="s">
        <v>5</v>
      </c>
      <c r="C52" s="42" t="s">
        <v>21</v>
      </c>
      <c r="D52" s="42" t="s">
        <v>22</v>
      </c>
      <c r="E52" s="42" t="s">
        <v>23</v>
      </c>
      <c r="F52" s="42" t="s">
        <v>36</v>
      </c>
      <c r="G52" s="42" t="s">
        <v>25</v>
      </c>
      <c r="H52" s="42" t="s">
        <v>26</v>
      </c>
      <c r="I52" s="42" t="s">
        <v>37</v>
      </c>
      <c r="J52" s="42" t="s">
        <v>28</v>
      </c>
      <c r="K52" s="9" t="s">
        <v>38</v>
      </c>
      <c r="L52" s="9"/>
      <c r="M52" s="9"/>
      <c r="N52" s="3"/>
    </row>
    <row r="53" customFormat="false" ht="17.35" hidden="false" customHeight="false" outlineLevel="0" collapsed="false">
      <c r="B53" s="13" t="n">
        <v>1</v>
      </c>
      <c r="C53" s="13" t="n">
        <v>6013</v>
      </c>
      <c r="D53" s="13" t="s">
        <v>246</v>
      </c>
      <c r="E53" s="15" t="n">
        <f aca="false">+O32*1</f>
        <v>12960</v>
      </c>
      <c r="F53" s="15" t="n">
        <f aca="false">E53+(E53*10%)</f>
        <v>14256</v>
      </c>
      <c r="G53" s="43" t="n">
        <f aca="false">F53/6400</f>
        <v>2.2275</v>
      </c>
      <c r="H53" s="43" t="n">
        <f aca="false">ROUNDUP(G53,0)</f>
        <v>3</v>
      </c>
      <c r="I53" s="44" t="n">
        <v>4.5</v>
      </c>
      <c r="J53" s="44" t="n">
        <f aca="false">+H53*I53</f>
        <v>13.5</v>
      </c>
      <c r="K53" s="13"/>
      <c r="L53" s="13"/>
      <c r="M53" s="13"/>
      <c r="N53" s="3"/>
    </row>
    <row r="54" customFormat="false" ht="17.35" hidden="false" customHeight="false" outlineLevel="0" collapsed="false">
      <c r="B54" s="13" t="n">
        <v>2</v>
      </c>
      <c r="C54" s="13" t="n">
        <v>6003</v>
      </c>
      <c r="D54" s="13" t="s">
        <v>245</v>
      </c>
      <c r="E54" s="15" t="n">
        <f aca="false">+(O32*2)+(F32*(500*2))</f>
        <v>41920</v>
      </c>
      <c r="F54" s="15" t="n">
        <f aca="false">E54+(E54*10%)</f>
        <v>46112</v>
      </c>
      <c r="G54" s="43" t="n">
        <f aca="false">F54/6400</f>
        <v>7.205</v>
      </c>
      <c r="H54" s="43" t="n">
        <f aca="false">ROUNDUP(G54,0)</f>
        <v>8</v>
      </c>
      <c r="I54" s="44" t="n">
        <v>1.4</v>
      </c>
      <c r="J54" s="44" t="n">
        <f aca="false">+H54*I54</f>
        <v>11.2</v>
      </c>
      <c r="K54" s="13"/>
      <c r="L54" s="13"/>
      <c r="M54" s="13"/>
      <c r="N54" s="3"/>
    </row>
    <row r="55" customFormat="false" ht="17.35" hidden="false" customHeight="false" outlineLevel="0" collapsed="false">
      <c r="B55" s="3"/>
      <c r="C55" s="3"/>
      <c r="D55" s="3"/>
      <c r="E55" s="3"/>
      <c r="F55" s="3"/>
      <c r="G55" s="3"/>
      <c r="H55" s="3"/>
      <c r="I55" s="57" t="s">
        <v>19</v>
      </c>
      <c r="J55" s="35" t="n">
        <f aca="false">SUM(J53:J54)</f>
        <v>24.7</v>
      </c>
      <c r="K55" s="3"/>
      <c r="L55" s="3"/>
      <c r="M55" s="3"/>
      <c r="N55" s="3"/>
    </row>
    <row r="56" customFormat="false" ht="17.35" hidden="false" customHeight="false" outlineLevel="0" collapsed="false">
      <c r="B56" s="3"/>
      <c r="C56" s="3"/>
      <c r="D56" s="3"/>
      <c r="E56" s="3"/>
      <c r="F56" s="3"/>
      <c r="G56" s="3"/>
      <c r="H56" s="3"/>
      <c r="I56" s="57" t="s">
        <v>49</v>
      </c>
      <c r="J56" s="35" t="n">
        <f aca="false">+J38+J50+J55</f>
        <v>217.2</v>
      </c>
      <c r="K56" s="3"/>
      <c r="L56" s="3"/>
      <c r="M56" s="3"/>
      <c r="N56" s="3"/>
    </row>
    <row r="57" customFormat="false" ht="17.35" hidden="false" customHeight="false" outlineLevel="0" collapsed="false">
      <c r="B57" s="42" t="s">
        <v>248</v>
      </c>
      <c r="C57" s="42"/>
      <c r="D57" s="42"/>
      <c r="E57" s="42"/>
      <c r="F57" s="42"/>
      <c r="G57" s="42"/>
      <c r="H57" s="42"/>
      <c r="I57" s="3"/>
      <c r="J57" s="3"/>
      <c r="K57" s="3"/>
      <c r="L57" s="3"/>
      <c r="M57" s="3"/>
      <c r="N57" s="3"/>
    </row>
    <row r="58" customFormat="false" ht="17.35" hidden="false" customHeight="false" outlineLevel="0" collapsed="false">
      <c r="B58" s="9" t="s">
        <v>5</v>
      </c>
      <c r="C58" s="9" t="s">
        <v>22</v>
      </c>
      <c r="D58" s="9" t="s">
        <v>51</v>
      </c>
      <c r="E58" s="9" t="s">
        <v>52</v>
      </c>
      <c r="F58" s="9" t="s">
        <v>53</v>
      </c>
      <c r="G58" s="9" t="s">
        <v>54</v>
      </c>
      <c r="H58" s="9" t="s">
        <v>55</v>
      </c>
      <c r="I58" s="3"/>
      <c r="J58" s="3"/>
      <c r="K58" s="3"/>
      <c r="L58" s="3"/>
      <c r="M58" s="3"/>
      <c r="N58" s="3"/>
    </row>
    <row r="59" customFormat="false" ht="17.35" hidden="false" customHeight="false" outlineLevel="0" collapsed="false">
      <c r="B59" s="46" t="n">
        <v>1</v>
      </c>
      <c r="C59" s="13" t="s">
        <v>288</v>
      </c>
      <c r="D59" s="58" t="s">
        <v>57</v>
      </c>
      <c r="E59" s="13" t="n">
        <v>1</v>
      </c>
      <c r="F59" s="20" t="n">
        <f aca="false">+E59*F32</f>
        <v>16</v>
      </c>
      <c r="G59" s="15" t="n">
        <v>15000</v>
      </c>
      <c r="H59" s="15" t="n">
        <f aca="false">+F59*G59</f>
        <v>240000</v>
      </c>
      <c r="I59" s="3"/>
      <c r="J59" s="3"/>
      <c r="K59" s="3"/>
      <c r="L59" s="3"/>
      <c r="M59" s="3"/>
      <c r="N59" s="3"/>
    </row>
    <row r="60" customFormat="false" ht="17.35" hidden="false" customHeight="false" outlineLevel="0" collapsed="false">
      <c r="B60" s="46" t="n">
        <v>2</v>
      </c>
      <c r="C60" s="13" t="s">
        <v>250</v>
      </c>
      <c r="D60" s="58" t="s">
        <v>226</v>
      </c>
      <c r="E60" s="13" t="n">
        <v>1</v>
      </c>
      <c r="F60" s="20" t="n">
        <f aca="false">+E60*F32</f>
        <v>16</v>
      </c>
      <c r="G60" s="15" t="n">
        <v>25000</v>
      </c>
      <c r="H60" s="15" t="n">
        <f aca="false">+F60*G60</f>
        <v>400000</v>
      </c>
      <c r="I60" s="3"/>
      <c r="J60" s="3"/>
      <c r="K60" s="3"/>
      <c r="L60" s="3"/>
      <c r="M60" s="3"/>
      <c r="N60" s="3"/>
    </row>
    <row r="61" customFormat="false" ht="29.85" hidden="false" customHeight="false" outlineLevel="0" collapsed="false">
      <c r="B61" s="46" t="n">
        <v>3</v>
      </c>
      <c r="C61" s="142" t="s">
        <v>289</v>
      </c>
      <c r="D61" s="58" t="s">
        <v>57</v>
      </c>
      <c r="E61" s="46" t="n">
        <v>10</v>
      </c>
      <c r="F61" s="143" t="n">
        <f aca="false">+E61*F32</f>
        <v>160</v>
      </c>
      <c r="G61" s="48" t="n">
        <v>50</v>
      </c>
      <c r="H61" s="48" t="n">
        <f aca="false">+F61*G61</f>
        <v>8000</v>
      </c>
      <c r="I61" s="3"/>
      <c r="J61" s="3" t="s">
        <v>252</v>
      </c>
      <c r="K61" s="3" t="s">
        <v>253</v>
      </c>
      <c r="L61" s="67" t="n">
        <v>25000</v>
      </c>
      <c r="M61" s="3"/>
      <c r="N61" s="3"/>
    </row>
    <row r="62" customFormat="false" ht="29.85" hidden="false" customHeight="false" outlineLevel="0" collapsed="false">
      <c r="B62" s="46" t="n">
        <v>4</v>
      </c>
      <c r="C62" s="142" t="s">
        <v>254</v>
      </c>
      <c r="D62" s="58" t="s">
        <v>57</v>
      </c>
      <c r="E62" s="46" t="n">
        <v>32</v>
      </c>
      <c r="F62" s="143" t="n">
        <f aca="false">+E62*F32</f>
        <v>512</v>
      </c>
      <c r="G62" s="48" t="n">
        <v>50</v>
      </c>
      <c r="H62" s="48" t="n">
        <f aca="false">+F62*G62</f>
        <v>25600</v>
      </c>
      <c r="I62" s="3"/>
      <c r="J62" s="3" t="s">
        <v>255</v>
      </c>
      <c r="K62" s="3" t="s">
        <v>256</v>
      </c>
      <c r="L62" s="67" t="n">
        <v>4000</v>
      </c>
      <c r="M62" s="3" t="s">
        <v>257</v>
      </c>
      <c r="N62" s="3"/>
    </row>
    <row r="63" customFormat="false" ht="29.85" hidden="false" customHeight="false" outlineLevel="0" collapsed="false">
      <c r="B63" s="46" t="n">
        <v>5</v>
      </c>
      <c r="C63" s="142" t="s">
        <v>290</v>
      </c>
      <c r="D63" s="58" t="s">
        <v>62</v>
      </c>
      <c r="E63" s="143" t="n">
        <f aca="false">+(P32*2+O32*4+N32*2)/1000</f>
        <v>138.36</v>
      </c>
      <c r="F63" s="143" t="n">
        <f aca="false">+E63</f>
        <v>138.36</v>
      </c>
      <c r="G63" s="48" t="n">
        <v>850</v>
      </c>
      <c r="H63" s="48" t="n">
        <f aca="false">+F63*G63</f>
        <v>117606</v>
      </c>
      <c r="I63" s="3"/>
      <c r="J63" s="3" t="s">
        <v>259</v>
      </c>
      <c r="K63" s="3" t="s">
        <v>260</v>
      </c>
      <c r="L63" s="67" t="n">
        <v>110000</v>
      </c>
      <c r="M63" s="3"/>
      <c r="N63" s="3"/>
    </row>
    <row r="64" customFormat="false" ht="29.85" hidden="false" customHeight="false" outlineLevel="0" collapsed="false">
      <c r="B64" s="46" t="n">
        <v>6</v>
      </c>
      <c r="C64" s="59" t="s">
        <v>261</v>
      </c>
      <c r="D64" s="58" t="s">
        <v>62</v>
      </c>
      <c r="E64" s="135" t="n">
        <f aca="false">+(N32*2+O32*2)/1000</f>
        <v>56.98</v>
      </c>
      <c r="F64" s="143" t="n">
        <f aca="false">+E64</f>
        <v>56.98</v>
      </c>
      <c r="G64" s="61" t="n">
        <v>1000</v>
      </c>
      <c r="H64" s="48" t="n">
        <f aca="false">+F64*G64</f>
        <v>56980</v>
      </c>
      <c r="I64" s="3"/>
      <c r="J64" s="3" t="s">
        <v>262</v>
      </c>
      <c r="K64" s="3" t="s">
        <v>256</v>
      </c>
      <c r="L64" s="67" t="n">
        <v>55000</v>
      </c>
      <c r="M64" s="3" t="s">
        <v>263</v>
      </c>
      <c r="N64" s="3"/>
    </row>
    <row r="65" customFormat="false" ht="17.35" hidden="false" customHeight="false" outlineLevel="0" collapsed="false">
      <c r="B65" s="46" t="n">
        <v>8</v>
      </c>
      <c r="C65" s="13" t="s">
        <v>84</v>
      </c>
      <c r="D65" s="58" t="s">
        <v>57</v>
      </c>
      <c r="E65" s="13" t="n">
        <v>10</v>
      </c>
      <c r="F65" s="20" t="n">
        <f aca="false">+E65*F32</f>
        <v>160</v>
      </c>
      <c r="G65" s="15" t="n">
        <v>40</v>
      </c>
      <c r="H65" s="15" t="n">
        <f aca="false">+F65*G65</f>
        <v>6400</v>
      </c>
      <c r="I65" s="3"/>
      <c r="J65" s="3" t="s">
        <v>67</v>
      </c>
      <c r="K65" s="3" t="s">
        <v>256</v>
      </c>
      <c r="L65" s="67" t="n">
        <v>4000</v>
      </c>
      <c r="M65" s="3" t="s">
        <v>264</v>
      </c>
      <c r="N65" s="3"/>
    </row>
    <row r="66" customFormat="false" ht="17.35" hidden="false" customHeight="false" outlineLevel="0" collapsed="false">
      <c r="B66" s="46" t="n">
        <v>9</v>
      </c>
      <c r="C66" s="13" t="s">
        <v>291</v>
      </c>
      <c r="D66" s="58" t="s">
        <v>57</v>
      </c>
      <c r="E66" s="13" t="n">
        <v>1</v>
      </c>
      <c r="F66" s="20" t="n">
        <f aca="false">+E66*F32</f>
        <v>16</v>
      </c>
      <c r="G66" s="15" t="n">
        <v>16000</v>
      </c>
      <c r="H66" s="15" t="n">
        <f aca="false">+F66*G66</f>
        <v>256000</v>
      </c>
      <c r="I66" s="3"/>
      <c r="J66" s="3" t="s">
        <v>47</v>
      </c>
      <c r="K66" s="3" t="s">
        <v>266</v>
      </c>
      <c r="L66" s="67" t="n">
        <v>110000</v>
      </c>
      <c r="M66" s="3" t="s">
        <v>267</v>
      </c>
      <c r="N66" s="3"/>
    </row>
    <row r="67" customFormat="false" ht="29.85" hidden="false" customHeight="false" outlineLevel="0" collapsed="false">
      <c r="B67" s="46" t="n">
        <v>10</v>
      </c>
      <c r="C67" s="46" t="s">
        <v>268</v>
      </c>
      <c r="D67" s="58" t="s">
        <v>14</v>
      </c>
      <c r="E67" s="47" t="s">
        <v>269</v>
      </c>
      <c r="F67" s="62" t="n">
        <f aca="false">+U32</f>
        <v>12.67085</v>
      </c>
      <c r="G67" s="48" t="n">
        <v>55000</v>
      </c>
      <c r="H67" s="48" t="n">
        <f aca="false">+F67*G67</f>
        <v>696896.75</v>
      </c>
      <c r="I67" s="3"/>
      <c r="J67" s="3" t="s">
        <v>47</v>
      </c>
      <c r="K67" s="3" t="s">
        <v>270</v>
      </c>
      <c r="L67" s="67" t="n">
        <v>150000</v>
      </c>
      <c r="M67" s="3" t="s">
        <v>267</v>
      </c>
      <c r="N67" s="3"/>
    </row>
    <row r="68" customFormat="false" ht="29.85" hidden="false" customHeight="false" outlineLevel="0" collapsed="false">
      <c r="B68" s="3"/>
      <c r="C68" s="3"/>
      <c r="D68" s="3"/>
      <c r="E68" s="3"/>
      <c r="F68" s="3"/>
      <c r="G68" s="144" t="s">
        <v>19</v>
      </c>
      <c r="H68" s="145" t="n">
        <f aca="false">SUM(H59:H67)</f>
        <v>1807482.75</v>
      </c>
      <c r="I68" s="3"/>
      <c r="J68" s="146" t="s">
        <v>292</v>
      </c>
      <c r="K68" s="3"/>
      <c r="L68" s="67" t="n">
        <v>170000</v>
      </c>
      <c r="M68" s="3" t="s">
        <v>293</v>
      </c>
      <c r="N68" s="3"/>
    </row>
    <row r="69" customFormat="false" ht="17.35" hidden="false" customHeight="false" outlineLevel="0" collapsed="false">
      <c r="B69" s="3"/>
      <c r="C69" s="3"/>
      <c r="D69" s="3"/>
      <c r="E69" s="3"/>
      <c r="F69" s="3"/>
      <c r="G69" s="3"/>
      <c r="H69" s="3"/>
      <c r="I69" s="3"/>
      <c r="J69" s="3" t="s">
        <v>294</v>
      </c>
      <c r="K69" s="3" t="s">
        <v>295</v>
      </c>
      <c r="L69" s="3" t="n">
        <v>55000</v>
      </c>
      <c r="M69" s="3" t="s">
        <v>263</v>
      </c>
      <c r="N69" s="3"/>
    </row>
    <row r="70" customFormat="false" ht="17.35" hidden="false" customHeight="false" outlineLevel="0" collapsed="false">
      <c r="B70" s="42" t="s">
        <v>296</v>
      </c>
      <c r="C70" s="42"/>
      <c r="D70" s="42"/>
      <c r="E70" s="42"/>
      <c r="F70" s="42"/>
      <c r="G70" s="42"/>
      <c r="H70" s="42"/>
      <c r="I70" s="3"/>
      <c r="J70" s="3"/>
      <c r="K70" s="3"/>
      <c r="L70" s="3"/>
      <c r="M70" s="3"/>
      <c r="N70" s="3"/>
    </row>
    <row r="71" customFormat="false" ht="17.35" hidden="false" customHeight="false" outlineLevel="0" collapsed="false">
      <c r="B71" s="9" t="s">
        <v>5</v>
      </c>
      <c r="C71" s="9" t="s">
        <v>22</v>
      </c>
      <c r="D71" s="9" t="s">
        <v>51</v>
      </c>
      <c r="E71" s="9" t="s">
        <v>52</v>
      </c>
      <c r="F71" s="9" t="s">
        <v>53</v>
      </c>
      <c r="G71" s="9" t="s">
        <v>54</v>
      </c>
      <c r="H71" s="9" t="s">
        <v>55</v>
      </c>
      <c r="I71" s="3"/>
      <c r="J71" s="3"/>
      <c r="K71" s="3"/>
      <c r="L71" s="3"/>
      <c r="M71" s="3"/>
      <c r="N71" s="3"/>
    </row>
    <row r="72" customFormat="false" ht="29.85" hidden="false" customHeight="false" outlineLevel="0" collapsed="false">
      <c r="B72" s="46" t="n">
        <v>1</v>
      </c>
      <c r="C72" s="47" t="s">
        <v>297</v>
      </c>
      <c r="D72" s="58" t="s">
        <v>209</v>
      </c>
      <c r="E72" s="58" t="s">
        <v>298</v>
      </c>
      <c r="F72" s="143" t="n">
        <f aca="false">+F32</f>
        <v>16</v>
      </c>
      <c r="G72" s="48" t="n">
        <f aca="false">5*3650</f>
        <v>18250</v>
      </c>
      <c r="H72" s="48" t="n">
        <f aca="false">+F72*G72</f>
        <v>292000</v>
      </c>
      <c r="I72" s="3"/>
      <c r="J72" s="3"/>
      <c r="K72" s="3"/>
      <c r="L72" s="3"/>
      <c r="M72" s="3"/>
      <c r="N72" s="3"/>
    </row>
    <row r="73" customFormat="false" ht="29.85" hidden="false" customHeight="false" outlineLevel="0" collapsed="false">
      <c r="B73" s="46" t="n">
        <v>2</v>
      </c>
      <c r="C73" s="46" t="s">
        <v>299</v>
      </c>
      <c r="D73" s="58" t="s">
        <v>14</v>
      </c>
      <c r="E73" s="142" t="s">
        <v>300</v>
      </c>
      <c r="F73" s="60" t="n">
        <f aca="false">+V32</f>
        <v>22.54685</v>
      </c>
      <c r="G73" s="48" t="n">
        <f aca="false">3*3650</f>
        <v>10950</v>
      </c>
      <c r="H73" s="48" t="n">
        <f aca="false">+F73*G73</f>
        <v>246888.0075</v>
      </c>
      <c r="I73" s="3"/>
      <c r="J73" s="3"/>
      <c r="K73" s="3"/>
      <c r="L73" s="3"/>
      <c r="M73" s="3"/>
      <c r="N73" s="3"/>
    </row>
    <row r="74" customFormat="false" ht="29.85" hidden="false" customHeight="false" outlineLevel="0" collapsed="false">
      <c r="B74" s="46" t="n">
        <v>3</v>
      </c>
      <c r="C74" s="46" t="s">
        <v>301</v>
      </c>
      <c r="D74" s="58" t="s">
        <v>62</v>
      </c>
      <c r="E74" s="142" t="s">
        <v>302</v>
      </c>
      <c r="F74" s="143" t="n">
        <f aca="false">+O32/1000</f>
        <v>12.96</v>
      </c>
      <c r="G74" s="48" t="n">
        <f aca="false">1*3650</f>
        <v>3650</v>
      </c>
      <c r="H74" s="48" t="n">
        <f aca="false">+F74*G74</f>
        <v>47304</v>
      </c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B75" s="46" t="n">
        <v>4</v>
      </c>
      <c r="C75" s="46" t="s">
        <v>303</v>
      </c>
      <c r="D75" s="58" t="s">
        <v>62</v>
      </c>
      <c r="E75" s="13" t="s">
        <v>304</v>
      </c>
      <c r="F75" s="143" t="n">
        <f aca="false">+(N32/1000)*8</f>
        <v>124.24</v>
      </c>
      <c r="G75" s="48" t="n">
        <f aca="false">0.25*3650</f>
        <v>912.5</v>
      </c>
      <c r="H75" s="48" t="n">
        <f aca="false">+F75*G75</f>
        <v>113369</v>
      </c>
      <c r="I75" s="3"/>
      <c r="J75" s="3"/>
      <c r="K75" s="3"/>
      <c r="L75" s="3"/>
      <c r="M75" s="3"/>
      <c r="N75" s="3"/>
    </row>
    <row r="76" customFormat="false" ht="19.7" hidden="false" customHeight="false" outlineLevel="0" collapsed="false">
      <c r="B76" s="3"/>
      <c r="C76" s="3"/>
      <c r="D76" s="3"/>
      <c r="E76" s="3"/>
      <c r="F76" s="72"/>
      <c r="G76" s="73" t="s">
        <v>19</v>
      </c>
      <c r="H76" s="74" t="n">
        <f aca="false">SUM(H72:H75)</f>
        <v>699561.0075</v>
      </c>
      <c r="I76" s="3"/>
      <c r="J76" s="3"/>
      <c r="K76" s="3"/>
      <c r="L76" s="3"/>
      <c r="M76" s="3"/>
      <c r="N76" s="3"/>
    </row>
    <row r="77" customFormat="false" ht="17.35" hidden="false" customHeight="false" outlineLevel="0" collapsed="false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7.35" hidden="false" customHeight="false" outlineLevel="0" collapsed="false">
      <c r="B78" s="42" t="s">
        <v>271</v>
      </c>
      <c r="C78" s="42"/>
      <c r="D78" s="42"/>
      <c r="E78" s="42"/>
      <c r="F78" s="42"/>
      <c r="G78" s="42"/>
      <c r="H78" s="42"/>
      <c r="I78" s="3"/>
      <c r="J78" s="3"/>
      <c r="K78" s="3"/>
      <c r="L78" s="3"/>
      <c r="M78" s="3"/>
      <c r="N78" s="3"/>
    </row>
    <row r="79" customFormat="false" ht="17.35" hidden="false" customHeight="false" outlineLevel="0" collapsed="false">
      <c r="B79" s="9" t="s">
        <v>5</v>
      </c>
      <c r="C79" s="9" t="s">
        <v>22</v>
      </c>
      <c r="D79" s="9" t="s">
        <v>51</v>
      </c>
      <c r="E79" s="9" t="s">
        <v>74</v>
      </c>
      <c r="F79" s="9" t="s">
        <v>272</v>
      </c>
      <c r="G79" s="9" t="s">
        <v>54</v>
      </c>
      <c r="H79" s="9" t="s">
        <v>55</v>
      </c>
      <c r="I79" s="3"/>
      <c r="J79" s="3"/>
      <c r="K79" s="3"/>
      <c r="L79" s="3"/>
      <c r="M79" s="3"/>
      <c r="N79" s="3"/>
    </row>
    <row r="80" customFormat="false" ht="17.35" hidden="false" customHeight="false" outlineLevel="0" collapsed="false">
      <c r="B80" s="46" t="n">
        <v>1</v>
      </c>
      <c r="C80" s="46" t="s">
        <v>273</v>
      </c>
      <c r="D80" s="58" t="s">
        <v>57</v>
      </c>
      <c r="E80" s="46" t="n">
        <v>20</v>
      </c>
      <c r="F80" s="143" t="n">
        <f aca="false">+E80*F32</f>
        <v>320</v>
      </c>
      <c r="G80" s="48" t="n">
        <v>50</v>
      </c>
      <c r="H80" s="48" t="n">
        <f aca="false">+F80*G80</f>
        <v>16000</v>
      </c>
      <c r="I80" s="3"/>
      <c r="J80" s="3"/>
      <c r="K80" s="3"/>
      <c r="L80" s="3"/>
      <c r="M80" s="3"/>
      <c r="N80" s="3"/>
    </row>
    <row r="81" customFormat="false" ht="17.35" hidden="false" customHeight="false" outlineLevel="0" collapsed="false">
      <c r="B81" s="46" t="n">
        <v>2</v>
      </c>
      <c r="C81" s="46" t="s">
        <v>274</v>
      </c>
      <c r="D81" s="58" t="s">
        <v>57</v>
      </c>
      <c r="E81" s="46" t="n">
        <v>2</v>
      </c>
      <c r="F81" s="143" t="n">
        <f aca="false">+E81*F32</f>
        <v>32</v>
      </c>
      <c r="G81" s="48" t="n">
        <v>50</v>
      </c>
      <c r="H81" s="48" t="n">
        <f aca="false">+F81*G81</f>
        <v>1600</v>
      </c>
      <c r="I81" s="3"/>
      <c r="J81" s="3"/>
      <c r="K81" s="3"/>
      <c r="L81" s="3"/>
      <c r="M81" s="3"/>
      <c r="N81" s="3"/>
    </row>
    <row r="82" customFormat="false" ht="29.85" hidden="false" customHeight="false" outlineLevel="0" collapsed="false">
      <c r="B82" s="46" t="n">
        <v>3</v>
      </c>
      <c r="C82" s="47" t="s">
        <v>305</v>
      </c>
      <c r="D82" s="58" t="s">
        <v>62</v>
      </c>
      <c r="E82" s="62" t="n">
        <f aca="false">+(O32*2)/1000+((0.3*2)*F32)</f>
        <v>35.52</v>
      </c>
      <c r="F82" s="143" t="n">
        <f aca="false">+E82</f>
        <v>35.52</v>
      </c>
      <c r="G82" s="48" t="n">
        <v>55</v>
      </c>
      <c r="H82" s="48" t="n">
        <f aca="false">+F82*G82</f>
        <v>1953.6</v>
      </c>
      <c r="I82" s="3"/>
      <c r="J82" s="3"/>
      <c r="K82" s="3"/>
      <c r="L82" s="3"/>
      <c r="M82" s="3"/>
      <c r="N82" s="3"/>
    </row>
    <row r="83" customFormat="false" ht="17.35" hidden="false" customHeight="false" outlineLevel="0" collapsed="false">
      <c r="B83" s="46" t="n">
        <v>4</v>
      </c>
      <c r="C83" s="46" t="s">
        <v>306</v>
      </c>
      <c r="D83" s="58" t="s">
        <v>14</v>
      </c>
      <c r="E83" s="58" t="s">
        <v>307</v>
      </c>
      <c r="F83" s="60" t="n">
        <f aca="false">+G32*D32/1000000</f>
        <v>41.262</v>
      </c>
      <c r="G83" s="69" t="n">
        <v>3700</v>
      </c>
      <c r="H83" s="48" t="n">
        <f aca="false">+F83*G83</f>
        <v>152669.4</v>
      </c>
      <c r="I83" s="3"/>
      <c r="J83" s="3"/>
      <c r="K83" s="3"/>
      <c r="L83" s="3"/>
      <c r="M83" s="3"/>
      <c r="N83" s="3"/>
    </row>
    <row r="84" customFormat="false" ht="19.7" hidden="false" customHeight="false" outlineLevel="0" collapsed="false">
      <c r="B84" s="72"/>
      <c r="C84" s="72"/>
      <c r="D84" s="72"/>
      <c r="E84" s="72"/>
      <c r="F84" s="72"/>
      <c r="G84" s="73" t="s">
        <v>19</v>
      </c>
      <c r="H84" s="74" t="n">
        <f aca="false">SUM(H80:H83)</f>
        <v>172223</v>
      </c>
      <c r="I84" s="3"/>
      <c r="J84" s="3"/>
      <c r="K84" s="3"/>
      <c r="L84" s="3"/>
      <c r="M84" s="3"/>
      <c r="N84" s="3"/>
    </row>
    <row r="85" customFormat="false" ht="17.35" hidden="false" customHeight="false" outlineLevel="0" collapsed="false">
      <c r="I85" s="3"/>
      <c r="J85" s="3"/>
      <c r="K85" s="3"/>
      <c r="L85" s="3"/>
      <c r="M85" s="3"/>
      <c r="N85" s="3"/>
    </row>
    <row r="86" customFormat="false" ht="17.35" hidden="false" customHeight="false" outlineLevel="0" collapsed="false">
      <c r="B86" s="42" t="s">
        <v>271</v>
      </c>
      <c r="C86" s="42"/>
      <c r="D86" s="42"/>
      <c r="E86" s="42"/>
      <c r="F86" s="42"/>
      <c r="G86" s="42"/>
      <c r="H86" s="42"/>
      <c r="I86" s="3"/>
      <c r="J86" s="3"/>
      <c r="K86" s="3"/>
      <c r="L86" s="3"/>
      <c r="M86" s="3"/>
      <c r="N86" s="3"/>
    </row>
    <row r="87" customFormat="false" ht="17.35" hidden="false" customHeight="false" outlineLevel="0" collapsed="false">
      <c r="B87" s="9" t="s">
        <v>5</v>
      </c>
      <c r="C87" s="9" t="s">
        <v>22</v>
      </c>
      <c r="D87" s="9" t="s">
        <v>51</v>
      </c>
      <c r="E87" s="9" t="s">
        <v>74</v>
      </c>
      <c r="F87" s="9" t="s">
        <v>272</v>
      </c>
      <c r="G87" s="9" t="s">
        <v>54</v>
      </c>
      <c r="H87" s="9" t="s">
        <v>55</v>
      </c>
      <c r="I87" s="3"/>
      <c r="J87" s="3"/>
      <c r="K87" s="3"/>
      <c r="L87" s="3"/>
      <c r="M87" s="3"/>
      <c r="N87" s="3"/>
    </row>
    <row r="88" customFormat="false" ht="17.35" hidden="false" customHeight="false" outlineLevel="0" collapsed="false">
      <c r="B88" s="46" t="n">
        <v>1</v>
      </c>
      <c r="C88" s="59" t="s">
        <v>308</v>
      </c>
      <c r="D88" s="58" t="s">
        <v>277</v>
      </c>
      <c r="E88" s="135" t="n">
        <f aca="false">+((O32*2)/1000)+(F32*(0.5*2))</f>
        <v>41.92</v>
      </c>
      <c r="F88" s="143" t="n">
        <f aca="false">+E88</f>
        <v>41.92</v>
      </c>
      <c r="G88" s="48" t="n">
        <v>1000</v>
      </c>
      <c r="H88" s="48" t="n">
        <f aca="false">+F88*G88</f>
        <v>41920</v>
      </c>
      <c r="I88" s="3"/>
      <c r="J88" s="3"/>
      <c r="K88" s="3"/>
      <c r="L88" s="3"/>
      <c r="M88" s="3"/>
      <c r="N88" s="3"/>
    </row>
    <row r="89" customFormat="false" ht="17.35" hidden="false" customHeight="false" outlineLevel="0" collapsed="false">
      <c r="B89" s="46" t="n">
        <v>2</v>
      </c>
      <c r="C89" s="46" t="s">
        <v>278</v>
      </c>
      <c r="D89" s="58" t="s">
        <v>57</v>
      </c>
      <c r="E89" s="46" t="n">
        <v>2</v>
      </c>
      <c r="F89" s="143" t="n">
        <f aca="false">+E89*F32</f>
        <v>32</v>
      </c>
      <c r="G89" s="48" t="n">
        <v>50</v>
      </c>
      <c r="H89" s="48" t="n">
        <f aca="false">+F89*G89</f>
        <v>1600</v>
      </c>
      <c r="I89" s="3"/>
      <c r="J89" s="3"/>
      <c r="K89" s="3"/>
      <c r="L89" s="3"/>
      <c r="M89" s="3"/>
      <c r="N89" s="3"/>
    </row>
    <row r="90" customFormat="false" ht="17.35" hidden="false" customHeight="false" outlineLevel="0" collapsed="false">
      <c r="B90" s="46" t="n">
        <v>3</v>
      </c>
      <c r="C90" s="46" t="s">
        <v>279</v>
      </c>
      <c r="D90" s="58" t="s">
        <v>14</v>
      </c>
      <c r="E90" s="58" t="s">
        <v>309</v>
      </c>
      <c r="F90" s="60" t="n">
        <f aca="false">R32</f>
        <v>4.948</v>
      </c>
      <c r="G90" s="69" t="n">
        <v>55000</v>
      </c>
      <c r="H90" s="48" t="n">
        <f aca="false">+F90*G90</f>
        <v>272140</v>
      </c>
      <c r="I90" s="3"/>
      <c r="J90" s="3"/>
      <c r="K90" s="3"/>
      <c r="L90" s="3"/>
      <c r="M90" s="3"/>
      <c r="N90" s="3"/>
    </row>
    <row r="91" customFormat="false" ht="19.7" hidden="false" customHeight="false" outlineLevel="0" collapsed="false">
      <c r="B91" s="72"/>
      <c r="C91" s="72"/>
      <c r="D91" s="72"/>
      <c r="E91" s="72"/>
      <c r="F91" s="72"/>
      <c r="G91" s="73" t="s">
        <v>19</v>
      </c>
      <c r="H91" s="74" t="n">
        <f aca="false">SUM(H88:H90)</f>
        <v>315660</v>
      </c>
      <c r="I91" s="3"/>
      <c r="J91" s="3"/>
      <c r="K91" s="3"/>
      <c r="L91" s="3"/>
      <c r="M91" s="3"/>
      <c r="N91" s="3"/>
    </row>
    <row r="92" customFormat="false" ht="17.35" hidden="false" customHeight="false" outlineLevel="0" collapsed="false">
      <c r="B92" s="72"/>
      <c r="C92" s="72"/>
      <c r="D92" s="72"/>
      <c r="E92" s="72"/>
      <c r="F92" s="72"/>
      <c r="G92" s="3"/>
      <c r="H92" s="3"/>
      <c r="I92" s="3"/>
      <c r="J92" s="3"/>
      <c r="K92" s="3"/>
      <c r="L92" s="3"/>
      <c r="M92" s="3"/>
      <c r="N92" s="3"/>
    </row>
    <row r="93" customFormat="false" ht="24.45" hidden="false" customHeight="false" outlineLevel="0" collapsed="false">
      <c r="B93" s="75" t="s">
        <v>281</v>
      </c>
      <c r="C93" s="75"/>
      <c r="D93" s="75"/>
      <c r="E93" s="76"/>
      <c r="F93" s="75" t="s">
        <v>282</v>
      </c>
      <c r="G93" s="75"/>
      <c r="H93" s="75"/>
      <c r="I93" s="3"/>
      <c r="J93" s="75" t="s">
        <v>283</v>
      </c>
      <c r="K93" s="75"/>
      <c r="L93" s="75"/>
      <c r="M93" s="3"/>
      <c r="N93" s="75" t="s">
        <v>284</v>
      </c>
      <c r="O93" s="75"/>
      <c r="P93" s="75"/>
      <c r="R93" s="147" t="s">
        <v>310</v>
      </c>
      <c r="S93" s="147"/>
      <c r="T93" s="147"/>
    </row>
    <row r="94" customFormat="false" ht="37.3" hidden="false" customHeight="false" outlineLevel="0" collapsed="false">
      <c r="B94" s="77" t="s">
        <v>95</v>
      </c>
      <c r="C94" s="77" t="s">
        <v>96</v>
      </c>
      <c r="D94" s="77" t="s">
        <v>97</v>
      </c>
      <c r="E94" s="3"/>
      <c r="F94" s="77" t="s">
        <v>95</v>
      </c>
      <c r="G94" s="77" t="s">
        <v>96</v>
      </c>
      <c r="H94" s="77" t="s">
        <v>97</v>
      </c>
      <c r="I94" s="3"/>
      <c r="J94" s="77" t="s">
        <v>95</v>
      </c>
      <c r="K94" s="77" t="s">
        <v>96</v>
      </c>
      <c r="L94" s="77" t="s">
        <v>97</v>
      </c>
      <c r="M94" s="3"/>
      <c r="N94" s="77" t="s">
        <v>95</v>
      </c>
      <c r="O94" s="77" t="s">
        <v>96</v>
      </c>
      <c r="P94" s="77" t="s">
        <v>97</v>
      </c>
      <c r="R94" s="77" t="s">
        <v>95</v>
      </c>
      <c r="S94" s="77" t="s">
        <v>96</v>
      </c>
      <c r="T94" s="77" t="s">
        <v>97</v>
      </c>
    </row>
    <row r="95" customFormat="false" ht="22.05" hidden="false" customHeight="false" outlineLevel="0" collapsed="false">
      <c r="B95" s="78" t="n">
        <v>1</v>
      </c>
      <c r="C95" s="79" t="s">
        <v>98</v>
      </c>
      <c r="D95" s="80" t="n">
        <f aca="false">+J38*3.5</f>
        <v>423.5</v>
      </c>
      <c r="E95" s="3"/>
      <c r="F95" s="78" t="n">
        <v>1</v>
      </c>
      <c r="G95" s="79" t="s">
        <v>98</v>
      </c>
      <c r="H95" s="80" t="n">
        <f aca="false">(J38+J50)*4</f>
        <v>770</v>
      </c>
      <c r="I95" s="3"/>
      <c r="J95" s="78" t="n">
        <v>1</v>
      </c>
      <c r="K95" s="79" t="s">
        <v>98</v>
      </c>
      <c r="L95" s="80" t="n">
        <f aca="false">(J38+J55)*4.2</f>
        <v>611.94</v>
      </c>
      <c r="M95" s="3"/>
      <c r="N95" s="78" t="n">
        <v>1</v>
      </c>
      <c r="O95" s="79" t="s">
        <v>98</v>
      </c>
      <c r="P95" s="80" t="n">
        <f aca="false">+J56*4</f>
        <v>868.8</v>
      </c>
      <c r="R95" s="78" t="n">
        <v>1</v>
      </c>
      <c r="S95" s="79" t="s">
        <v>98</v>
      </c>
      <c r="T95" s="80" t="n">
        <f aca="false">+(J38+J44+J55)*4</f>
        <v>697.8</v>
      </c>
    </row>
    <row r="96" customFormat="false" ht="22.05" hidden="false" customHeight="false" outlineLevel="0" collapsed="false">
      <c r="B96" s="78" t="n">
        <v>2</v>
      </c>
      <c r="C96" s="79" t="s">
        <v>99</v>
      </c>
      <c r="D96" s="80" t="n">
        <f aca="false">+H68/3650</f>
        <v>495.200753424658</v>
      </c>
      <c r="E96" s="3"/>
      <c r="F96" s="78" t="n">
        <v>2</v>
      </c>
      <c r="G96" s="79" t="s">
        <v>99</v>
      </c>
      <c r="H96" s="80" t="n">
        <f aca="false">+(H68+H84)/3650</f>
        <v>542.385136986301</v>
      </c>
      <c r="I96" s="3"/>
      <c r="J96" s="78" t="n">
        <v>2</v>
      </c>
      <c r="K96" s="79" t="s">
        <v>99</v>
      </c>
      <c r="L96" s="80" t="n">
        <f aca="false">+(H68+H91)/3650</f>
        <v>581.682945205479</v>
      </c>
      <c r="M96" s="3"/>
      <c r="N96" s="78" t="n">
        <v>2</v>
      </c>
      <c r="O96" s="79" t="s">
        <v>99</v>
      </c>
      <c r="P96" s="80" t="n">
        <f aca="false">+(H68+H84+H91)/3650</f>
        <v>628.867328767123</v>
      </c>
      <c r="R96" s="78" t="n">
        <v>2</v>
      </c>
      <c r="S96" s="79" t="s">
        <v>99</v>
      </c>
      <c r="T96" s="80" t="n">
        <f aca="false">+(H68+H76+H91)/3650</f>
        <v>773.34349520548</v>
      </c>
    </row>
    <row r="97" customFormat="false" ht="22.05" hidden="false" customHeight="false" outlineLevel="0" collapsed="false">
      <c r="B97" s="78" t="n">
        <v>3</v>
      </c>
      <c r="C97" s="79" t="s">
        <v>100</v>
      </c>
      <c r="D97" s="80" t="n">
        <f aca="false">+U32*10</f>
        <v>126.7085</v>
      </c>
      <c r="E97" s="3"/>
      <c r="F97" s="78" t="n">
        <v>3</v>
      </c>
      <c r="G97" s="79" t="s">
        <v>100</v>
      </c>
      <c r="H97" s="80" t="n">
        <f aca="false">+U32*12</f>
        <v>152.0502</v>
      </c>
      <c r="I97" s="3"/>
      <c r="J97" s="78" t="n">
        <v>3</v>
      </c>
      <c r="K97" s="79" t="s">
        <v>100</v>
      </c>
      <c r="L97" s="80" t="n">
        <f aca="false">+T32*15</f>
        <v>279.88275</v>
      </c>
      <c r="M97" s="3"/>
      <c r="N97" s="78" t="n">
        <v>3</v>
      </c>
      <c r="O97" s="79" t="s">
        <v>100</v>
      </c>
      <c r="P97" s="80" t="n">
        <f aca="false">+V32*15</f>
        <v>338.20275</v>
      </c>
      <c r="R97" s="78" t="n">
        <v>3</v>
      </c>
      <c r="S97" s="79" t="s">
        <v>100</v>
      </c>
      <c r="T97" s="80" t="n">
        <f aca="false">+V32*15</f>
        <v>338.20275</v>
      </c>
    </row>
    <row r="98" customFormat="false" ht="22.05" hidden="false" customHeight="false" outlineLevel="0" collapsed="false">
      <c r="B98" s="78" t="n">
        <v>4</v>
      </c>
      <c r="C98" s="79" t="s">
        <v>101</v>
      </c>
      <c r="D98" s="80" t="n">
        <f aca="false">+U32*0</f>
        <v>0</v>
      </c>
      <c r="E98" s="3"/>
      <c r="F98" s="78" t="n">
        <v>4</v>
      </c>
      <c r="G98" s="79" t="s">
        <v>101</v>
      </c>
      <c r="H98" s="80" t="n">
        <f aca="false">+S32*0</f>
        <v>0</v>
      </c>
      <c r="I98" s="3"/>
      <c r="J98" s="78" t="n">
        <v>4</v>
      </c>
      <c r="K98" s="79" t="s">
        <v>101</v>
      </c>
      <c r="L98" s="80" t="n">
        <f aca="false">+T32*0</f>
        <v>0</v>
      </c>
      <c r="M98" s="3"/>
      <c r="N98" s="78" t="n">
        <v>4</v>
      </c>
      <c r="O98" s="79" t="s">
        <v>101</v>
      </c>
      <c r="P98" s="80" t="n">
        <f aca="false">+V32*0</f>
        <v>0</v>
      </c>
      <c r="R98" s="78" t="n">
        <v>4</v>
      </c>
      <c r="S98" s="79" t="s">
        <v>101</v>
      </c>
      <c r="T98" s="80" t="n">
        <f aca="false">+Z32*0</f>
        <v>0</v>
      </c>
    </row>
    <row r="99" customFormat="false" ht="22.05" hidden="false" customHeight="false" outlineLevel="0" collapsed="false">
      <c r="B99" s="3"/>
      <c r="C99" s="81" t="s">
        <v>19</v>
      </c>
      <c r="D99" s="80" t="n">
        <f aca="false">SUM(D95:D98)</f>
        <v>1045.40925342466</v>
      </c>
      <c r="E99" s="3"/>
      <c r="F99" s="3"/>
      <c r="G99" s="81" t="s">
        <v>19</v>
      </c>
      <c r="H99" s="80" t="n">
        <f aca="false">SUM(H95:H98)</f>
        <v>1464.4353369863</v>
      </c>
      <c r="I99" s="3"/>
      <c r="J99" s="3"/>
      <c r="K99" s="81" t="s">
        <v>19</v>
      </c>
      <c r="L99" s="80" t="n">
        <f aca="false">SUM(L95:L98)</f>
        <v>1473.50569520548</v>
      </c>
      <c r="M99" s="3"/>
      <c r="N99" s="3"/>
      <c r="O99" s="81" t="s">
        <v>19</v>
      </c>
      <c r="P99" s="80" t="n">
        <f aca="false">SUM(P95:P98)</f>
        <v>1835.87007876712</v>
      </c>
      <c r="R99" s="3"/>
      <c r="S99" s="81" t="s">
        <v>19</v>
      </c>
      <c r="T99" s="80" t="n">
        <f aca="false">SUM(T95:T98)</f>
        <v>1809.34624520548</v>
      </c>
    </row>
    <row r="100" customFormat="false" ht="22.05" hidden="false" customHeight="false" outlineLevel="0" collapsed="false">
      <c r="B100" s="3"/>
      <c r="C100" s="81" t="s">
        <v>102</v>
      </c>
      <c r="D100" s="82" t="n">
        <f aca="false">+D99*30%</f>
        <v>313.622776027397</v>
      </c>
      <c r="E100" s="3"/>
      <c r="F100" s="3"/>
      <c r="G100" s="81" t="s">
        <v>102</v>
      </c>
      <c r="H100" s="82" t="n">
        <f aca="false">+H99*30%</f>
        <v>439.330601095891</v>
      </c>
      <c r="I100" s="3"/>
      <c r="J100" s="3"/>
      <c r="K100" s="81" t="s">
        <v>102</v>
      </c>
      <c r="L100" s="82" t="n">
        <f aca="false">+L99*30%</f>
        <v>442.051708561644</v>
      </c>
      <c r="M100" s="3"/>
      <c r="N100" s="3"/>
      <c r="O100" s="81" t="s">
        <v>102</v>
      </c>
      <c r="P100" s="82" t="n">
        <f aca="false">+P99*30%</f>
        <v>550.761023630137</v>
      </c>
      <c r="R100" s="3"/>
      <c r="S100" s="81" t="s">
        <v>102</v>
      </c>
      <c r="T100" s="82" t="n">
        <f aca="false">+T99*30%</f>
        <v>542.803873561644</v>
      </c>
    </row>
    <row r="101" customFormat="false" ht="22.05" hidden="false" customHeight="false" outlineLevel="0" collapsed="false">
      <c r="B101" s="3"/>
      <c r="C101" s="83" t="s">
        <v>103</v>
      </c>
      <c r="D101" s="84" t="n">
        <f aca="false">+D99+D100</f>
        <v>1359.03202945205</v>
      </c>
      <c r="E101" s="3"/>
      <c r="F101" s="3"/>
      <c r="G101" s="83" t="s">
        <v>103</v>
      </c>
      <c r="H101" s="84" t="n">
        <f aca="false">+H99+H100</f>
        <v>1903.76593808219</v>
      </c>
      <c r="I101" s="3"/>
      <c r="J101" s="3"/>
      <c r="K101" s="83" t="s">
        <v>103</v>
      </c>
      <c r="L101" s="84" t="n">
        <f aca="false">+L99+L100</f>
        <v>1915.55740376712</v>
      </c>
      <c r="M101" s="3"/>
      <c r="N101" s="3"/>
      <c r="O101" s="83" t="s">
        <v>103</v>
      </c>
      <c r="P101" s="84" t="n">
        <f aca="false">+P99+P100</f>
        <v>2386.63110239726</v>
      </c>
      <c r="R101" s="3"/>
      <c r="S101" s="83" t="s">
        <v>103</v>
      </c>
      <c r="T101" s="84" t="n">
        <f aca="false">+T99+T100</f>
        <v>2352.15011876712</v>
      </c>
    </row>
    <row r="102" customFormat="false" ht="22.05" hidden="false" customHeight="false" outlineLevel="0" collapsed="false">
      <c r="B102" s="3"/>
      <c r="C102" s="87" t="s">
        <v>104</v>
      </c>
      <c r="D102" s="88" t="n">
        <f aca="false">+D99/U32</f>
        <v>82.5050610988732</v>
      </c>
      <c r="E102" s="3"/>
      <c r="F102" s="3"/>
      <c r="G102" s="87" t="s">
        <v>104</v>
      </c>
      <c r="H102" s="88" t="n">
        <f aca="false">+H99/V32</f>
        <v>64.9507730342066</v>
      </c>
      <c r="I102" s="3"/>
      <c r="J102" s="3"/>
      <c r="K102" s="87" t="s">
        <v>104</v>
      </c>
      <c r="L102" s="88" t="n">
        <f aca="false">+L99/T32</f>
        <v>78.9708741538455</v>
      </c>
      <c r="M102" s="3"/>
      <c r="N102" s="3"/>
      <c r="O102" s="87" t="s">
        <v>104</v>
      </c>
      <c r="P102" s="88" t="n">
        <f aca="false">+P99/V32</f>
        <v>81.4246814418477</v>
      </c>
      <c r="R102" s="3"/>
      <c r="S102" s="87" t="s">
        <v>104</v>
      </c>
      <c r="T102" s="88" t="n">
        <f aca="false">+T99/V32</f>
        <v>80.2482938949556</v>
      </c>
    </row>
    <row r="103" customFormat="false" ht="37.3" hidden="false" customHeight="false" outlineLevel="0" collapsed="false">
      <c r="B103" s="3"/>
      <c r="C103" s="89" t="s">
        <v>105</v>
      </c>
      <c r="D103" s="90" t="n">
        <f aca="false">+D101/U32</f>
        <v>107.256579428535</v>
      </c>
      <c r="E103" s="3"/>
      <c r="F103" s="3"/>
      <c r="G103" s="89" t="s">
        <v>105</v>
      </c>
      <c r="H103" s="90" t="n">
        <f aca="false">+H101/V32</f>
        <v>84.4360049444686</v>
      </c>
      <c r="J103" s="3"/>
      <c r="K103" s="89" t="s">
        <v>105</v>
      </c>
      <c r="L103" s="90" t="n">
        <f aca="false">+L101/T32</f>
        <v>102.662136399999</v>
      </c>
      <c r="M103" s="3"/>
      <c r="N103" s="3"/>
      <c r="O103" s="89" t="s">
        <v>105</v>
      </c>
      <c r="P103" s="90" t="n">
        <f aca="false">+P101/V32</f>
        <v>105.852085874402</v>
      </c>
      <c r="R103" s="3"/>
      <c r="S103" s="89" t="s">
        <v>105</v>
      </c>
      <c r="T103" s="90" t="n">
        <f aca="false">+T101/V32</f>
        <v>104.322782063442</v>
      </c>
    </row>
    <row r="104" customFormat="false" ht="17.35" hidden="false" customHeight="false" outlineLevel="0" collapsed="false">
      <c r="J104" s="67"/>
      <c r="K104" s="67"/>
      <c r="L104" s="68"/>
      <c r="M104" s="3"/>
    </row>
    <row r="105" customFormat="false" ht="17.35" hidden="false" customHeight="false" outlineLevel="0" collapsed="false">
      <c r="J105" s="67"/>
      <c r="K105" s="67"/>
      <c r="L105" s="68"/>
      <c r="M105" s="3"/>
    </row>
    <row r="106" customFormat="false" ht="17.35" hidden="false" customHeight="false" outlineLevel="0" collapsed="false">
      <c r="J106" s="67"/>
      <c r="K106" s="67"/>
      <c r="L106" s="68"/>
      <c r="M106" s="3"/>
    </row>
    <row r="107" customFormat="false" ht="17.35" hidden="false" customHeight="false" outlineLevel="0" collapsed="false">
      <c r="J107" s="67"/>
      <c r="K107" s="67"/>
      <c r="L107" s="68"/>
      <c r="M107" s="3"/>
    </row>
  </sheetData>
  <mergeCells count="26">
    <mergeCell ref="B3:V3"/>
    <mergeCell ref="B32:C32"/>
    <mergeCell ref="B34:J34"/>
    <mergeCell ref="B39:M39"/>
    <mergeCell ref="K40:M40"/>
    <mergeCell ref="K41:M41"/>
    <mergeCell ref="K42:M42"/>
    <mergeCell ref="K43:M43"/>
    <mergeCell ref="B45:M45"/>
    <mergeCell ref="K46:M46"/>
    <mergeCell ref="K47:M47"/>
    <mergeCell ref="K48:M48"/>
    <mergeCell ref="K49:M49"/>
    <mergeCell ref="B51:M51"/>
    <mergeCell ref="K52:M52"/>
    <mergeCell ref="K53:M53"/>
    <mergeCell ref="K54:M54"/>
    <mergeCell ref="B57:H57"/>
    <mergeCell ref="B70:H70"/>
    <mergeCell ref="B78:H78"/>
    <mergeCell ref="B86:H86"/>
    <mergeCell ref="B93:D93"/>
    <mergeCell ref="F93:H93"/>
    <mergeCell ref="J93:L93"/>
    <mergeCell ref="N93:P93"/>
    <mergeCell ref="R93:T9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U9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4" topLeftCell="A53" activePane="bottomLeft" state="frozen"/>
      <selection pane="topLeft" activeCell="A1" activeCellId="0" sqref="A1"/>
      <selection pane="bottomLeft" activeCell="F73" activeCellId="0" sqref="F73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30.33"/>
    <col collapsed="false" customWidth="true" hidden="false" outlineLevel="0" max="4" min="4" style="0" width="19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  <col collapsed="false" customWidth="true" hidden="false" outlineLevel="0" max="18" min="17" style="0" width="12.18"/>
  </cols>
  <sheetData>
    <row r="3" customFormat="false" ht="22.05" hidden="false" customHeight="false" outlineLevel="0" collapsed="false">
      <c r="B3" s="7" t="s">
        <v>311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7.3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312</v>
      </c>
      <c r="I4" s="10" t="s">
        <v>11</v>
      </c>
      <c r="J4" s="10" t="s">
        <v>13</v>
      </c>
      <c r="K4" s="10" t="s">
        <v>239</v>
      </c>
      <c r="L4" s="10" t="s">
        <v>313</v>
      </c>
      <c r="M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950</v>
      </c>
      <c r="E5" s="15" t="n">
        <v>2450</v>
      </c>
      <c r="F5" s="15" t="n">
        <v>1</v>
      </c>
      <c r="G5" s="15" t="n">
        <v>300</v>
      </c>
      <c r="H5" s="15" t="n">
        <f aca="false">+E5-G5</f>
        <v>2150</v>
      </c>
      <c r="I5" s="15" t="n">
        <f aca="false">+D5*F5</f>
        <v>950</v>
      </c>
      <c r="J5" s="15" t="n">
        <f aca="false">+E5*F5</f>
        <v>2450</v>
      </c>
      <c r="K5" s="96" t="n">
        <f aca="false">G5*D5/1000000</f>
        <v>0.285</v>
      </c>
      <c r="L5" s="16" t="n">
        <f aca="false">+((D5*H5)/1000000)*F5</f>
        <v>2.0425</v>
      </c>
      <c r="M5" s="16" t="n">
        <f aca="false">+D5*E5/1000000*F5</f>
        <v>2.3275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950</v>
      </c>
      <c r="E6" s="15" t="n">
        <v>2450</v>
      </c>
      <c r="F6" s="15" t="n">
        <v>1</v>
      </c>
      <c r="G6" s="15" t="n">
        <v>300</v>
      </c>
      <c r="H6" s="15" t="n">
        <f aca="false">+E6-G6</f>
        <v>2150</v>
      </c>
      <c r="I6" s="15" t="n">
        <f aca="false">+D6*F6</f>
        <v>950</v>
      </c>
      <c r="J6" s="15" t="n">
        <f aca="false">+E6*F6</f>
        <v>2450</v>
      </c>
      <c r="K6" s="96" t="n">
        <f aca="false">G6*D6/1000000</f>
        <v>0.285</v>
      </c>
      <c r="L6" s="16" t="n">
        <f aca="false">+((D6*H6)/1000000)*F6</f>
        <v>2.0425</v>
      </c>
      <c r="M6" s="16" t="n">
        <f aca="false">+D6*E6/1000000*F6</f>
        <v>2.3275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1030</v>
      </c>
      <c r="E7" s="15" t="n">
        <v>2610</v>
      </c>
      <c r="F7" s="15" t="n">
        <v>1</v>
      </c>
      <c r="G7" s="15" t="n">
        <v>300</v>
      </c>
      <c r="H7" s="15" t="n">
        <f aca="false">+E7-G7</f>
        <v>2310</v>
      </c>
      <c r="I7" s="15" t="n">
        <f aca="false">+D7*F7</f>
        <v>1030</v>
      </c>
      <c r="J7" s="15" t="n">
        <f aca="false">+E7*F7</f>
        <v>2610</v>
      </c>
      <c r="K7" s="96" t="n">
        <f aca="false">G7*D7/1000000</f>
        <v>0.309</v>
      </c>
      <c r="L7" s="16" t="n">
        <f aca="false">+((D7*H7)/1000000)*F7</f>
        <v>2.3793</v>
      </c>
      <c r="M7" s="16" t="n">
        <f aca="false">+D7*E7/1000000*F7</f>
        <v>2.6883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/>
      <c r="E8" s="15"/>
      <c r="F8" s="15"/>
      <c r="G8" s="15" t="n">
        <v>0</v>
      </c>
      <c r="H8" s="15" t="n">
        <f aca="false">+E8-G8</f>
        <v>0</v>
      </c>
      <c r="I8" s="15" t="n">
        <f aca="false">+D8*F8</f>
        <v>0</v>
      </c>
      <c r="J8" s="15" t="n">
        <f aca="false">+E8*F8</f>
        <v>0</v>
      </c>
      <c r="K8" s="96" t="n">
        <f aca="false">G8*D8/1000000</f>
        <v>0</v>
      </c>
      <c r="L8" s="16" t="n">
        <f aca="false">+((D8*H8)/1000000)*F8</f>
        <v>0</v>
      </c>
      <c r="M8" s="16" t="n">
        <f aca="false">+D8*E8/1000000*F8</f>
        <v>0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 t="n">
        <v>0</v>
      </c>
      <c r="H9" s="15" t="n">
        <f aca="false">+E9-G9</f>
        <v>0</v>
      </c>
      <c r="I9" s="15" t="n">
        <f aca="false">+D9*F9</f>
        <v>0</v>
      </c>
      <c r="J9" s="15" t="n">
        <f aca="false">+E9*F9</f>
        <v>0</v>
      </c>
      <c r="K9" s="96" t="n">
        <f aca="false">G9*D9/1000000</f>
        <v>0</v>
      </c>
      <c r="L9" s="16" t="n">
        <f aca="false">+((D9*H9)/1000000)*F9</f>
        <v>0</v>
      </c>
      <c r="M9" s="16" t="n">
        <f aca="false">+D9*E9/1000000*F9</f>
        <v>0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 t="n">
        <v>0</v>
      </c>
      <c r="H10" s="15" t="n">
        <f aca="false">+E10-G10</f>
        <v>0</v>
      </c>
      <c r="I10" s="15" t="n">
        <f aca="false">+D10*F10</f>
        <v>0</v>
      </c>
      <c r="J10" s="15" t="n">
        <f aca="false">+E10*F10</f>
        <v>0</v>
      </c>
      <c r="K10" s="96" t="n">
        <f aca="false">G10*D10/1000000</f>
        <v>0</v>
      </c>
      <c r="L10" s="16" t="n">
        <f aca="false">+((D10*H10)/1000000)*F10</f>
        <v>0</v>
      </c>
      <c r="M10" s="16" t="n">
        <f aca="false">+D10*E10/1000000*F10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 t="n">
        <v>0</v>
      </c>
      <c r="H11" s="15" t="n">
        <f aca="false">+E11-G11</f>
        <v>0</v>
      </c>
      <c r="I11" s="15" t="n">
        <f aca="false">+D11*F11</f>
        <v>0</v>
      </c>
      <c r="J11" s="15" t="n">
        <f aca="false">+E11*F11</f>
        <v>0</v>
      </c>
      <c r="K11" s="96" t="n">
        <f aca="false">G11*D11/1000000</f>
        <v>0</v>
      </c>
      <c r="L11" s="16" t="n">
        <f aca="false">+((D11*H11)/1000000)*F11</f>
        <v>0</v>
      </c>
      <c r="M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 t="n">
        <v>0</v>
      </c>
      <c r="H12" s="15" t="n">
        <f aca="false">+E12-G12</f>
        <v>0</v>
      </c>
      <c r="I12" s="15" t="n">
        <f aca="false">+D12*F12</f>
        <v>0</v>
      </c>
      <c r="J12" s="15" t="n">
        <f aca="false">+E12*F12</f>
        <v>0</v>
      </c>
      <c r="K12" s="96" t="n">
        <f aca="false">G12*D12/1000000</f>
        <v>0</v>
      </c>
      <c r="L12" s="16" t="n">
        <f aca="false">+((D12*H12)/1000000)*F12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 t="n">
        <v>0</v>
      </c>
      <c r="H13" s="15" t="n">
        <f aca="false">+E13-G13</f>
        <v>0</v>
      </c>
      <c r="I13" s="15" t="n">
        <f aca="false">+D13*F13</f>
        <v>0</v>
      </c>
      <c r="J13" s="15" t="n">
        <f aca="false">+E13*F13</f>
        <v>0</v>
      </c>
      <c r="K13" s="96" t="n">
        <f aca="false">G13*D13/1000000</f>
        <v>0</v>
      </c>
      <c r="L13" s="16" t="n">
        <f aca="false">+((D13*H13)/1000000)*F13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 t="n">
        <v>0</v>
      </c>
      <c r="H14" s="15" t="n">
        <f aca="false">+E14-G14</f>
        <v>0</v>
      </c>
      <c r="I14" s="15" t="n">
        <f aca="false">+D14*F14</f>
        <v>0</v>
      </c>
      <c r="J14" s="15" t="n">
        <f aca="false">+E14*F14</f>
        <v>0</v>
      </c>
      <c r="K14" s="96" t="n">
        <f aca="false">G14*D14/1000000</f>
        <v>0</v>
      </c>
      <c r="L14" s="16" t="n">
        <f aca="false">+((D14*H14)/1000000)*F14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 t="n">
        <v>0</v>
      </c>
      <c r="H15" s="15" t="n">
        <f aca="false">+E15-G15</f>
        <v>0</v>
      </c>
      <c r="I15" s="15" t="n">
        <f aca="false">+D15*F15</f>
        <v>0</v>
      </c>
      <c r="J15" s="15" t="n">
        <f aca="false">+E15*F15</f>
        <v>0</v>
      </c>
      <c r="K15" s="96" t="n">
        <f aca="false">G15*D15/1000000</f>
        <v>0</v>
      </c>
      <c r="L15" s="16" t="n">
        <f aca="false">+((D15*H15)/1000000)*F15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 t="n">
        <v>0</v>
      </c>
      <c r="H16" s="15" t="n">
        <f aca="false">+E16-G16</f>
        <v>0</v>
      </c>
      <c r="I16" s="15" t="n">
        <f aca="false">+D16*F16</f>
        <v>0</v>
      </c>
      <c r="J16" s="15" t="n">
        <f aca="false">+E16*F16</f>
        <v>0</v>
      </c>
      <c r="K16" s="96" t="n">
        <f aca="false">G16*D16/1000000</f>
        <v>0</v>
      </c>
      <c r="L16" s="16" t="n">
        <f aca="false">+((D16*H16)/1000000)*F16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 t="n">
        <v>0</v>
      </c>
      <c r="H17" s="15" t="n">
        <f aca="false">+E17-G17</f>
        <v>0</v>
      </c>
      <c r="I17" s="15" t="n">
        <f aca="false">+D17*F17</f>
        <v>0</v>
      </c>
      <c r="J17" s="15" t="n">
        <f aca="false">+E17*F17</f>
        <v>0</v>
      </c>
      <c r="K17" s="96" t="n">
        <f aca="false">G17*D17/1000000</f>
        <v>0</v>
      </c>
      <c r="L17" s="16" t="n">
        <f aca="false">+((D17*H17)/1000000)*F17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 t="n">
        <v>0</v>
      </c>
      <c r="H18" s="15" t="n">
        <f aca="false">+E18-G18</f>
        <v>0</v>
      </c>
      <c r="I18" s="15" t="n">
        <f aca="false">+D18*F18</f>
        <v>0</v>
      </c>
      <c r="J18" s="15" t="n">
        <f aca="false">+E18*F18</f>
        <v>0</v>
      </c>
      <c r="K18" s="96" t="n">
        <f aca="false">G18*D18/1000000</f>
        <v>0</v>
      </c>
      <c r="L18" s="16" t="n">
        <f aca="false">+((D18*H18)/1000000)*F18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 t="n">
        <v>0</v>
      </c>
      <c r="H19" s="15" t="n">
        <f aca="false">+E19-G19</f>
        <v>0</v>
      </c>
      <c r="I19" s="15" t="n">
        <f aca="false">+D19*F19</f>
        <v>0</v>
      </c>
      <c r="J19" s="15" t="n">
        <f aca="false">+E19*F19</f>
        <v>0</v>
      </c>
      <c r="K19" s="96" t="n">
        <f aca="false">G19*D19/1000000</f>
        <v>0</v>
      </c>
      <c r="L19" s="16" t="n">
        <f aca="false">+((D19*H19)/1000000)*F19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 t="n">
        <v>0</v>
      </c>
      <c r="H20" s="15" t="n">
        <f aca="false">+E20-G20</f>
        <v>0</v>
      </c>
      <c r="I20" s="15" t="n">
        <f aca="false">+D20*F20</f>
        <v>0</v>
      </c>
      <c r="J20" s="15" t="n">
        <f aca="false">+E20*F20</f>
        <v>0</v>
      </c>
      <c r="K20" s="96" t="n">
        <f aca="false">G20*D20/1000000</f>
        <v>0</v>
      </c>
      <c r="L20" s="16" t="n">
        <f aca="false">+((D20*H20)/1000000)*F20</f>
        <v>0</v>
      </c>
      <c r="M20" s="16" t="n">
        <f aca="false">+D20*E20/1000000*F20</f>
        <v>0</v>
      </c>
      <c r="P20" s="138" t="n">
        <f aca="false">(8250*6)+(3250*7)</f>
        <v>72250</v>
      </c>
      <c r="Q20" s="138" t="n">
        <f aca="false">+P20*5</f>
        <v>361250</v>
      </c>
      <c r="R20" s="138" t="n">
        <f aca="false">+Q20+(Q20*10%)</f>
        <v>397375</v>
      </c>
      <c r="S20" s="138" t="n">
        <f aca="false">+R20/6400</f>
        <v>62.08984375</v>
      </c>
      <c r="T20" s="0" t="n">
        <v>63</v>
      </c>
      <c r="U20" s="138" t="n">
        <f aca="false">+(T20*7.4)*4.2</f>
        <v>1958.04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 t="n">
        <v>0</v>
      </c>
      <c r="H21" s="15" t="n">
        <f aca="false">+E21-G21</f>
        <v>0</v>
      </c>
      <c r="I21" s="15" t="n">
        <f aca="false">+D21*F21</f>
        <v>0</v>
      </c>
      <c r="J21" s="15" t="n">
        <f aca="false">+E21*F21</f>
        <v>0</v>
      </c>
      <c r="K21" s="96" t="n">
        <f aca="false">G21*D21/1000000</f>
        <v>0</v>
      </c>
      <c r="L21" s="16" t="n">
        <f aca="false">+((D21*H21)/1000000)*F21</f>
        <v>0</v>
      </c>
      <c r="M21" s="16" t="n">
        <f aca="false">+D21*E21/1000000*F21</f>
        <v>0</v>
      </c>
      <c r="S21" s="0" t="n">
        <v>140000</v>
      </c>
      <c r="T21" s="0" t="n">
        <v>140</v>
      </c>
      <c r="U21" s="138" t="n">
        <f aca="false">+(S21*T21)/3650</f>
        <v>5369.86301369863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 t="n">
        <v>0</v>
      </c>
      <c r="H22" s="15" t="n">
        <f aca="false">+E22-G22</f>
        <v>0</v>
      </c>
      <c r="I22" s="15" t="n">
        <f aca="false">+D22*F22</f>
        <v>0</v>
      </c>
      <c r="J22" s="15" t="n">
        <f aca="false">+E22*F22</f>
        <v>0</v>
      </c>
      <c r="K22" s="96" t="n">
        <f aca="false">G22*D22/1000000</f>
        <v>0</v>
      </c>
      <c r="L22" s="16" t="n">
        <f aca="false">+((D22*H22)/1000000)*F22</f>
        <v>0</v>
      </c>
      <c r="M22" s="16" t="n">
        <f aca="false">+D22*E22/1000000*F22</f>
        <v>0</v>
      </c>
      <c r="U22" s="148" t="n">
        <f aca="false">SUM(U20:U21)</f>
        <v>7327.90301369863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 t="n">
        <v>0</v>
      </c>
      <c r="H23" s="15" t="n">
        <f aca="false">+E23-G23</f>
        <v>0</v>
      </c>
      <c r="I23" s="15" t="n">
        <f aca="false">+D23*F23</f>
        <v>0</v>
      </c>
      <c r="J23" s="15" t="n">
        <f aca="false">+E23*F23</f>
        <v>0</v>
      </c>
      <c r="K23" s="96" t="n">
        <f aca="false">G23*D23/1000000</f>
        <v>0</v>
      </c>
      <c r="L23" s="16" t="n">
        <f aca="false">+((D23*H23)/1000000)*F23</f>
        <v>0</v>
      </c>
      <c r="M23" s="16" t="n">
        <f aca="false">+D23*E23/1000000*F23</f>
        <v>0</v>
      </c>
      <c r="U23" s="149" t="n">
        <f aca="false">+U22+(U22*25%)</f>
        <v>9159.87876712329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 t="n">
        <v>0</v>
      </c>
      <c r="H24" s="15" t="n">
        <f aca="false">+E24-G24</f>
        <v>0</v>
      </c>
      <c r="I24" s="15" t="n">
        <f aca="false">+D24*F24</f>
        <v>0</v>
      </c>
      <c r="J24" s="15" t="n">
        <f aca="false">+E24*F24</f>
        <v>0</v>
      </c>
      <c r="K24" s="96" t="n">
        <f aca="false">G24*D24/1000000</f>
        <v>0</v>
      </c>
      <c r="L24" s="16" t="n">
        <f aca="false">+((D24*H24)/1000000)*F24</f>
        <v>0</v>
      </c>
      <c r="M24" s="16" t="n">
        <f aca="false">+D24*E24/1000000*F24</f>
        <v>0</v>
      </c>
      <c r="U24" s="149" t="n">
        <f aca="false">U23/140</f>
        <v>65.4277054794521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 t="n">
        <v>0</v>
      </c>
      <c r="H25" s="15" t="n">
        <f aca="false">+E25-G25</f>
        <v>0</v>
      </c>
      <c r="I25" s="15" t="n">
        <f aca="false">+D25*F25</f>
        <v>0</v>
      </c>
      <c r="J25" s="15" t="n">
        <f aca="false">+E25*F25</f>
        <v>0</v>
      </c>
      <c r="K25" s="96" t="n">
        <f aca="false">G25*D25/1000000</f>
        <v>0</v>
      </c>
      <c r="L25" s="16" t="n">
        <f aca="false">+((D25*H25)/1000000)*F25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 t="n">
        <v>0</v>
      </c>
      <c r="H26" s="15" t="n">
        <f aca="false">+E26-G26</f>
        <v>0</v>
      </c>
      <c r="I26" s="15" t="n">
        <f aca="false">+D26*F26</f>
        <v>0</v>
      </c>
      <c r="J26" s="15" t="n">
        <f aca="false">+E26*F26</f>
        <v>0</v>
      </c>
      <c r="K26" s="96" t="n">
        <f aca="false">G26*D26/1000000</f>
        <v>0</v>
      </c>
      <c r="L26" s="16" t="n">
        <f aca="false">+((D26*H26)/1000000)*F26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 t="n">
        <v>0</v>
      </c>
      <c r="H27" s="15" t="n">
        <f aca="false">+E27-G27</f>
        <v>0</v>
      </c>
      <c r="I27" s="15" t="n">
        <f aca="false">+D27*F27</f>
        <v>0</v>
      </c>
      <c r="J27" s="15" t="n">
        <f aca="false">+E27*F27</f>
        <v>0</v>
      </c>
      <c r="K27" s="96" t="n">
        <f aca="false">G27*D27/1000000</f>
        <v>0</v>
      </c>
      <c r="L27" s="16" t="n">
        <f aca="false">+((D27*H27)/1000000)*F27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 t="n">
        <f aca="false">+E28-G28</f>
        <v>0</v>
      </c>
      <c r="I28" s="15" t="n">
        <f aca="false">+D28*F28</f>
        <v>0</v>
      </c>
      <c r="J28" s="15" t="n">
        <f aca="false">+E28*F28</f>
        <v>0</v>
      </c>
      <c r="K28" s="96" t="n">
        <f aca="false">G28*D28/1000000</f>
        <v>0</v>
      </c>
      <c r="L28" s="16" t="n">
        <f aca="false">+((D28*H28)/1000000)*F28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 t="n">
        <f aca="false">+E29-G29</f>
        <v>0</v>
      </c>
      <c r="I29" s="15" t="n">
        <f aca="false">+D29*F29</f>
        <v>0</v>
      </c>
      <c r="J29" s="15" t="n">
        <f aca="false">+E29*F29</f>
        <v>0</v>
      </c>
      <c r="K29" s="96" t="n">
        <f aca="false">G29*D29/1000000</f>
        <v>0</v>
      </c>
      <c r="L29" s="16" t="n">
        <f aca="false">+((D29*H29)/1000000)*F29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 t="n">
        <f aca="false">+E30-G30</f>
        <v>0</v>
      </c>
      <c r="I30" s="15"/>
      <c r="J30" s="15"/>
      <c r="K30" s="96" t="n">
        <f aca="false">G30*D30/1000000</f>
        <v>0</v>
      </c>
      <c r="L30" s="16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 t="n">
        <f aca="false">+E31-G31</f>
        <v>0</v>
      </c>
      <c r="I31" s="15" t="n">
        <f aca="false">+D31*F31</f>
        <v>0</v>
      </c>
      <c r="J31" s="15" t="n">
        <f aca="false">+E31*F31</f>
        <v>0</v>
      </c>
      <c r="K31" s="96" t="n">
        <f aca="false">G31*D31/1000000</f>
        <v>0</v>
      </c>
      <c r="L31" s="16" t="n">
        <f aca="false">+((D31*H31)/1000000)*F31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2930</v>
      </c>
      <c r="E32" s="32" t="n">
        <f aca="false">SUM(E5:E31)</f>
        <v>7510</v>
      </c>
      <c r="F32" s="32" t="n">
        <f aca="false">SUM(F5:F31)</f>
        <v>3</v>
      </c>
      <c r="G32" s="33" t="n">
        <f aca="false">SUM(G5:G31)</f>
        <v>900</v>
      </c>
      <c r="H32" s="32" t="n">
        <f aca="false">SUM(H5:H31)</f>
        <v>6610</v>
      </c>
      <c r="I32" s="32" t="n">
        <f aca="false">SUM(I5:I31)</f>
        <v>2930</v>
      </c>
      <c r="J32" s="32" t="n">
        <f aca="false">SUM(J5:J31)</f>
        <v>7510</v>
      </c>
      <c r="K32" s="35" t="n">
        <f aca="false">SUM(K5:K31)</f>
        <v>0.879</v>
      </c>
      <c r="L32" s="35" t="n">
        <f aca="false">SUM(L5:L31)</f>
        <v>6.4643</v>
      </c>
      <c r="M32" s="36" t="n">
        <f aca="false">SUM(M5:M31)</f>
        <v>7.3433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314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3023</v>
      </c>
      <c r="D36" s="13" t="s">
        <v>315</v>
      </c>
      <c r="E36" s="15" t="n">
        <f aca="false">+I32*1+J32*2</f>
        <v>17950</v>
      </c>
      <c r="F36" s="15" t="n">
        <f aca="false">E36+(E36*10%)</f>
        <v>19745</v>
      </c>
      <c r="G36" s="43" t="n">
        <f aca="false">F36/6400</f>
        <v>3.08515625</v>
      </c>
      <c r="H36" s="43" t="n">
        <f aca="false">ROUNDUP(G36,0)</f>
        <v>4</v>
      </c>
      <c r="I36" s="44" t="n">
        <v>7</v>
      </c>
      <c r="J36" s="44" t="n">
        <f aca="false">+I36*H36</f>
        <v>28</v>
      </c>
      <c r="K36" s="22"/>
      <c r="L36" s="22"/>
      <c r="M36" s="22"/>
      <c r="N36" s="22"/>
    </row>
    <row r="37" customFormat="false" ht="29.85" hidden="false" customHeight="false" outlineLevel="0" collapsed="false">
      <c r="B37" s="46" t="n">
        <v>2</v>
      </c>
      <c r="C37" s="46" t="n">
        <v>6101</v>
      </c>
      <c r="D37" s="47" t="s">
        <v>316</v>
      </c>
      <c r="E37" s="48" t="n">
        <f aca="false">+I32*1+H32*1</f>
        <v>9540</v>
      </c>
      <c r="F37" s="48" t="n">
        <f aca="false">E37+(E37*10%)</f>
        <v>10494</v>
      </c>
      <c r="G37" s="49" t="n">
        <f aca="false">F37/6400</f>
        <v>1.6396875</v>
      </c>
      <c r="H37" s="49" t="n">
        <f aca="false">ROUNDUP(G37,0)</f>
        <v>2</v>
      </c>
      <c r="I37" s="50" t="n">
        <v>5.6</v>
      </c>
      <c r="J37" s="50" t="n">
        <f aca="false">+I37*H37</f>
        <v>11.2</v>
      </c>
      <c r="K37" s="22"/>
      <c r="L37" s="22"/>
      <c r="M37" s="22"/>
      <c r="N37" s="22"/>
    </row>
    <row r="38" customFormat="false" ht="29.85" hidden="false" customHeight="false" outlineLevel="0" collapsed="false">
      <c r="B38" s="46" t="n">
        <v>3</v>
      </c>
      <c r="C38" s="46" t="n">
        <v>6109</v>
      </c>
      <c r="D38" s="47" t="s">
        <v>317</v>
      </c>
      <c r="E38" s="48" t="n">
        <f aca="false">+H32*1</f>
        <v>6610</v>
      </c>
      <c r="F38" s="48" t="n">
        <f aca="false">E38+(E38*10%)</f>
        <v>7271</v>
      </c>
      <c r="G38" s="49" t="n">
        <f aca="false">F38/6400</f>
        <v>1.13609375</v>
      </c>
      <c r="H38" s="49" t="n">
        <f aca="false">ROUNDUP(G38,0)</f>
        <v>2</v>
      </c>
      <c r="I38" s="50" t="n">
        <v>5.7</v>
      </c>
      <c r="J38" s="50" t="n">
        <f aca="false">+I38*H38</f>
        <v>11.4</v>
      </c>
      <c r="K38" s="22"/>
      <c r="L38" s="22"/>
      <c r="M38" s="22"/>
      <c r="N38" s="22"/>
    </row>
    <row r="39" customFormat="false" ht="17.35" hidden="false" customHeight="false" outlineLevel="0" collapsed="false">
      <c r="B39" s="13" t="n">
        <v>4</v>
      </c>
      <c r="C39" s="13" t="n">
        <v>6105</v>
      </c>
      <c r="D39" s="13" t="s">
        <v>318</v>
      </c>
      <c r="E39" s="15" t="n">
        <f aca="false">+I32*1</f>
        <v>2930</v>
      </c>
      <c r="F39" s="15" t="n">
        <f aca="false">E39+(E39*10%)</f>
        <v>3223</v>
      </c>
      <c r="G39" s="43" t="n">
        <f aca="false">F39/6400</f>
        <v>0.50359375</v>
      </c>
      <c r="H39" s="43" t="n">
        <f aca="false">ROUNDUP(G39,0)</f>
        <v>1</v>
      </c>
      <c r="I39" s="44" t="n">
        <v>7.1</v>
      </c>
      <c r="J39" s="44" t="n">
        <f aca="false">+I39*H39</f>
        <v>7.1</v>
      </c>
      <c r="K39" s="22"/>
      <c r="L39" s="22"/>
      <c r="M39" s="22"/>
      <c r="N39" s="22"/>
    </row>
    <row r="40" customFormat="false" ht="17.35" hidden="false" customHeight="false" outlineLevel="0" collapsed="false">
      <c r="B40" s="13" t="n">
        <v>5</v>
      </c>
      <c r="C40" s="13" t="n">
        <v>6113</v>
      </c>
      <c r="D40" s="13" t="s">
        <v>319</v>
      </c>
      <c r="E40" s="15" t="n">
        <f aca="false">+I32*1</f>
        <v>2930</v>
      </c>
      <c r="F40" s="15" t="n">
        <f aca="false">E40+(E40*10%)</f>
        <v>3223</v>
      </c>
      <c r="G40" s="43" t="n">
        <f aca="false">F40/6400</f>
        <v>0.50359375</v>
      </c>
      <c r="H40" s="43" t="n">
        <f aca="false">ROUNDUP(G40,0)</f>
        <v>1</v>
      </c>
      <c r="I40" s="44" t="n">
        <v>7.6</v>
      </c>
      <c r="J40" s="44" t="n">
        <f aca="false">+I40*H40</f>
        <v>7.6</v>
      </c>
      <c r="K40" s="22"/>
      <c r="L40" s="22"/>
      <c r="M40" s="22"/>
      <c r="N40" s="22"/>
    </row>
    <row r="41" customFormat="false" ht="17.35" hidden="false" customHeight="false" outlineLevel="0" collapsed="false">
      <c r="B41" s="13" t="n">
        <v>6</v>
      </c>
      <c r="C41" s="13" t="n">
        <v>6119</v>
      </c>
      <c r="D41" s="13" t="s">
        <v>320</v>
      </c>
      <c r="E41" s="15" t="n">
        <f aca="false">+I32*4+H32*2</f>
        <v>24940</v>
      </c>
      <c r="F41" s="15" t="n">
        <f aca="false">E41+(E41*10%)</f>
        <v>27434</v>
      </c>
      <c r="G41" s="43" t="n">
        <f aca="false">F41/6400</f>
        <v>4.2865625</v>
      </c>
      <c r="H41" s="43" t="n">
        <f aca="false">ROUNDUP(G41,0)</f>
        <v>5</v>
      </c>
      <c r="I41" s="44" t="n">
        <v>0.9</v>
      </c>
      <c r="J41" s="44" t="n">
        <f aca="false">+I41*H41</f>
        <v>4.5</v>
      </c>
      <c r="K41" s="22"/>
      <c r="L41" s="22"/>
      <c r="M41" s="22"/>
      <c r="N41" s="22"/>
    </row>
    <row r="42" customFormat="false" ht="17.35" hidden="false" customHeight="false" outlineLevel="0" collapsed="false">
      <c r="B42" s="13" t="n">
        <v>7</v>
      </c>
      <c r="C42" s="13" t="n">
        <v>1425</v>
      </c>
      <c r="D42" s="13" t="s">
        <v>34</v>
      </c>
      <c r="E42" s="15" t="n">
        <f aca="false">38*8*F32</f>
        <v>912</v>
      </c>
      <c r="F42" s="15" t="n">
        <f aca="false">E42+(E42*10%)</f>
        <v>1003.2</v>
      </c>
      <c r="G42" s="43" t="n">
        <f aca="false">F42/6400</f>
        <v>0.15675</v>
      </c>
      <c r="H42" s="43" t="n">
        <f aca="false">ROUNDUP(G42,0)</f>
        <v>1</v>
      </c>
      <c r="I42" s="44" t="n">
        <v>4</v>
      </c>
      <c r="J42" s="44" t="n">
        <f aca="false">+H42*I42</f>
        <v>4</v>
      </c>
      <c r="K42" s="22"/>
      <c r="L42" s="22"/>
      <c r="M42" s="22"/>
      <c r="N42" s="22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23"/>
      <c r="I43" s="51" t="s">
        <v>19</v>
      </c>
      <c r="J43" s="52" t="n">
        <f aca="false">SUM(J36:J42)</f>
        <v>73.8</v>
      </c>
      <c r="K43" s="22"/>
      <c r="L43" s="3"/>
      <c r="M43" s="25"/>
      <c r="N43" s="25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6"/>
    </row>
    <row r="46" customFormat="false" ht="29.85" hidden="false" customHeight="false" outlineLevel="0" collapsed="false">
      <c r="B46" s="47" t="n">
        <v>1</v>
      </c>
      <c r="C46" s="47" t="n">
        <v>3025</v>
      </c>
      <c r="D46" s="47" t="s">
        <v>321</v>
      </c>
      <c r="E46" s="150" t="n">
        <f aca="false">+I32*1</f>
        <v>2930</v>
      </c>
      <c r="F46" s="150" t="n">
        <f aca="false">E46+(E46*10%)</f>
        <v>3223</v>
      </c>
      <c r="G46" s="151" t="n">
        <f aca="false">F46/6400</f>
        <v>0.50359375</v>
      </c>
      <c r="H46" s="151" t="n">
        <f aca="false">ROUNDUP(G46,0)</f>
        <v>1</v>
      </c>
      <c r="I46" s="152" t="n">
        <v>7.6</v>
      </c>
      <c r="J46" s="152" t="n">
        <f aca="false">+H46*I46</f>
        <v>7.6</v>
      </c>
      <c r="K46" s="47"/>
      <c r="L46" s="47"/>
      <c r="M46" s="47"/>
      <c r="N46" s="4"/>
    </row>
    <row r="47" customFormat="false" ht="17.35" hidden="false" customHeight="false" outlineLevel="0" collapsed="false">
      <c r="B47" s="13" t="n">
        <v>3</v>
      </c>
      <c r="C47" s="13" t="n">
        <v>1544</v>
      </c>
      <c r="D47" s="13" t="s">
        <v>43</v>
      </c>
      <c r="E47" s="15" t="n">
        <f aca="false">+(300*2)*F32</f>
        <v>1800</v>
      </c>
      <c r="F47" s="15" t="n">
        <f aca="false">E47+(E47*10%)</f>
        <v>1980</v>
      </c>
      <c r="G47" s="43" t="n">
        <f aca="false">F47/6400</f>
        <v>0.309375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4"/>
    </row>
    <row r="48" customFormat="false" ht="17.35" hidden="false" customHeight="false" outlineLevel="0" collapsed="false">
      <c r="B48" s="13" t="n">
        <v>4</v>
      </c>
      <c r="C48" s="13" t="n">
        <v>6515</v>
      </c>
      <c r="D48" s="13" t="s">
        <v>45</v>
      </c>
      <c r="E48" s="15" t="n">
        <f aca="false">+I32*5</f>
        <v>14650</v>
      </c>
      <c r="F48" s="15" t="n">
        <f aca="false">E48+(E48*10%)</f>
        <v>16115</v>
      </c>
      <c r="G48" s="43" t="n">
        <f aca="false">F48/6400</f>
        <v>2.51796875</v>
      </c>
      <c r="H48" s="43" t="n">
        <f aca="false">ROUNDUP(G48,0)</f>
        <v>3</v>
      </c>
      <c r="I48" s="44" t="n">
        <v>1.9</v>
      </c>
      <c r="J48" s="44" t="n">
        <f aca="false">+H48*I48</f>
        <v>5.7</v>
      </c>
      <c r="K48" s="13"/>
      <c r="L48" s="13"/>
      <c r="M48" s="13"/>
      <c r="N48" s="4"/>
    </row>
    <row r="49" customFormat="false" ht="17.35" hidden="false" customHeight="false" outlineLevel="0" collapsed="false">
      <c r="B49" s="13" t="n">
        <v>5</v>
      </c>
      <c r="C49" s="13" t="n">
        <v>3035</v>
      </c>
      <c r="D49" s="13" t="s">
        <v>47</v>
      </c>
      <c r="E49" s="15" t="n">
        <f aca="false">+(I32*2)+(F32*(300*2))</f>
        <v>7660</v>
      </c>
      <c r="F49" s="15" t="n">
        <f aca="false">E49+(E49*10%)</f>
        <v>8426</v>
      </c>
      <c r="G49" s="43" t="n">
        <f aca="false">F49/6400</f>
        <v>1.3165625</v>
      </c>
      <c r="H49" s="43" t="n">
        <f aca="false">ROUNDUP(G49,0)</f>
        <v>2</v>
      </c>
      <c r="I49" s="44" t="n">
        <v>1.35</v>
      </c>
      <c r="J49" s="44" t="n">
        <f aca="false">+H49*I49</f>
        <v>2.7</v>
      </c>
      <c r="K49" s="13"/>
      <c r="L49" s="13"/>
      <c r="M49" s="13"/>
      <c r="N49" s="4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19</v>
      </c>
      <c r="J50" s="35" t="n">
        <f aca="false">SUM(J46:J49)</f>
        <v>17.6</v>
      </c>
      <c r="K50" s="3"/>
      <c r="L50" s="3"/>
      <c r="M50" s="3"/>
      <c r="N50" s="3"/>
    </row>
    <row r="51" customFormat="false" ht="17.35" hidden="false" customHeight="false" outlineLevel="0" collapsed="false">
      <c r="B51" s="3"/>
      <c r="C51" s="3"/>
      <c r="D51" s="3"/>
      <c r="E51" s="3"/>
      <c r="F51" s="3"/>
      <c r="G51" s="3"/>
      <c r="H51" s="11"/>
      <c r="I51" s="57" t="s">
        <v>49</v>
      </c>
      <c r="J51" s="35" t="n">
        <f aca="false">+J43+J50</f>
        <v>91.4</v>
      </c>
      <c r="K51" s="3"/>
      <c r="L51" s="3"/>
      <c r="M51" s="3"/>
      <c r="N51" s="3"/>
    </row>
    <row r="52" customFormat="false" ht="17.35" hidden="false" customHeight="false" outlineLevel="0" collapsed="false">
      <c r="B52" s="42" t="s">
        <v>322</v>
      </c>
      <c r="C52" s="42"/>
      <c r="D52" s="42"/>
      <c r="E52" s="42"/>
      <c r="F52" s="42"/>
      <c r="G52" s="42"/>
      <c r="H52" s="42"/>
      <c r="I52" s="3"/>
      <c r="J52" s="3"/>
      <c r="K52" s="3"/>
      <c r="L52" s="3"/>
      <c r="M52" s="3"/>
      <c r="N52" s="3"/>
    </row>
    <row r="53" customFormat="false" ht="17.35" hidden="false" customHeight="false" outlineLevel="0" collapsed="false">
      <c r="B53" s="9" t="s">
        <v>5</v>
      </c>
      <c r="C53" s="9" t="s">
        <v>22</v>
      </c>
      <c r="D53" s="9" t="s">
        <v>51</v>
      </c>
      <c r="E53" s="9" t="s">
        <v>323</v>
      </c>
      <c r="F53" s="9" t="s">
        <v>53</v>
      </c>
      <c r="G53" s="9" t="s">
        <v>54</v>
      </c>
      <c r="H53" s="9" t="s">
        <v>55</v>
      </c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46" t="n">
        <v>1</v>
      </c>
      <c r="C54" s="13" t="s">
        <v>324</v>
      </c>
      <c r="D54" s="58" t="s">
        <v>325</v>
      </c>
      <c r="E54" s="13" t="n">
        <v>1</v>
      </c>
      <c r="F54" s="20" t="n">
        <f aca="false">+E54*F32</f>
        <v>3</v>
      </c>
      <c r="G54" s="15" t="n">
        <v>40000</v>
      </c>
      <c r="H54" s="15" t="n">
        <f aca="false">+F54*G54</f>
        <v>120000</v>
      </c>
      <c r="I54" s="3"/>
      <c r="J54" s="3"/>
      <c r="K54" s="3"/>
      <c r="L54" s="3"/>
      <c r="M54" s="3"/>
      <c r="N54" s="3"/>
    </row>
    <row r="55" customFormat="false" ht="17.35" hidden="false" customHeight="false" outlineLevel="0" collapsed="false">
      <c r="B55" s="46" t="n">
        <v>2</v>
      </c>
      <c r="C55" s="13" t="s">
        <v>326</v>
      </c>
      <c r="D55" s="58" t="s">
        <v>226</v>
      </c>
      <c r="E55" s="13" t="n">
        <v>1</v>
      </c>
      <c r="F55" s="20" t="n">
        <f aca="false">+E55*F32</f>
        <v>3</v>
      </c>
      <c r="G55" s="15" t="n">
        <v>35000</v>
      </c>
      <c r="H55" s="15" t="n">
        <f aca="false">+F55*G55</f>
        <v>105000</v>
      </c>
      <c r="I55" s="3"/>
      <c r="J55" s="3"/>
      <c r="K55" s="3"/>
      <c r="L55" s="3"/>
      <c r="M55" s="3"/>
      <c r="N55" s="3"/>
    </row>
    <row r="56" customFormat="false" ht="17.35" hidden="false" customHeight="false" outlineLevel="0" collapsed="false">
      <c r="B56" s="46" t="n">
        <v>3</v>
      </c>
      <c r="C56" s="142" t="s">
        <v>327</v>
      </c>
      <c r="D56" s="58" t="s">
        <v>325</v>
      </c>
      <c r="E56" s="46" t="n">
        <v>3</v>
      </c>
      <c r="F56" s="143" t="n">
        <f aca="false">+E56*F32</f>
        <v>9</v>
      </c>
      <c r="G56" s="48" t="n">
        <v>7500</v>
      </c>
      <c r="H56" s="48" t="n">
        <f aca="false">+F56*G56</f>
        <v>67500</v>
      </c>
      <c r="I56" s="3"/>
      <c r="J56" s="3"/>
      <c r="K56" s="3"/>
      <c r="L56" s="3"/>
      <c r="M56" s="3"/>
      <c r="N56" s="3"/>
    </row>
    <row r="57" customFormat="false" ht="17.35" hidden="false" customHeight="false" outlineLevel="0" collapsed="false">
      <c r="B57" s="46" t="n">
        <v>4</v>
      </c>
      <c r="C57" s="13" t="s">
        <v>80</v>
      </c>
      <c r="D57" s="58" t="s">
        <v>277</v>
      </c>
      <c r="E57" s="16" t="n">
        <f aca="false">+(I32*1+H32*4)/1000</f>
        <v>29.37</v>
      </c>
      <c r="F57" s="16" t="n">
        <f aca="false">+E57*F32</f>
        <v>88.11</v>
      </c>
      <c r="G57" s="15" t="n">
        <v>370</v>
      </c>
      <c r="H57" s="15" t="n">
        <f aca="false">+F57*G57</f>
        <v>32600.7</v>
      </c>
      <c r="I57" s="3"/>
      <c r="J57" s="3"/>
      <c r="K57" s="3"/>
      <c r="L57" s="3"/>
      <c r="M57" s="3"/>
      <c r="N57" s="3"/>
    </row>
    <row r="58" customFormat="false" ht="17.35" hidden="false" customHeight="false" outlineLevel="0" collapsed="false">
      <c r="B58" s="46" t="n">
        <v>5</v>
      </c>
      <c r="C58" s="47" t="s">
        <v>328</v>
      </c>
      <c r="D58" s="58" t="s">
        <v>14</v>
      </c>
      <c r="E58" s="48"/>
      <c r="F58" s="143"/>
      <c r="G58" s="48" t="n">
        <f aca="false">85000/2.97</f>
        <v>28619.5286195286</v>
      </c>
      <c r="H58" s="48"/>
      <c r="I58" s="3"/>
      <c r="J58" s="3"/>
      <c r="K58" s="3"/>
      <c r="L58" s="3"/>
      <c r="M58" s="3"/>
      <c r="N58" s="3"/>
    </row>
    <row r="59" customFormat="false" ht="29.85" hidden="false" customHeight="false" outlineLevel="0" collapsed="false">
      <c r="B59" s="46" t="n">
        <v>6</v>
      </c>
      <c r="C59" s="142" t="s">
        <v>329</v>
      </c>
      <c r="D59" s="58" t="s">
        <v>57</v>
      </c>
      <c r="E59" s="46" t="n">
        <v>6</v>
      </c>
      <c r="F59" s="143" t="n">
        <f aca="false">+E59*F32</f>
        <v>18</v>
      </c>
      <c r="G59" s="48" t="n">
        <v>50</v>
      </c>
      <c r="H59" s="48" t="n">
        <f aca="false">+F59*G59</f>
        <v>900</v>
      </c>
      <c r="I59" s="3"/>
      <c r="J59" s="3" t="s">
        <v>252</v>
      </c>
      <c r="K59" s="3" t="s">
        <v>253</v>
      </c>
      <c r="L59" s="67" t="n">
        <v>25000</v>
      </c>
      <c r="M59" s="3"/>
      <c r="N59" s="3"/>
    </row>
    <row r="60" customFormat="false" ht="29.85" hidden="false" customHeight="false" outlineLevel="0" collapsed="false">
      <c r="B60" s="46" t="n">
        <v>7</v>
      </c>
      <c r="C60" s="142" t="s">
        <v>330</v>
      </c>
      <c r="D60" s="58" t="s">
        <v>57</v>
      </c>
      <c r="E60" s="46" t="n">
        <v>8</v>
      </c>
      <c r="F60" s="143" t="n">
        <f aca="false">+E60*F32</f>
        <v>24</v>
      </c>
      <c r="G60" s="48" t="n">
        <v>50</v>
      </c>
      <c r="H60" s="48" t="n">
        <f aca="false">+F60*G60</f>
        <v>1200</v>
      </c>
      <c r="I60" s="3"/>
      <c r="J60" s="3" t="s">
        <v>255</v>
      </c>
      <c r="K60" s="3" t="s">
        <v>256</v>
      </c>
      <c r="L60" s="67" t="n">
        <v>4000</v>
      </c>
      <c r="M60" s="3" t="s">
        <v>257</v>
      </c>
      <c r="N60" s="3"/>
    </row>
    <row r="61" customFormat="false" ht="29.85" hidden="false" customHeight="false" outlineLevel="0" collapsed="false">
      <c r="B61" s="46" t="n">
        <v>8</v>
      </c>
      <c r="C61" s="142" t="s">
        <v>331</v>
      </c>
      <c r="D61" s="58" t="s">
        <v>57</v>
      </c>
      <c r="E61" s="143" t="n">
        <v>32</v>
      </c>
      <c r="F61" s="143" t="n">
        <f aca="false">+E61*F32</f>
        <v>96</v>
      </c>
      <c r="G61" s="48" t="n">
        <v>50</v>
      </c>
      <c r="H61" s="48" t="n">
        <f aca="false">+F61*G61</f>
        <v>4800</v>
      </c>
      <c r="I61" s="3"/>
      <c r="J61" s="3" t="s">
        <v>259</v>
      </c>
      <c r="K61" s="3" t="s">
        <v>260</v>
      </c>
      <c r="L61" s="67" t="n">
        <v>110000</v>
      </c>
      <c r="M61" s="3"/>
      <c r="N61" s="3"/>
    </row>
    <row r="62" customFormat="false" ht="29.85" hidden="false" customHeight="false" outlineLevel="0" collapsed="false">
      <c r="B62" s="46" t="n">
        <v>9</v>
      </c>
      <c r="C62" s="59" t="s">
        <v>261</v>
      </c>
      <c r="D62" s="58" t="s">
        <v>62</v>
      </c>
      <c r="E62" s="153" t="n">
        <f aca="false">+(I32*2+H32*2)/1000</f>
        <v>19.08</v>
      </c>
      <c r="F62" s="60" t="n">
        <f aca="false">+E62</f>
        <v>19.08</v>
      </c>
      <c r="G62" s="61" t="n">
        <v>1000</v>
      </c>
      <c r="H62" s="48" t="n">
        <f aca="false">+F62*G62</f>
        <v>19080</v>
      </c>
      <c r="I62" s="3"/>
      <c r="J62" s="3" t="s">
        <v>262</v>
      </c>
      <c r="K62" s="3" t="s">
        <v>256</v>
      </c>
      <c r="L62" s="67" t="n">
        <v>55000</v>
      </c>
      <c r="M62" s="3" t="s">
        <v>263</v>
      </c>
      <c r="N62" s="3"/>
    </row>
    <row r="63" customFormat="false" ht="17.35" hidden="false" customHeight="false" outlineLevel="0" collapsed="false">
      <c r="B63" s="46" t="n">
        <v>10</v>
      </c>
      <c r="C63" s="13" t="s">
        <v>84</v>
      </c>
      <c r="D63" s="58" t="s">
        <v>57</v>
      </c>
      <c r="E63" s="13" t="n">
        <v>6</v>
      </c>
      <c r="F63" s="20" t="n">
        <f aca="false">+E63*F32</f>
        <v>18</v>
      </c>
      <c r="G63" s="15" t="n">
        <v>40</v>
      </c>
      <c r="H63" s="15" t="n">
        <f aca="false">+F63*G63</f>
        <v>720</v>
      </c>
      <c r="I63" s="3"/>
      <c r="J63" s="3" t="s">
        <v>67</v>
      </c>
      <c r="K63" s="3" t="s">
        <v>256</v>
      </c>
      <c r="L63" s="67" t="n">
        <v>4000</v>
      </c>
      <c r="M63" s="3" t="s">
        <v>264</v>
      </c>
      <c r="N63" s="3"/>
    </row>
    <row r="64" customFormat="false" ht="17.35" hidden="false" customHeight="false" outlineLevel="0" collapsed="false">
      <c r="B64" s="46" t="n">
        <v>11</v>
      </c>
      <c r="C64" s="13" t="s">
        <v>265</v>
      </c>
      <c r="D64" s="58" t="s">
        <v>57</v>
      </c>
      <c r="E64" s="13" t="n">
        <v>1</v>
      </c>
      <c r="F64" s="20" t="n">
        <f aca="false">+E64*F32</f>
        <v>3</v>
      </c>
      <c r="G64" s="15" t="n">
        <v>16000</v>
      </c>
      <c r="H64" s="15" t="n">
        <f aca="false">+F64*G64</f>
        <v>48000</v>
      </c>
      <c r="I64" s="3"/>
      <c r="J64" s="3" t="s">
        <v>47</v>
      </c>
      <c r="K64" s="3" t="s">
        <v>266</v>
      </c>
      <c r="L64" s="67" t="n">
        <v>110000</v>
      </c>
      <c r="M64" s="3" t="s">
        <v>267</v>
      </c>
      <c r="N64" s="3"/>
    </row>
    <row r="65" customFormat="false" ht="29.85" hidden="false" customHeight="false" outlineLevel="0" collapsed="false">
      <c r="B65" s="46" t="n">
        <v>12</v>
      </c>
      <c r="C65" s="46" t="s">
        <v>268</v>
      </c>
      <c r="D65" s="58" t="s">
        <v>14</v>
      </c>
      <c r="E65" s="47" t="s">
        <v>332</v>
      </c>
      <c r="F65" s="62" t="n">
        <f aca="false">+L32</f>
        <v>6.4643</v>
      </c>
      <c r="G65" s="48" t="n">
        <v>55000</v>
      </c>
      <c r="H65" s="48" t="n">
        <f aca="false">+F65*G65</f>
        <v>355536.5</v>
      </c>
      <c r="I65" s="3"/>
      <c r="J65" s="3" t="s">
        <v>47</v>
      </c>
      <c r="K65" s="3" t="s">
        <v>270</v>
      </c>
      <c r="L65" s="67" t="n">
        <v>150000</v>
      </c>
      <c r="M65" s="3" t="s">
        <v>267</v>
      </c>
      <c r="N65" s="3"/>
    </row>
    <row r="66" customFormat="false" ht="29.85" hidden="false" customHeight="false" outlineLevel="0" collapsed="false">
      <c r="B66" s="3"/>
      <c r="C66" s="3"/>
      <c r="D66" s="3"/>
      <c r="E66" s="3"/>
      <c r="F66" s="3"/>
      <c r="G66" s="64" t="s">
        <v>19</v>
      </c>
      <c r="H66" s="65" t="n">
        <f aca="false">SUM(H57:H65)</f>
        <v>462837.2</v>
      </c>
      <c r="I66" s="3"/>
      <c r="J66" s="146" t="s">
        <v>292</v>
      </c>
      <c r="K66" s="3"/>
      <c r="L66" s="67" t="n">
        <v>150000</v>
      </c>
      <c r="M66" s="3"/>
      <c r="N66" s="3"/>
    </row>
    <row r="67" customFormat="false" ht="17.35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 t="s">
        <v>294</v>
      </c>
      <c r="K67" s="3" t="s">
        <v>295</v>
      </c>
      <c r="L67" s="3" t="n">
        <v>55000</v>
      </c>
      <c r="M67" s="3" t="s">
        <v>263</v>
      </c>
      <c r="N67" s="3"/>
    </row>
    <row r="68" customFormat="false" ht="17.35" hidden="false" customHeight="false" outlineLevel="0" collapsed="false">
      <c r="B68" s="42" t="s">
        <v>271</v>
      </c>
      <c r="C68" s="42"/>
      <c r="D68" s="42"/>
      <c r="E68" s="42"/>
      <c r="F68" s="42"/>
      <c r="G68" s="42"/>
      <c r="H68" s="42"/>
      <c r="I68" s="3"/>
      <c r="J68" s="3" t="s">
        <v>333</v>
      </c>
      <c r="K68" s="3" t="s">
        <v>334</v>
      </c>
      <c r="L68" s="3" t="n">
        <v>85000</v>
      </c>
      <c r="M68" s="3"/>
      <c r="N68" s="3"/>
    </row>
    <row r="69" customFormat="false" ht="17.35" hidden="false" customHeight="false" outlineLevel="0" collapsed="false">
      <c r="B69" s="9" t="s">
        <v>5</v>
      </c>
      <c r="C69" s="9" t="s">
        <v>22</v>
      </c>
      <c r="D69" s="9" t="s">
        <v>51</v>
      </c>
      <c r="E69" s="9" t="s">
        <v>74</v>
      </c>
      <c r="F69" s="9" t="s">
        <v>272</v>
      </c>
      <c r="G69" s="9" t="s">
        <v>54</v>
      </c>
      <c r="H69" s="9" t="s">
        <v>55</v>
      </c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46" t="n">
        <v>1</v>
      </c>
      <c r="C70" s="46" t="s">
        <v>273</v>
      </c>
      <c r="D70" s="58" t="s">
        <v>57</v>
      </c>
      <c r="E70" s="46" t="n">
        <v>20</v>
      </c>
      <c r="F70" s="143" t="n">
        <f aca="false">+E70*F32</f>
        <v>60</v>
      </c>
      <c r="G70" s="48" t="n">
        <v>50</v>
      </c>
      <c r="H70" s="48" t="n">
        <f aca="false">+F70*G70</f>
        <v>3000</v>
      </c>
      <c r="I70" s="3"/>
      <c r="J70" s="3"/>
      <c r="K70" s="3"/>
      <c r="L70" s="3"/>
      <c r="M70" s="3"/>
      <c r="N70" s="3"/>
    </row>
    <row r="71" customFormat="false" ht="17.35" hidden="false" customHeight="false" outlineLevel="0" collapsed="false">
      <c r="B71" s="46" t="n">
        <v>2</v>
      </c>
      <c r="C71" s="46" t="s">
        <v>274</v>
      </c>
      <c r="D71" s="58" t="s">
        <v>57</v>
      </c>
      <c r="E71" s="46" t="n">
        <v>2</v>
      </c>
      <c r="F71" s="143" t="n">
        <f aca="false">+E71*F32</f>
        <v>6</v>
      </c>
      <c r="G71" s="48" t="n">
        <v>50</v>
      </c>
      <c r="H71" s="48" t="n">
        <f aca="false">+F71*G71</f>
        <v>300</v>
      </c>
      <c r="I71" s="3"/>
      <c r="J71" s="3"/>
      <c r="K71" s="3"/>
      <c r="L71" s="3"/>
      <c r="M71" s="3"/>
      <c r="N71" s="3"/>
    </row>
    <row r="72" customFormat="false" ht="29.85" hidden="false" customHeight="false" outlineLevel="0" collapsed="false">
      <c r="B72" s="46" t="n">
        <v>3</v>
      </c>
      <c r="C72" s="47" t="s">
        <v>305</v>
      </c>
      <c r="D72" s="58" t="s">
        <v>62</v>
      </c>
      <c r="E72" s="62" t="n">
        <f aca="false">+(I32*2)/1000+((0.3*2)*F32)</f>
        <v>7.66</v>
      </c>
      <c r="F72" s="143" t="n">
        <f aca="false">+E72</f>
        <v>7.66</v>
      </c>
      <c r="G72" s="48" t="n">
        <v>55</v>
      </c>
      <c r="H72" s="48" t="n">
        <f aca="false">+F72*G72</f>
        <v>421.3</v>
      </c>
      <c r="I72" s="3"/>
      <c r="J72" s="3"/>
      <c r="K72" s="3"/>
      <c r="L72" s="3"/>
      <c r="M72" s="3"/>
      <c r="N72" s="3"/>
    </row>
    <row r="73" customFormat="false" ht="17.35" hidden="false" customHeight="false" outlineLevel="0" collapsed="false">
      <c r="B73" s="46" t="n">
        <v>4</v>
      </c>
      <c r="C73" s="46" t="s">
        <v>86</v>
      </c>
      <c r="D73" s="58" t="s">
        <v>14</v>
      </c>
      <c r="E73" s="58" t="s">
        <v>307</v>
      </c>
      <c r="F73" s="60" t="n">
        <f aca="false">+G32*D32/1000000</f>
        <v>2.637</v>
      </c>
      <c r="G73" s="69" t="n">
        <v>3060</v>
      </c>
      <c r="H73" s="48" t="n">
        <f aca="false">+F73*G73</f>
        <v>8069.22</v>
      </c>
      <c r="I73" s="3"/>
      <c r="J73" s="3"/>
      <c r="K73" s="3"/>
      <c r="L73" s="3"/>
      <c r="M73" s="3"/>
      <c r="N73" s="3"/>
    </row>
    <row r="74" customFormat="false" ht="19.7" hidden="false" customHeight="false" outlineLevel="0" collapsed="false">
      <c r="B74" s="72"/>
      <c r="C74" s="72"/>
      <c r="D74" s="72"/>
      <c r="E74" s="72"/>
      <c r="F74" s="72"/>
      <c r="G74" s="73" t="s">
        <v>19</v>
      </c>
      <c r="H74" s="74" t="n">
        <f aca="false">SUM(H70:H73)</f>
        <v>11790.52</v>
      </c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I75" s="3"/>
      <c r="J75" s="3"/>
      <c r="K75" s="3"/>
      <c r="L75" s="3"/>
      <c r="M75" s="3"/>
      <c r="N75" s="3"/>
    </row>
    <row r="76" customFormat="false" ht="17.35" hidden="false" customHeight="false" outlineLevel="0" collapsed="false">
      <c r="B76" s="72"/>
      <c r="C76" s="72"/>
      <c r="D76" s="72"/>
      <c r="E76" s="72"/>
      <c r="F76" s="72"/>
      <c r="G76" s="3"/>
      <c r="H76" s="3"/>
      <c r="I76" s="3"/>
      <c r="J76" s="3"/>
      <c r="K76" s="3"/>
      <c r="L76" s="3"/>
      <c r="M76" s="3"/>
      <c r="N76" s="3"/>
    </row>
    <row r="77" customFormat="false" ht="24.45" hidden="false" customHeight="false" outlineLevel="0" collapsed="false">
      <c r="B77" s="75" t="s">
        <v>335</v>
      </c>
      <c r="C77" s="75"/>
      <c r="D77" s="75"/>
      <c r="E77" s="76"/>
      <c r="F77" s="75" t="s">
        <v>336</v>
      </c>
      <c r="G77" s="75"/>
      <c r="H77" s="75"/>
      <c r="I77" s="3"/>
    </row>
    <row r="78" customFormat="false" ht="37.3" hidden="false" customHeight="false" outlineLevel="0" collapsed="false">
      <c r="B78" s="77" t="s">
        <v>95</v>
      </c>
      <c r="C78" s="77" t="s">
        <v>96</v>
      </c>
      <c r="D78" s="77" t="s">
        <v>97</v>
      </c>
      <c r="E78" s="3"/>
      <c r="F78" s="77" t="s">
        <v>95</v>
      </c>
      <c r="G78" s="77" t="s">
        <v>96</v>
      </c>
      <c r="H78" s="77" t="s">
        <v>97</v>
      </c>
      <c r="I78" s="3"/>
    </row>
    <row r="79" customFormat="false" ht="22.05" hidden="false" customHeight="false" outlineLevel="0" collapsed="false">
      <c r="B79" s="78" t="n">
        <v>1</v>
      </c>
      <c r="C79" s="79" t="s">
        <v>98</v>
      </c>
      <c r="D79" s="80" t="n">
        <f aca="false">+J43*4</f>
        <v>295.2</v>
      </c>
      <c r="E79" s="3"/>
      <c r="F79" s="78" t="n">
        <v>1</v>
      </c>
      <c r="G79" s="79" t="s">
        <v>98</v>
      </c>
      <c r="H79" s="80" t="n">
        <f aca="false">J51*4</f>
        <v>365.6</v>
      </c>
      <c r="I79" s="3"/>
    </row>
    <row r="80" customFormat="false" ht="22.05" hidden="false" customHeight="false" outlineLevel="0" collapsed="false">
      <c r="B80" s="78" t="n">
        <v>2</v>
      </c>
      <c r="C80" s="79" t="s">
        <v>99</v>
      </c>
      <c r="D80" s="80" t="n">
        <f aca="false">+H66/3650</f>
        <v>126.804712328767</v>
      </c>
      <c r="E80" s="3"/>
      <c r="F80" s="78" t="n">
        <v>2</v>
      </c>
      <c r="G80" s="79" t="s">
        <v>99</v>
      </c>
      <c r="H80" s="80" t="n">
        <f aca="false">+(H66+H74)/3650</f>
        <v>130.034991780822</v>
      </c>
      <c r="I80" s="3"/>
    </row>
    <row r="81" customFormat="false" ht="22.05" hidden="false" customHeight="false" outlineLevel="0" collapsed="false">
      <c r="B81" s="78" t="n">
        <v>3</v>
      </c>
      <c r="C81" s="79" t="s">
        <v>100</v>
      </c>
      <c r="D81" s="80" t="n">
        <f aca="false">+L32*12</f>
        <v>77.5716</v>
      </c>
      <c r="E81" s="3"/>
      <c r="F81" s="78" t="n">
        <v>3</v>
      </c>
      <c r="G81" s="79" t="s">
        <v>100</v>
      </c>
      <c r="H81" s="80" t="n">
        <f aca="false">+M32*15</f>
        <v>110.1495</v>
      </c>
      <c r="I81" s="3"/>
    </row>
    <row r="82" customFormat="false" ht="22.05" hidden="false" customHeight="false" outlineLevel="0" collapsed="false">
      <c r="B82" s="78" t="n">
        <v>4</v>
      </c>
      <c r="C82" s="79" t="s">
        <v>101</v>
      </c>
      <c r="D82" s="80" t="n">
        <f aca="false">+L32*0</f>
        <v>0</v>
      </c>
      <c r="E82" s="3"/>
      <c r="F82" s="78" t="n">
        <v>4</v>
      </c>
      <c r="G82" s="79" t="s">
        <v>101</v>
      </c>
      <c r="H82" s="80" t="n">
        <f aca="false">+M32*0</f>
        <v>0</v>
      </c>
      <c r="I82" s="3"/>
    </row>
    <row r="83" customFormat="false" ht="22.05" hidden="false" customHeight="false" outlineLevel="0" collapsed="false">
      <c r="B83" s="3"/>
      <c r="C83" s="81" t="s">
        <v>19</v>
      </c>
      <c r="D83" s="80" t="n">
        <f aca="false">SUM(D79:D82)</f>
        <v>499.576312328767</v>
      </c>
      <c r="E83" s="3"/>
      <c r="F83" s="3"/>
      <c r="G83" s="81" t="s">
        <v>19</v>
      </c>
      <c r="H83" s="80" t="n">
        <f aca="false">SUM(H79:H82)</f>
        <v>605.784491780822</v>
      </c>
      <c r="I83" s="3"/>
    </row>
    <row r="84" customFormat="false" ht="22.05" hidden="false" customHeight="false" outlineLevel="0" collapsed="false">
      <c r="B84" s="3"/>
      <c r="C84" s="81" t="s">
        <v>102</v>
      </c>
      <c r="D84" s="82" t="n">
        <f aca="false">+D83*30%</f>
        <v>149.87289369863</v>
      </c>
      <c r="E84" s="3"/>
      <c r="F84" s="3"/>
      <c r="G84" s="81" t="s">
        <v>102</v>
      </c>
      <c r="H84" s="82" t="n">
        <f aca="false">+H83*30%</f>
        <v>181.735347534247</v>
      </c>
      <c r="I84" s="3"/>
    </row>
    <row r="85" customFormat="false" ht="22.05" hidden="false" customHeight="false" outlineLevel="0" collapsed="false">
      <c r="B85" s="3"/>
      <c r="C85" s="83" t="s">
        <v>103</v>
      </c>
      <c r="D85" s="84" t="n">
        <f aca="false">+D83+D84</f>
        <v>649.449206027397</v>
      </c>
      <c r="E85" s="3"/>
      <c r="F85" s="3"/>
      <c r="G85" s="83" t="s">
        <v>103</v>
      </c>
      <c r="H85" s="84" t="n">
        <f aca="false">+H83+H84</f>
        <v>787.519839315069</v>
      </c>
      <c r="I85" s="3"/>
    </row>
    <row r="86" customFormat="false" ht="22.05" hidden="false" customHeight="false" outlineLevel="0" collapsed="false">
      <c r="B86" s="3"/>
      <c r="C86" s="87" t="s">
        <v>104</v>
      </c>
      <c r="D86" s="88" t="n">
        <f aca="false">+D83/L32</f>
        <v>77.2823526644443</v>
      </c>
      <c r="E86" s="3"/>
      <c r="F86" s="3"/>
      <c r="G86" s="87" t="s">
        <v>104</v>
      </c>
      <c r="H86" s="88" t="n">
        <f aca="false">+H83/L32</f>
        <v>93.7123109665118</v>
      </c>
      <c r="I86" s="3"/>
    </row>
    <row r="87" customFormat="false" ht="37.3" hidden="false" customHeight="false" outlineLevel="0" collapsed="false">
      <c r="B87" s="3"/>
      <c r="C87" s="89" t="s">
        <v>105</v>
      </c>
      <c r="D87" s="90" t="n">
        <f aca="false">+D85/L32</f>
        <v>100.467058463778</v>
      </c>
      <c r="E87" s="3"/>
      <c r="F87" s="3"/>
      <c r="G87" s="89" t="s">
        <v>105</v>
      </c>
      <c r="H87" s="90" t="n">
        <f aca="false">+H85/L32</f>
        <v>121.826004256465</v>
      </c>
      <c r="I87" s="3"/>
    </row>
    <row r="88" customFormat="false" ht="17.35" hidden="false" customHeight="false" outlineLevel="0" collapsed="false">
      <c r="I88" s="3"/>
    </row>
    <row r="89" customFormat="false" ht="17.35" hidden="false" customHeight="false" outlineLevel="0" collapsed="false">
      <c r="I89" s="3"/>
    </row>
    <row r="90" customFormat="false" ht="17.35" hidden="false" customHeight="false" outlineLevel="0" collapsed="false">
      <c r="I90" s="3"/>
    </row>
    <row r="91" customFormat="false" ht="17.35" hidden="false" customHeight="false" outlineLevel="0" collapsed="false">
      <c r="I91" s="3"/>
    </row>
  </sheetData>
  <mergeCells count="13">
    <mergeCell ref="B3:M3"/>
    <mergeCell ref="B32:C32"/>
    <mergeCell ref="B34:J34"/>
    <mergeCell ref="B44:M44"/>
    <mergeCell ref="K45:M45"/>
    <mergeCell ref="K46:M46"/>
    <mergeCell ref="K47:M47"/>
    <mergeCell ref="K48:M48"/>
    <mergeCell ref="K49:M49"/>
    <mergeCell ref="B52:H52"/>
    <mergeCell ref="B68:H68"/>
    <mergeCell ref="B77:D77"/>
    <mergeCell ref="F77:H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U9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17" activePane="bottomLeft" state="frozen"/>
      <selection pane="topLeft" activeCell="A1" activeCellId="0" sqref="A1"/>
      <selection pane="bottomLeft" activeCell="E38" activeCellId="0" sqref="E38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9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  <col collapsed="false" customWidth="true" hidden="false" outlineLevel="0" max="18" min="17" style="0" width="12.18"/>
  </cols>
  <sheetData>
    <row r="3" customFormat="false" ht="22.05" hidden="false" customHeight="false" outlineLevel="0" collapsed="false">
      <c r="B3" s="7" t="s">
        <v>311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7.3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312</v>
      </c>
      <c r="I4" s="10" t="s">
        <v>11</v>
      </c>
      <c r="J4" s="10" t="s">
        <v>13</v>
      </c>
      <c r="K4" s="10" t="s">
        <v>239</v>
      </c>
      <c r="L4" s="10" t="s">
        <v>313</v>
      </c>
      <c r="M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1200</v>
      </c>
      <c r="E5" s="15" t="n">
        <v>2430</v>
      </c>
      <c r="F5" s="15" t="n">
        <v>1</v>
      </c>
      <c r="G5" s="15" t="n">
        <v>300</v>
      </c>
      <c r="H5" s="15" t="n">
        <f aca="false">+E5-G5</f>
        <v>2130</v>
      </c>
      <c r="I5" s="15" t="n">
        <f aca="false">+D5*F5</f>
        <v>1200</v>
      </c>
      <c r="J5" s="15" t="n">
        <f aca="false">+E5*F5</f>
        <v>2430</v>
      </c>
      <c r="K5" s="96" t="n">
        <f aca="false">G5*D5/1000000</f>
        <v>0.36</v>
      </c>
      <c r="L5" s="16" t="n">
        <f aca="false">+((D5*H5)/1000000)*F5</f>
        <v>2.556</v>
      </c>
      <c r="M5" s="16" t="n">
        <f aca="false">+D5*E5/1000000*F5</f>
        <v>2.916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/>
      <c r="E6" s="15"/>
      <c r="F6" s="15"/>
      <c r="G6" s="15"/>
      <c r="H6" s="15" t="n">
        <f aca="false">+E6-G6</f>
        <v>0</v>
      </c>
      <c r="I6" s="15" t="n">
        <f aca="false">+D6*F6</f>
        <v>0</v>
      </c>
      <c r="J6" s="15" t="n">
        <f aca="false">+E6*F6</f>
        <v>0</v>
      </c>
      <c r="K6" s="96" t="n">
        <f aca="false">G6*D6/1000000</f>
        <v>0</v>
      </c>
      <c r="L6" s="16" t="n">
        <f aca="false">+((D6*H6)/1000000)*F6</f>
        <v>0</v>
      </c>
      <c r="M6" s="16" t="n">
        <f aca="false">+D6*E6/1000000*F6</f>
        <v>0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/>
      <c r="E7" s="15"/>
      <c r="F7" s="15"/>
      <c r="G7" s="15"/>
      <c r="H7" s="15" t="n">
        <f aca="false">+E7-G7</f>
        <v>0</v>
      </c>
      <c r="I7" s="15" t="n">
        <f aca="false">+D7*F7</f>
        <v>0</v>
      </c>
      <c r="J7" s="15" t="n">
        <f aca="false">+E7*F7</f>
        <v>0</v>
      </c>
      <c r="K7" s="96" t="n">
        <f aca="false">G7*D7/1000000</f>
        <v>0</v>
      </c>
      <c r="L7" s="16" t="n">
        <f aca="false">+((D7*H7)/1000000)*F7</f>
        <v>0</v>
      </c>
      <c r="M7" s="16" t="n">
        <f aca="false">+D7*E7/1000000*F7</f>
        <v>0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/>
      <c r="E8" s="15"/>
      <c r="F8" s="15"/>
      <c r="G8" s="15"/>
      <c r="H8" s="15" t="n">
        <f aca="false">+E8-G8</f>
        <v>0</v>
      </c>
      <c r="I8" s="15" t="n">
        <f aca="false">+D8*F8</f>
        <v>0</v>
      </c>
      <c r="J8" s="15" t="n">
        <f aca="false">+E8*F8</f>
        <v>0</v>
      </c>
      <c r="K8" s="96" t="n">
        <f aca="false">G8*D8/1000000</f>
        <v>0</v>
      </c>
      <c r="L8" s="16" t="n">
        <f aca="false">+((D8*H8)/1000000)*F8</f>
        <v>0</v>
      </c>
      <c r="M8" s="16" t="n">
        <f aca="false">+D8*E8/1000000*F8</f>
        <v>0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/>
      <c r="H9" s="15" t="n">
        <f aca="false">+E9-G9</f>
        <v>0</v>
      </c>
      <c r="I9" s="15" t="n">
        <f aca="false">+D9*F9</f>
        <v>0</v>
      </c>
      <c r="J9" s="15" t="n">
        <f aca="false">+E9*F9</f>
        <v>0</v>
      </c>
      <c r="K9" s="96" t="n">
        <f aca="false">G9*D9/1000000</f>
        <v>0</v>
      </c>
      <c r="L9" s="16" t="n">
        <f aca="false">+((D9*H9)/1000000)*F9</f>
        <v>0</v>
      </c>
      <c r="M9" s="16" t="n">
        <f aca="false">+D9*E9/1000000*F9</f>
        <v>0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/>
      <c r="H10" s="15" t="n">
        <f aca="false">+E10-G10</f>
        <v>0</v>
      </c>
      <c r="I10" s="15" t="n">
        <f aca="false">+D10*F10</f>
        <v>0</v>
      </c>
      <c r="J10" s="15" t="n">
        <f aca="false">+E10*F10</f>
        <v>0</v>
      </c>
      <c r="K10" s="96" t="n">
        <f aca="false">G10*D10/1000000</f>
        <v>0</v>
      </c>
      <c r="L10" s="16" t="n">
        <f aca="false">+((D10*H10)/1000000)*F10</f>
        <v>0</v>
      </c>
      <c r="M10" s="16" t="n">
        <f aca="false">+D10*E10/1000000*F10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/>
      <c r="H11" s="15" t="n">
        <f aca="false">+E11-G11</f>
        <v>0</v>
      </c>
      <c r="I11" s="15" t="n">
        <f aca="false">+D11*F11</f>
        <v>0</v>
      </c>
      <c r="J11" s="15" t="n">
        <f aca="false">+E11*F11</f>
        <v>0</v>
      </c>
      <c r="K11" s="96" t="n">
        <f aca="false">G11*D11/1000000</f>
        <v>0</v>
      </c>
      <c r="L11" s="16" t="n">
        <f aca="false">+((D11*H11)/1000000)*F11</f>
        <v>0</v>
      </c>
      <c r="M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/>
      <c r="H12" s="15" t="n">
        <f aca="false">+E12-G12</f>
        <v>0</v>
      </c>
      <c r="I12" s="15" t="n">
        <f aca="false">+D12*F12</f>
        <v>0</v>
      </c>
      <c r="J12" s="15" t="n">
        <f aca="false">+E12*F12</f>
        <v>0</v>
      </c>
      <c r="K12" s="96" t="n">
        <f aca="false">G12*D12/1000000</f>
        <v>0</v>
      </c>
      <c r="L12" s="16" t="n">
        <f aca="false">+((D12*H12)/1000000)*F12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/>
      <c r="H13" s="15" t="n">
        <f aca="false">+E13-G13</f>
        <v>0</v>
      </c>
      <c r="I13" s="15" t="n">
        <f aca="false">+D13*F13</f>
        <v>0</v>
      </c>
      <c r="J13" s="15" t="n">
        <f aca="false">+E13*F13</f>
        <v>0</v>
      </c>
      <c r="K13" s="96" t="n">
        <f aca="false">G13*D13/1000000</f>
        <v>0</v>
      </c>
      <c r="L13" s="16" t="n">
        <f aca="false">+((D13*H13)/1000000)*F13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/>
      <c r="H14" s="15" t="n">
        <f aca="false">+E14-G14</f>
        <v>0</v>
      </c>
      <c r="I14" s="15" t="n">
        <f aca="false">+D14*F14</f>
        <v>0</v>
      </c>
      <c r="J14" s="15" t="n">
        <f aca="false">+E14*F14</f>
        <v>0</v>
      </c>
      <c r="K14" s="96" t="n">
        <f aca="false">G14*D14/1000000</f>
        <v>0</v>
      </c>
      <c r="L14" s="16" t="n">
        <f aca="false">+((D14*H14)/1000000)*F14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/>
      <c r="H15" s="15" t="n">
        <f aca="false">+E15-G15</f>
        <v>0</v>
      </c>
      <c r="I15" s="15" t="n">
        <f aca="false">+D15*F15</f>
        <v>0</v>
      </c>
      <c r="J15" s="15" t="n">
        <f aca="false">+E15*F15</f>
        <v>0</v>
      </c>
      <c r="K15" s="96" t="n">
        <f aca="false">G15*D15/1000000</f>
        <v>0</v>
      </c>
      <c r="L15" s="16" t="n">
        <f aca="false">+((D15*H15)/1000000)*F15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/>
      <c r="H16" s="15" t="n">
        <f aca="false">+E16-G16</f>
        <v>0</v>
      </c>
      <c r="I16" s="15" t="n">
        <f aca="false">+D16*F16</f>
        <v>0</v>
      </c>
      <c r="J16" s="15" t="n">
        <f aca="false">+E16*F16</f>
        <v>0</v>
      </c>
      <c r="K16" s="96" t="n">
        <f aca="false">G16*D16/1000000</f>
        <v>0</v>
      </c>
      <c r="L16" s="16" t="n">
        <f aca="false">+((D16*H16)/1000000)*F16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/>
      <c r="H17" s="15" t="n">
        <f aca="false">+E17-G17</f>
        <v>0</v>
      </c>
      <c r="I17" s="15" t="n">
        <f aca="false">+D17*F17</f>
        <v>0</v>
      </c>
      <c r="J17" s="15" t="n">
        <f aca="false">+E17*F17</f>
        <v>0</v>
      </c>
      <c r="K17" s="96" t="n">
        <f aca="false">G17*D17/1000000</f>
        <v>0</v>
      </c>
      <c r="L17" s="16" t="n">
        <f aca="false">+((D17*H17)/1000000)*F17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/>
      <c r="H18" s="15" t="n">
        <f aca="false">+E18-G18</f>
        <v>0</v>
      </c>
      <c r="I18" s="15" t="n">
        <f aca="false">+D18*F18</f>
        <v>0</v>
      </c>
      <c r="J18" s="15" t="n">
        <f aca="false">+E18*F18</f>
        <v>0</v>
      </c>
      <c r="K18" s="96" t="n">
        <f aca="false">G18*D18/1000000</f>
        <v>0</v>
      </c>
      <c r="L18" s="16" t="n">
        <f aca="false">+((D18*H18)/1000000)*F18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/>
      <c r="H19" s="15" t="n">
        <f aca="false">+E19-G19</f>
        <v>0</v>
      </c>
      <c r="I19" s="15" t="n">
        <f aca="false">+D19*F19</f>
        <v>0</v>
      </c>
      <c r="J19" s="15" t="n">
        <f aca="false">+E19*F19</f>
        <v>0</v>
      </c>
      <c r="K19" s="96" t="n">
        <f aca="false">G19*D19/1000000</f>
        <v>0</v>
      </c>
      <c r="L19" s="16" t="n">
        <f aca="false">+((D19*H19)/1000000)*F19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/>
      <c r="H20" s="15" t="n">
        <f aca="false">+E20-G20</f>
        <v>0</v>
      </c>
      <c r="I20" s="15" t="n">
        <f aca="false">+D20*F20</f>
        <v>0</v>
      </c>
      <c r="J20" s="15" t="n">
        <f aca="false">+E20*F20</f>
        <v>0</v>
      </c>
      <c r="K20" s="96" t="n">
        <f aca="false">G20*D20/1000000</f>
        <v>0</v>
      </c>
      <c r="L20" s="16" t="n">
        <f aca="false">+((D20*H20)/1000000)*F20</f>
        <v>0</v>
      </c>
      <c r="M20" s="16" t="n">
        <f aca="false">+D20*E20/1000000*F20</f>
        <v>0</v>
      </c>
      <c r="P20" s="138" t="n">
        <f aca="false">(8250*6)+(3250*7)</f>
        <v>72250</v>
      </c>
      <c r="Q20" s="138" t="n">
        <f aca="false">+P20*5</f>
        <v>361250</v>
      </c>
      <c r="R20" s="138" t="n">
        <f aca="false">+Q20+(Q20*10%)</f>
        <v>397375</v>
      </c>
      <c r="S20" s="138" t="n">
        <f aca="false">+R20/6400</f>
        <v>62.08984375</v>
      </c>
      <c r="T20" s="0" t="n">
        <v>63</v>
      </c>
      <c r="U20" s="138" t="n">
        <f aca="false">+(T20*7.4)*4.2</f>
        <v>1958.04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/>
      <c r="H21" s="15" t="n">
        <f aca="false">+E21-G21</f>
        <v>0</v>
      </c>
      <c r="I21" s="15" t="n">
        <f aca="false">+D21*F21</f>
        <v>0</v>
      </c>
      <c r="J21" s="15" t="n">
        <f aca="false">+E21*F21</f>
        <v>0</v>
      </c>
      <c r="K21" s="96" t="n">
        <f aca="false">G21*D21/1000000</f>
        <v>0</v>
      </c>
      <c r="L21" s="16" t="n">
        <f aca="false">+((D21*H21)/1000000)*F21</f>
        <v>0</v>
      </c>
      <c r="M21" s="16" t="n">
        <f aca="false">+D21*E21/1000000*F21</f>
        <v>0</v>
      </c>
      <c r="S21" s="0" t="n">
        <v>140000</v>
      </c>
      <c r="T21" s="0" t="n">
        <v>140</v>
      </c>
      <c r="U21" s="138" t="n">
        <f aca="false">+(S21*T21)/3650</f>
        <v>5369.86301369863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/>
      <c r="H22" s="15" t="n">
        <f aca="false">+E22-G22</f>
        <v>0</v>
      </c>
      <c r="I22" s="15" t="n">
        <f aca="false">+D22*F22</f>
        <v>0</v>
      </c>
      <c r="J22" s="15" t="n">
        <f aca="false">+E22*F22</f>
        <v>0</v>
      </c>
      <c r="K22" s="96" t="n">
        <f aca="false">G22*D22/1000000</f>
        <v>0</v>
      </c>
      <c r="L22" s="16" t="n">
        <f aca="false">+((D22*H22)/1000000)*F22</f>
        <v>0</v>
      </c>
      <c r="M22" s="16" t="n">
        <f aca="false">+D22*E22/1000000*F22</f>
        <v>0</v>
      </c>
      <c r="U22" s="148" t="n">
        <f aca="false">SUM(U20:U21)</f>
        <v>7327.90301369863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/>
      <c r="H23" s="15" t="n">
        <f aca="false">+E23-G23</f>
        <v>0</v>
      </c>
      <c r="I23" s="15" t="n">
        <f aca="false">+D23*F23</f>
        <v>0</v>
      </c>
      <c r="J23" s="15" t="n">
        <f aca="false">+E23*F23</f>
        <v>0</v>
      </c>
      <c r="K23" s="96" t="n">
        <f aca="false">G23*D23/1000000</f>
        <v>0</v>
      </c>
      <c r="L23" s="16" t="n">
        <f aca="false">+((D23*H23)/1000000)*F23</f>
        <v>0</v>
      </c>
      <c r="M23" s="16" t="n">
        <f aca="false">+D23*E23/1000000*F23</f>
        <v>0</v>
      </c>
      <c r="U23" s="149" t="n">
        <f aca="false">+U22+(U22*25%)</f>
        <v>9159.87876712329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/>
      <c r="H24" s="15" t="n">
        <f aca="false">+E24-G24</f>
        <v>0</v>
      </c>
      <c r="I24" s="15" t="n">
        <f aca="false">+D24*F24</f>
        <v>0</v>
      </c>
      <c r="J24" s="15" t="n">
        <f aca="false">+E24*F24</f>
        <v>0</v>
      </c>
      <c r="K24" s="96" t="n">
        <f aca="false">G24*D24/1000000</f>
        <v>0</v>
      </c>
      <c r="L24" s="16" t="n">
        <f aca="false">+((D24*H24)/1000000)*F24</f>
        <v>0</v>
      </c>
      <c r="M24" s="16" t="n">
        <f aca="false">+D24*E24/1000000*F24</f>
        <v>0</v>
      </c>
      <c r="U24" s="149" t="n">
        <f aca="false">U23/140</f>
        <v>65.4277054794521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/>
      <c r="H25" s="15" t="n">
        <f aca="false">+E25-G25</f>
        <v>0</v>
      </c>
      <c r="I25" s="15" t="n">
        <f aca="false">+D25*F25</f>
        <v>0</v>
      </c>
      <c r="J25" s="15" t="n">
        <f aca="false">+E25*F25</f>
        <v>0</v>
      </c>
      <c r="K25" s="96" t="n">
        <f aca="false">G25*D25/1000000</f>
        <v>0</v>
      </c>
      <c r="L25" s="16" t="n">
        <f aca="false">+((D25*H25)/1000000)*F25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/>
      <c r="H26" s="15" t="n">
        <f aca="false">+E26-G26</f>
        <v>0</v>
      </c>
      <c r="I26" s="15" t="n">
        <f aca="false">+D26*F26</f>
        <v>0</v>
      </c>
      <c r="J26" s="15" t="n">
        <f aca="false">+E26*F26</f>
        <v>0</v>
      </c>
      <c r="K26" s="96" t="n">
        <f aca="false">G26*D26/1000000</f>
        <v>0</v>
      </c>
      <c r="L26" s="16" t="n">
        <f aca="false">+((D26*H26)/1000000)*F26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 t="n">
        <f aca="false">+E27-G27</f>
        <v>0</v>
      </c>
      <c r="I27" s="15" t="n">
        <f aca="false">+D27*F27</f>
        <v>0</v>
      </c>
      <c r="J27" s="15" t="n">
        <f aca="false">+E27*F27</f>
        <v>0</v>
      </c>
      <c r="K27" s="96" t="n">
        <f aca="false">G27*D27/1000000</f>
        <v>0</v>
      </c>
      <c r="L27" s="16" t="n">
        <f aca="false">+((D27*H27)/1000000)*F27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 t="n">
        <f aca="false">+E28-G28</f>
        <v>0</v>
      </c>
      <c r="I28" s="15" t="n">
        <f aca="false">+D28*F28</f>
        <v>0</v>
      </c>
      <c r="J28" s="15" t="n">
        <f aca="false">+E28*F28</f>
        <v>0</v>
      </c>
      <c r="K28" s="96" t="n">
        <f aca="false">G28*D28/1000000</f>
        <v>0</v>
      </c>
      <c r="L28" s="16" t="n">
        <f aca="false">+((D28*H28)/1000000)*F28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 t="n">
        <f aca="false">+E29-G29</f>
        <v>0</v>
      </c>
      <c r="I29" s="15" t="n">
        <f aca="false">+D29*F29</f>
        <v>0</v>
      </c>
      <c r="J29" s="15" t="n">
        <f aca="false">+E29*F29</f>
        <v>0</v>
      </c>
      <c r="K29" s="96" t="n">
        <f aca="false">G29*D29/1000000</f>
        <v>0</v>
      </c>
      <c r="L29" s="16" t="n">
        <f aca="false">+((D29*H29)/1000000)*F29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 t="n">
        <f aca="false">+E30-G30</f>
        <v>0</v>
      </c>
      <c r="I30" s="15"/>
      <c r="J30" s="15"/>
      <c r="K30" s="96" t="n">
        <f aca="false">G30*D30/1000000</f>
        <v>0</v>
      </c>
      <c r="L30" s="16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 t="n">
        <f aca="false">+E31-G31</f>
        <v>0</v>
      </c>
      <c r="I31" s="15" t="n">
        <f aca="false">+D31*F31</f>
        <v>0</v>
      </c>
      <c r="J31" s="15" t="n">
        <f aca="false">+E31*F31</f>
        <v>0</v>
      </c>
      <c r="K31" s="96" t="n">
        <f aca="false">G31*D31/1000000</f>
        <v>0</v>
      </c>
      <c r="L31" s="16" t="n">
        <f aca="false">+((D31*H31)/1000000)*F31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1200</v>
      </c>
      <c r="E32" s="32" t="n">
        <f aca="false">SUM(E5:E31)</f>
        <v>2430</v>
      </c>
      <c r="F32" s="32" t="n">
        <f aca="false">SUM(F5:F31)</f>
        <v>1</v>
      </c>
      <c r="G32" s="33" t="n">
        <f aca="false">SUM(G5:G31)</f>
        <v>300</v>
      </c>
      <c r="H32" s="32" t="n">
        <f aca="false">SUM(H5:H31)</f>
        <v>2130</v>
      </c>
      <c r="I32" s="32" t="n">
        <f aca="false">SUM(I5:I31)</f>
        <v>1200</v>
      </c>
      <c r="J32" s="32" t="n">
        <f aca="false">SUM(J5:J31)</f>
        <v>2430</v>
      </c>
      <c r="K32" s="35" t="n">
        <f aca="false">SUM(K5:K31)</f>
        <v>0.36</v>
      </c>
      <c r="L32" s="35" t="n">
        <f aca="false">SUM(L5:L31)</f>
        <v>2.556</v>
      </c>
      <c r="M32" s="36" t="n">
        <f aca="false">SUM(M5:M31)</f>
        <v>2.916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314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3023</v>
      </c>
      <c r="D36" s="13" t="s">
        <v>315</v>
      </c>
      <c r="E36" s="15" t="n">
        <f aca="false">+I32*1+J32*2</f>
        <v>6060</v>
      </c>
      <c r="F36" s="15" t="n">
        <f aca="false">E36+(E36*10%)</f>
        <v>6666</v>
      </c>
      <c r="G36" s="43" t="n">
        <f aca="false">F36/6400</f>
        <v>1.0415625</v>
      </c>
      <c r="H36" s="43" t="n">
        <f aca="false">ROUNDUP(G36,0)</f>
        <v>2</v>
      </c>
      <c r="I36" s="44" t="n">
        <v>7</v>
      </c>
      <c r="J36" s="44" t="n">
        <f aca="false">+I36*H36</f>
        <v>14</v>
      </c>
      <c r="K36" s="22"/>
      <c r="L36" s="22"/>
      <c r="M36" s="22"/>
      <c r="N36" s="22"/>
    </row>
    <row r="37" customFormat="false" ht="29.85" hidden="false" customHeight="false" outlineLevel="0" collapsed="false">
      <c r="B37" s="46" t="n">
        <v>2</v>
      </c>
      <c r="C37" s="46" t="n">
        <v>6101</v>
      </c>
      <c r="D37" s="47" t="s">
        <v>316</v>
      </c>
      <c r="E37" s="48" t="n">
        <f aca="false">+I32*1+H32*1</f>
        <v>3330</v>
      </c>
      <c r="F37" s="48" t="n">
        <f aca="false">E37+(E37*10%)</f>
        <v>3663</v>
      </c>
      <c r="G37" s="49" t="n">
        <f aca="false">F37/6400</f>
        <v>0.57234375</v>
      </c>
      <c r="H37" s="49" t="n">
        <f aca="false">ROUNDUP(G37,0)</f>
        <v>1</v>
      </c>
      <c r="I37" s="50" t="n">
        <v>5.6</v>
      </c>
      <c r="J37" s="50" t="n">
        <f aca="false">+I37*H37</f>
        <v>5.6</v>
      </c>
      <c r="K37" s="22"/>
      <c r="L37" s="22"/>
      <c r="M37" s="22"/>
      <c r="N37" s="22"/>
    </row>
    <row r="38" customFormat="false" ht="29.85" hidden="false" customHeight="false" outlineLevel="0" collapsed="false">
      <c r="B38" s="46" t="n">
        <v>3</v>
      </c>
      <c r="C38" s="46" t="n">
        <v>6109</v>
      </c>
      <c r="D38" s="47" t="s">
        <v>317</v>
      </c>
      <c r="E38" s="48" t="n">
        <f aca="false">+H32*1</f>
        <v>2130</v>
      </c>
      <c r="F38" s="48" t="n">
        <f aca="false">E38+(E38*10%)</f>
        <v>2343</v>
      </c>
      <c r="G38" s="49" t="n">
        <f aca="false">F38/6400</f>
        <v>0.36609375</v>
      </c>
      <c r="H38" s="49" t="n">
        <f aca="false">ROUNDUP(G38,0)</f>
        <v>1</v>
      </c>
      <c r="I38" s="50" t="n">
        <v>5.7</v>
      </c>
      <c r="J38" s="50" t="n">
        <f aca="false">+I38*H38</f>
        <v>5.7</v>
      </c>
      <c r="K38" s="22"/>
      <c r="L38" s="22"/>
      <c r="M38" s="22"/>
      <c r="N38" s="22"/>
    </row>
    <row r="39" customFormat="false" ht="17.35" hidden="false" customHeight="false" outlineLevel="0" collapsed="false">
      <c r="B39" s="13" t="n">
        <v>4</v>
      </c>
      <c r="C39" s="13" t="n">
        <v>6105</v>
      </c>
      <c r="D39" s="13" t="s">
        <v>318</v>
      </c>
      <c r="E39" s="15" t="n">
        <f aca="false">+I32*1</f>
        <v>1200</v>
      </c>
      <c r="F39" s="15" t="n">
        <f aca="false">E39+(E39*10%)</f>
        <v>1320</v>
      </c>
      <c r="G39" s="43" t="n">
        <f aca="false">F39/6400</f>
        <v>0.20625</v>
      </c>
      <c r="H39" s="43" t="n">
        <f aca="false">ROUNDUP(G39,0)</f>
        <v>1</v>
      </c>
      <c r="I39" s="44" t="n">
        <v>7.1</v>
      </c>
      <c r="J39" s="44" t="n">
        <f aca="false">+I39*H39</f>
        <v>7.1</v>
      </c>
      <c r="K39" s="22"/>
      <c r="L39" s="22"/>
      <c r="M39" s="22"/>
      <c r="N39" s="22"/>
    </row>
    <row r="40" customFormat="false" ht="17.35" hidden="false" customHeight="false" outlineLevel="0" collapsed="false">
      <c r="B40" s="13" t="n">
        <v>5</v>
      </c>
      <c r="C40" s="13" t="n">
        <v>6113</v>
      </c>
      <c r="D40" s="13" t="s">
        <v>319</v>
      </c>
      <c r="E40" s="15" t="n">
        <f aca="false">+I32*1</f>
        <v>1200</v>
      </c>
      <c r="F40" s="15" t="n">
        <f aca="false">E40+(E40*10%)</f>
        <v>1320</v>
      </c>
      <c r="G40" s="43" t="n">
        <f aca="false">F40/6400</f>
        <v>0.20625</v>
      </c>
      <c r="H40" s="43" t="n">
        <f aca="false">ROUNDUP(G40,0)</f>
        <v>1</v>
      </c>
      <c r="I40" s="44" t="n">
        <v>7.6</v>
      </c>
      <c r="J40" s="44" t="n">
        <f aca="false">+I40*H40</f>
        <v>7.6</v>
      </c>
      <c r="K40" s="22"/>
      <c r="L40" s="22"/>
      <c r="M40" s="22"/>
      <c r="N40" s="22"/>
    </row>
    <row r="41" customFormat="false" ht="17.35" hidden="false" customHeight="false" outlineLevel="0" collapsed="false">
      <c r="B41" s="13" t="n">
        <v>6</v>
      </c>
      <c r="C41" s="13" t="n">
        <v>6119</v>
      </c>
      <c r="D41" s="13" t="s">
        <v>320</v>
      </c>
      <c r="E41" s="15" t="n">
        <f aca="false">+I32*4+H32*2</f>
        <v>9060</v>
      </c>
      <c r="F41" s="15" t="n">
        <f aca="false">E41+(E41*10%)</f>
        <v>9966</v>
      </c>
      <c r="G41" s="43" t="n">
        <f aca="false">F41/6400</f>
        <v>1.5571875</v>
      </c>
      <c r="H41" s="43" t="n">
        <f aca="false">ROUNDUP(G41,0)</f>
        <v>2</v>
      </c>
      <c r="I41" s="44" t="n">
        <v>0.9</v>
      </c>
      <c r="J41" s="44" t="n">
        <f aca="false">+I41*H41</f>
        <v>1.8</v>
      </c>
      <c r="K41" s="22"/>
      <c r="L41" s="22"/>
      <c r="M41" s="22"/>
      <c r="N41" s="22"/>
    </row>
    <row r="42" customFormat="false" ht="17.35" hidden="false" customHeight="false" outlineLevel="0" collapsed="false">
      <c r="B42" s="13" t="n">
        <v>7</v>
      </c>
      <c r="C42" s="13" t="n">
        <v>1425</v>
      </c>
      <c r="D42" s="13" t="s">
        <v>34</v>
      </c>
      <c r="E42" s="15" t="n">
        <f aca="false">38*8*F32</f>
        <v>304</v>
      </c>
      <c r="F42" s="15" t="n">
        <f aca="false">E42+(E42*10%)</f>
        <v>334.4</v>
      </c>
      <c r="G42" s="43" t="n">
        <f aca="false">F42/6400</f>
        <v>0.05225</v>
      </c>
      <c r="H42" s="43" t="n">
        <f aca="false">ROUNDUP(G42,0)</f>
        <v>1</v>
      </c>
      <c r="I42" s="44" t="n">
        <v>4</v>
      </c>
      <c r="J42" s="44" t="n">
        <f aca="false">+H42*I42</f>
        <v>4</v>
      </c>
      <c r="K42" s="22"/>
      <c r="L42" s="22"/>
      <c r="M42" s="22"/>
      <c r="N42" s="22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23"/>
      <c r="I43" s="51" t="s">
        <v>19</v>
      </c>
      <c r="J43" s="52" t="n">
        <f aca="false">SUM(J36:J42)</f>
        <v>45.8</v>
      </c>
      <c r="K43" s="22"/>
      <c r="L43" s="3"/>
      <c r="M43" s="25"/>
      <c r="N43" s="25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6"/>
    </row>
    <row r="46" customFormat="false" ht="29.85" hidden="false" customHeight="false" outlineLevel="0" collapsed="false">
      <c r="B46" s="47" t="n">
        <v>1</v>
      </c>
      <c r="C46" s="47" t="n">
        <v>3025</v>
      </c>
      <c r="D46" s="47" t="s">
        <v>321</v>
      </c>
      <c r="E46" s="150" t="n">
        <f aca="false">+I32*1</f>
        <v>1200</v>
      </c>
      <c r="F46" s="150" t="n">
        <f aca="false">E46+(E46*10%)</f>
        <v>1320</v>
      </c>
      <c r="G46" s="151" t="n">
        <f aca="false">F46/6400</f>
        <v>0.20625</v>
      </c>
      <c r="H46" s="151" t="n">
        <f aca="false">ROUNDUP(G46,0)</f>
        <v>1</v>
      </c>
      <c r="I46" s="152" t="n">
        <v>7.6</v>
      </c>
      <c r="J46" s="152" t="n">
        <f aca="false">+H46*I46</f>
        <v>7.6</v>
      </c>
      <c r="K46" s="47"/>
      <c r="L46" s="47"/>
      <c r="M46" s="47"/>
      <c r="N46" s="4"/>
    </row>
    <row r="47" customFormat="false" ht="17.35" hidden="false" customHeight="false" outlineLevel="0" collapsed="false">
      <c r="B47" s="13" t="n">
        <v>3</v>
      </c>
      <c r="C47" s="13" t="n">
        <v>1544</v>
      </c>
      <c r="D47" s="13" t="s">
        <v>43</v>
      </c>
      <c r="E47" s="15" t="n">
        <f aca="false">+(300*2)*F32</f>
        <v>600</v>
      </c>
      <c r="F47" s="15" t="n">
        <f aca="false">E47+(E47*10%)</f>
        <v>660</v>
      </c>
      <c r="G47" s="43" t="n">
        <f aca="false">F47/6400</f>
        <v>0.103125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4"/>
    </row>
    <row r="48" customFormat="false" ht="17.35" hidden="false" customHeight="false" outlineLevel="0" collapsed="false">
      <c r="B48" s="13" t="n">
        <v>4</v>
      </c>
      <c r="C48" s="13" t="n">
        <v>6515</v>
      </c>
      <c r="D48" s="13" t="s">
        <v>45</v>
      </c>
      <c r="E48" s="15" t="n">
        <f aca="false">+I32*5</f>
        <v>6000</v>
      </c>
      <c r="F48" s="15" t="n">
        <f aca="false">E48+(E48*10%)</f>
        <v>6600</v>
      </c>
      <c r="G48" s="43" t="n">
        <f aca="false">F48/6400</f>
        <v>1.03125</v>
      </c>
      <c r="H48" s="43" t="n">
        <f aca="false">ROUNDUP(G48,0)</f>
        <v>2</v>
      </c>
      <c r="I48" s="44" t="n">
        <v>1.9</v>
      </c>
      <c r="J48" s="44" t="n">
        <f aca="false">+H48*I48</f>
        <v>3.8</v>
      </c>
      <c r="K48" s="13"/>
      <c r="L48" s="13"/>
      <c r="M48" s="13"/>
      <c r="N48" s="4"/>
    </row>
    <row r="49" customFormat="false" ht="17.35" hidden="false" customHeight="false" outlineLevel="0" collapsed="false">
      <c r="B49" s="13" t="n">
        <v>5</v>
      </c>
      <c r="C49" s="13" t="n">
        <v>3035</v>
      </c>
      <c r="D49" s="13" t="s">
        <v>47</v>
      </c>
      <c r="E49" s="15" t="n">
        <f aca="false">+(I32*2)+(F32*(300*2))</f>
        <v>3000</v>
      </c>
      <c r="F49" s="15" t="n">
        <f aca="false">E49+(E49*10%)</f>
        <v>3300</v>
      </c>
      <c r="G49" s="43" t="n">
        <f aca="false">F49/6400</f>
        <v>0.515625</v>
      </c>
      <c r="H49" s="43" t="n">
        <f aca="false">ROUNDUP(G49,0)</f>
        <v>1</v>
      </c>
      <c r="I49" s="44" t="n">
        <v>1.35</v>
      </c>
      <c r="J49" s="44" t="n">
        <f aca="false">+H49*I49</f>
        <v>1.35</v>
      </c>
      <c r="K49" s="13"/>
      <c r="L49" s="13"/>
      <c r="M49" s="13"/>
      <c r="N49" s="4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19</v>
      </c>
      <c r="J50" s="35" t="n">
        <f aca="false">SUM(J46:J49)</f>
        <v>14.35</v>
      </c>
      <c r="K50" s="3"/>
      <c r="L50" s="3"/>
      <c r="M50" s="3"/>
      <c r="N50" s="3"/>
    </row>
    <row r="51" customFormat="false" ht="17.35" hidden="false" customHeight="false" outlineLevel="0" collapsed="false">
      <c r="B51" s="3"/>
      <c r="C51" s="3"/>
      <c r="D51" s="3"/>
      <c r="E51" s="3"/>
      <c r="F51" s="3"/>
      <c r="G51" s="3"/>
      <c r="H51" s="11"/>
      <c r="I51" s="57" t="s">
        <v>49</v>
      </c>
      <c r="J51" s="35" t="n">
        <f aca="false">+J43+J50</f>
        <v>60.15</v>
      </c>
      <c r="K51" s="3"/>
      <c r="L51" s="3"/>
      <c r="M51" s="3"/>
      <c r="N51" s="3"/>
    </row>
    <row r="52" customFormat="false" ht="17.35" hidden="false" customHeight="false" outlineLevel="0" collapsed="false">
      <c r="B52" s="42" t="s">
        <v>322</v>
      </c>
      <c r="C52" s="42"/>
      <c r="D52" s="42"/>
      <c r="E52" s="42"/>
      <c r="F52" s="42"/>
      <c r="G52" s="42"/>
      <c r="H52" s="42"/>
      <c r="I52" s="3"/>
      <c r="J52" s="3"/>
      <c r="K52" s="3"/>
      <c r="L52" s="3"/>
      <c r="M52" s="3"/>
      <c r="N52" s="3"/>
    </row>
    <row r="53" customFormat="false" ht="17.35" hidden="false" customHeight="false" outlineLevel="0" collapsed="false">
      <c r="B53" s="9" t="s">
        <v>5</v>
      </c>
      <c r="C53" s="9" t="s">
        <v>22</v>
      </c>
      <c r="D53" s="9" t="s">
        <v>51</v>
      </c>
      <c r="E53" s="9" t="s">
        <v>323</v>
      </c>
      <c r="F53" s="9" t="s">
        <v>53</v>
      </c>
      <c r="G53" s="9" t="s">
        <v>54</v>
      </c>
      <c r="H53" s="9" t="s">
        <v>55</v>
      </c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46" t="n">
        <v>1</v>
      </c>
      <c r="C54" s="13" t="s">
        <v>337</v>
      </c>
      <c r="D54" s="58" t="s">
        <v>325</v>
      </c>
      <c r="E54" s="13" t="n">
        <v>1</v>
      </c>
      <c r="F54" s="20" t="n">
        <f aca="false">+E54*F32</f>
        <v>1</v>
      </c>
      <c r="G54" s="15" t="n">
        <v>40000</v>
      </c>
      <c r="H54" s="15" t="n">
        <f aca="false">+F54*G54</f>
        <v>40000</v>
      </c>
      <c r="I54" s="3" t="s">
        <v>338</v>
      </c>
      <c r="J54" s="3" t="s">
        <v>339</v>
      </c>
      <c r="K54" s="3"/>
      <c r="L54" s="3"/>
      <c r="M54" s="3"/>
      <c r="N54" s="3"/>
    </row>
    <row r="55" customFormat="false" ht="17.35" hidden="false" customHeight="false" outlineLevel="0" collapsed="false">
      <c r="B55" s="46" t="n">
        <v>2</v>
      </c>
      <c r="C55" s="13" t="s">
        <v>340</v>
      </c>
      <c r="D55" s="58" t="s">
        <v>226</v>
      </c>
      <c r="E55" s="13" t="n">
        <v>1</v>
      </c>
      <c r="F55" s="20" t="n">
        <f aca="false">+E55*F32</f>
        <v>1</v>
      </c>
      <c r="G55" s="15" t="n">
        <v>35000</v>
      </c>
      <c r="H55" s="15" t="n">
        <f aca="false">+F55*G55</f>
        <v>35000</v>
      </c>
      <c r="I55" s="3"/>
      <c r="J55" s="3"/>
      <c r="K55" s="3"/>
      <c r="L55" s="3"/>
      <c r="M55" s="3"/>
      <c r="N55" s="3"/>
    </row>
    <row r="56" customFormat="false" ht="17.35" hidden="false" customHeight="false" outlineLevel="0" collapsed="false">
      <c r="B56" s="46" t="n">
        <v>3</v>
      </c>
      <c r="C56" s="142" t="s">
        <v>341</v>
      </c>
      <c r="D56" s="58" t="s">
        <v>325</v>
      </c>
      <c r="E56" s="46" t="n">
        <v>6</v>
      </c>
      <c r="F56" s="143" t="n">
        <f aca="false">+E56*F32</f>
        <v>6</v>
      </c>
      <c r="G56" s="48" t="n">
        <v>7500</v>
      </c>
      <c r="H56" s="48" t="n">
        <f aca="false">+F56*G56</f>
        <v>45000</v>
      </c>
      <c r="I56" s="3"/>
      <c r="J56" s="3"/>
      <c r="K56" s="3"/>
      <c r="L56" s="3"/>
      <c r="M56" s="3"/>
      <c r="N56" s="3"/>
    </row>
    <row r="57" customFormat="false" ht="17.35" hidden="false" customHeight="false" outlineLevel="0" collapsed="false">
      <c r="B57" s="46" t="n">
        <v>4</v>
      </c>
      <c r="C57" s="13" t="s">
        <v>61</v>
      </c>
      <c r="D57" s="58" t="s">
        <v>277</v>
      </c>
      <c r="E57" s="16" t="n">
        <f aca="false">+(I32*1+H32*6)/1000</f>
        <v>13.98</v>
      </c>
      <c r="F57" s="16" t="n">
        <f aca="false">+E57*F32</f>
        <v>13.98</v>
      </c>
      <c r="G57" s="15" t="n">
        <v>370</v>
      </c>
      <c r="H57" s="15" t="n">
        <f aca="false">+F57*G57</f>
        <v>5172.6</v>
      </c>
      <c r="I57" s="3"/>
      <c r="J57" s="3"/>
      <c r="K57" s="3"/>
      <c r="L57" s="3"/>
      <c r="M57" s="3"/>
      <c r="N57" s="3"/>
    </row>
    <row r="58" customFormat="false" ht="29.85" hidden="false" customHeight="false" outlineLevel="0" collapsed="false">
      <c r="B58" s="46" t="n">
        <v>5</v>
      </c>
      <c r="C58" s="47" t="s">
        <v>328</v>
      </c>
      <c r="D58" s="58" t="s">
        <v>14</v>
      </c>
      <c r="E58" s="48"/>
      <c r="F58" s="143"/>
      <c r="G58" s="48" t="n">
        <f aca="false">85000/2.97</f>
        <v>28619.5286195286</v>
      </c>
      <c r="H58" s="48"/>
      <c r="I58" s="3"/>
      <c r="J58" s="3"/>
      <c r="K58" s="3"/>
      <c r="L58" s="3"/>
      <c r="M58" s="3"/>
      <c r="N58" s="3"/>
    </row>
    <row r="59" customFormat="false" ht="29.85" hidden="false" customHeight="false" outlineLevel="0" collapsed="false">
      <c r="B59" s="46" t="n">
        <v>6</v>
      </c>
      <c r="C59" s="142" t="s">
        <v>342</v>
      </c>
      <c r="D59" s="58" t="s">
        <v>57</v>
      </c>
      <c r="E59" s="46" t="n">
        <v>6</v>
      </c>
      <c r="F59" s="143" t="n">
        <f aca="false">+E59*F32</f>
        <v>6</v>
      </c>
      <c r="G59" s="48" t="n">
        <v>50</v>
      </c>
      <c r="H59" s="48" t="n">
        <f aca="false">+F59*G59</f>
        <v>300</v>
      </c>
      <c r="I59" s="3"/>
      <c r="J59" s="3" t="s">
        <v>252</v>
      </c>
      <c r="K59" s="3" t="s">
        <v>253</v>
      </c>
      <c r="L59" s="67" t="n">
        <v>25000</v>
      </c>
      <c r="M59" s="3"/>
      <c r="N59" s="3"/>
    </row>
    <row r="60" customFormat="false" ht="29.85" hidden="false" customHeight="false" outlineLevel="0" collapsed="false">
      <c r="B60" s="46" t="n">
        <v>7</v>
      </c>
      <c r="C60" s="142" t="s">
        <v>343</v>
      </c>
      <c r="D60" s="58" t="s">
        <v>57</v>
      </c>
      <c r="E60" s="46" t="n">
        <v>8</v>
      </c>
      <c r="F60" s="143" t="n">
        <f aca="false">+E60*F32</f>
        <v>8</v>
      </c>
      <c r="G60" s="48" t="n">
        <v>50</v>
      </c>
      <c r="H60" s="48" t="n">
        <f aca="false">+F60*G60</f>
        <v>400</v>
      </c>
      <c r="I60" s="3"/>
      <c r="J60" s="3" t="s">
        <v>255</v>
      </c>
      <c r="K60" s="3" t="s">
        <v>256</v>
      </c>
      <c r="L60" s="67" t="n">
        <v>4000</v>
      </c>
      <c r="M60" s="3" t="s">
        <v>257</v>
      </c>
      <c r="N60" s="3"/>
    </row>
    <row r="61" customFormat="false" ht="29.85" hidden="false" customHeight="false" outlineLevel="0" collapsed="false">
      <c r="B61" s="46" t="n">
        <v>8</v>
      </c>
      <c r="C61" s="142" t="s">
        <v>344</v>
      </c>
      <c r="D61" s="58" t="s">
        <v>57</v>
      </c>
      <c r="E61" s="143" t="n">
        <v>64</v>
      </c>
      <c r="F61" s="143" t="n">
        <f aca="false">+E61*F32</f>
        <v>64</v>
      </c>
      <c r="G61" s="48" t="n">
        <v>50</v>
      </c>
      <c r="H61" s="48" t="n">
        <f aca="false">+F61*G61</f>
        <v>3200</v>
      </c>
      <c r="I61" s="3"/>
      <c r="J61" s="3" t="s">
        <v>259</v>
      </c>
      <c r="K61" s="3" t="s">
        <v>260</v>
      </c>
      <c r="L61" s="67" t="n">
        <v>110000</v>
      </c>
      <c r="M61" s="3"/>
      <c r="N61" s="3"/>
    </row>
    <row r="62" customFormat="false" ht="29.85" hidden="false" customHeight="false" outlineLevel="0" collapsed="false">
      <c r="B62" s="46" t="n">
        <v>9</v>
      </c>
      <c r="C62" s="59" t="s">
        <v>345</v>
      </c>
      <c r="D62" s="58" t="s">
        <v>62</v>
      </c>
      <c r="E62" s="153" t="n">
        <f aca="false">+(I32*8+H32*8)/1000</f>
        <v>26.64</v>
      </c>
      <c r="F62" s="60" t="n">
        <f aca="false">+E62</f>
        <v>26.64</v>
      </c>
      <c r="G62" s="61" t="n">
        <v>1000</v>
      </c>
      <c r="H62" s="48" t="n">
        <f aca="false">+F62*G62</f>
        <v>26640</v>
      </c>
      <c r="I62" s="3"/>
      <c r="J62" s="3" t="s">
        <v>262</v>
      </c>
      <c r="K62" s="3" t="s">
        <v>256</v>
      </c>
      <c r="L62" s="67" t="n">
        <v>55000</v>
      </c>
      <c r="M62" s="3" t="s">
        <v>263</v>
      </c>
      <c r="N62" s="3"/>
    </row>
    <row r="63" customFormat="false" ht="17.35" hidden="false" customHeight="false" outlineLevel="0" collapsed="false">
      <c r="B63" s="46" t="n">
        <v>10</v>
      </c>
      <c r="C63" s="13" t="s">
        <v>67</v>
      </c>
      <c r="D63" s="58" t="s">
        <v>57</v>
      </c>
      <c r="E63" s="13" t="n">
        <v>6</v>
      </c>
      <c r="F63" s="20" t="n">
        <f aca="false">+E63*F32</f>
        <v>6</v>
      </c>
      <c r="G63" s="15" t="n">
        <v>40</v>
      </c>
      <c r="H63" s="15" t="n">
        <f aca="false">+F63*G63</f>
        <v>240</v>
      </c>
      <c r="I63" s="3"/>
      <c r="J63" s="3" t="s">
        <v>67</v>
      </c>
      <c r="K63" s="3" t="s">
        <v>256</v>
      </c>
      <c r="L63" s="67" t="n">
        <v>4000</v>
      </c>
      <c r="M63" s="3" t="s">
        <v>264</v>
      </c>
      <c r="N63" s="3"/>
    </row>
    <row r="64" customFormat="false" ht="17.35" hidden="false" customHeight="false" outlineLevel="0" collapsed="false">
      <c r="B64" s="46" t="n">
        <v>11</v>
      </c>
      <c r="C64" s="13" t="s">
        <v>346</v>
      </c>
      <c r="D64" s="58" t="s">
        <v>57</v>
      </c>
      <c r="E64" s="13" t="n">
        <v>2</v>
      </c>
      <c r="F64" s="20" t="n">
        <f aca="false">+E64*F32</f>
        <v>2</v>
      </c>
      <c r="G64" s="15" t="n">
        <v>16000</v>
      </c>
      <c r="H64" s="15" t="n">
        <f aca="false">+F64*G64</f>
        <v>32000</v>
      </c>
      <c r="I64" s="3"/>
      <c r="J64" s="3" t="s">
        <v>47</v>
      </c>
      <c r="K64" s="3" t="s">
        <v>266</v>
      </c>
      <c r="L64" s="67" t="n">
        <v>110000</v>
      </c>
      <c r="M64" s="3" t="s">
        <v>267</v>
      </c>
      <c r="N64" s="3"/>
    </row>
    <row r="65" customFormat="false" ht="29.85" hidden="false" customHeight="false" outlineLevel="0" collapsed="false">
      <c r="B65" s="46" t="n">
        <v>12</v>
      </c>
      <c r="C65" s="46" t="s">
        <v>268</v>
      </c>
      <c r="D65" s="58" t="s">
        <v>14</v>
      </c>
      <c r="E65" s="47" t="s">
        <v>332</v>
      </c>
      <c r="F65" s="62" t="n">
        <f aca="false">+L32</f>
        <v>2.556</v>
      </c>
      <c r="G65" s="48" t="n">
        <v>55000</v>
      </c>
      <c r="H65" s="48" t="n">
        <f aca="false">+F65*G65</f>
        <v>140580</v>
      </c>
      <c r="I65" s="3"/>
      <c r="J65" s="3" t="s">
        <v>47</v>
      </c>
      <c r="K65" s="3" t="s">
        <v>270</v>
      </c>
      <c r="L65" s="67" t="n">
        <v>150000</v>
      </c>
      <c r="M65" s="3" t="s">
        <v>267</v>
      </c>
      <c r="N65" s="3"/>
    </row>
    <row r="66" customFormat="false" ht="29.85" hidden="false" customHeight="false" outlineLevel="0" collapsed="false">
      <c r="B66" s="3"/>
      <c r="C66" s="3"/>
      <c r="D66" s="3"/>
      <c r="E66" s="3"/>
      <c r="F66" s="3"/>
      <c r="G66" s="64" t="s">
        <v>19</v>
      </c>
      <c r="H66" s="65" t="n">
        <f aca="false">SUM(H57:H65)</f>
        <v>208532.6</v>
      </c>
      <c r="I66" s="3"/>
      <c r="J66" s="146" t="s">
        <v>292</v>
      </c>
      <c r="K66" s="3"/>
      <c r="L66" s="67" t="n">
        <v>150000</v>
      </c>
      <c r="M66" s="3"/>
      <c r="N66" s="3"/>
    </row>
    <row r="67" customFormat="false" ht="17.35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 t="s">
        <v>294</v>
      </c>
      <c r="K67" s="3" t="s">
        <v>295</v>
      </c>
      <c r="L67" s="3" t="n">
        <v>55000</v>
      </c>
      <c r="M67" s="3" t="s">
        <v>263</v>
      </c>
      <c r="N67" s="3"/>
    </row>
    <row r="68" customFormat="false" ht="17.35" hidden="false" customHeight="false" outlineLevel="0" collapsed="false">
      <c r="B68" s="42" t="s">
        <v>271</v>
      </c>
      <c r="C68" s="42"/>
      <c r="D68" s="42"/>
      <c r="E68" s="42"/>
      <c r="F68" s="42"/>
      <c r="G68" s="42"/>
      <c r="H68" s="42"/>
      <c r="I68" s="3"/>
      <c r="J68" s="3" t="s">
        <v>333</v>
      </c>
      <c r="K68" s="3" t="s">
        <v>334</v>
      </c>
      <c r="L68" s="3" t="n">
        <v>85000</v>
      </c>
      <c r="M68" s="3"/>
      <c r="N68" s="3"/>
    </row>
    <row r="69" customFormat="false" ht="17.35" hidden="false" customHeight="false" outlineLevel="0" collapsed="false">
      <c r="B69" s="9" t="s">
        <v>5</v>
      </c>
      <c r="C69" s="9" t="s">
        <v>22</v>
      </c>
      <c r="D69" s="9" t="s">
        <v>51</v>
      </c>
      <c r="E69" s="9" t="s">
        <v>74</v>
      </c>
      <c r="F69" s="9" t="s">
        <v>272</v>
      </c>
      <c r="G69" s="9" t="s">
        <v>54</v>
      </c>
      <c r="H69" s="9" t="s">
        <v>55</v>
      </c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46" t="n">
        <v>1</v>
      </c>
      <c r="C70" s="46" t="s">
        <v>347</v>
      </c>
      <c r="D70" s="58" t="s">
        <v>57</v>
      </c>
      <c r="E70" s="46" t="n">
        <v>40</v>
      </c>
      <c r="F70" s="143" t="n">
        <f aca="false">+E70*F32</f>
        <v>40</v>
      </c>
      <c r="G70" s="48" t="n">
        <v>50</v>
      </c>
      <c r="H70" s="48" t="n">
        <f aca="false">+F70*G70</f>
        <v>2000</v>
      </c>
      <c r="I70" s="3"/>
      <c r="J70" s="3"/>
      <c r="K70" s="3"/>
      <c r="L70" s="3"/>
      <c r="M70" s="3"/>
      <c r="N70" s="3"/>
    </row>
    <row r="71" customFormat="false" ht="29.85" hidden="false" customHeight="false" outlineLevel="0" collapsed="false">
      <c r="B71" s="46" t="n">
        <v>2</v>
      </c>
      <c r="C71" s="47" t="s">
        <v>348</v>
      </c>
      <c r="D71" s="58" t="s">
        <v>57</v>
      </c>
      <c r="E71" s="46" t="n">
        <v>4</v>
      </c>
      <c r="F71" s="143" t="n">
        <f aca="false">+E71*F32</f>
        <v>4</v>
      </c>
      <c r="G71" s="48" t="n">
        <v>50</v>
      </c>
      <c r="H71" s="48" t="n">
        <f aca="false">+F71*G71</f>
        <v>200</v>
      </c>
      <c r="I71" s="3"/>
      <c r="J71" s="3"/>
      <c r="K71" s="3"/>
      <c r="L71" s="3"/>
      <c r="M71" s="3"/>
      <c r="N71" s="3"/>
    </row>
    <row r="72" customFormat="false" ht="29.85" hidden="false" customHeight="false" outlineLevel="0" collapsed="false">
      <c r="B72" s="46" t="n">
        <v>3</v>
      </c>
      <c r="C72" s="47" t="s">
        <v>349</v>
      </c>
      <c r="D72" s="58" t="s">
        <v>62</v>
      </c>
      <c r="E72" s="62" t="n">
        <f aca="false">+(I32*2)/1000+((0.3*2)*F32)</f>
        <v>3</v>
      </c>
      <c r="F72" s="143" t="n">
        <f aca="false">+E72</f>
        <v>3</v>
      </c>
      <c r="G72" s="48" t="n">
        <v>55</v>
      </c>
      <c r="H72" s="48" t="n">
        <f aca="false">+F72*G72</f>
        <v>165</v>
      </c>
      <c r="I72" s="3"/>
      <c r="J72" s="3"/>
      <c r="K72" s="3"/>
      <c r="L72" s="3"/>
      <c r="M72" s="3"/>
      <c r="N72" s="3"/>
    </row>
    <row r="73" customFormat="false" ht="17.35" hidden="false" customHeight="false" outlineLevel="0" collapsed="false">
      <c r="B73" s="46" t="n">
        <v>4</v>
      </c>
      <c r="C73" s="46" t="s">
        <v>47</v>
      </c>
      <c r="D73" s="58" t="s">
        <v>14</v>
      </c>
      <c r="E73" s="58" t="s">
        <v>307</v>
      </c>
      <c r="F73" s="60" t="n">
        <f aca="false">+G32*D32/1000000</f>
        <v>0.36</v>
      </c>
      <c r="G73" s="69" t="n">
        <v>3700</v>
      </c>
      <c r="H73" s="48" t="n">
        <f aca="false">+F73*G73</f>
        <v>1332</v>
      </c>
      <c r="I73" s="3"/>
      <c r="J73" s="3"/>
      <c r="K73" s="3"/>
      <c r="L73" s="3"/>
      <c r="M73" s="3"/>
      <c r="N73" s="3"/>
    </row>
    <row r="74" customFormat="false" ht="19.7" hidden="false" customHeight="false" outlineLevel="0" collapsed="false">
      <c r="B74" s="72"/>
      <c r="C74" s="72"/>
      <c r="D74" s="72"/>
      <c r="E74" s="72"/>
      <c r="F74" s="72"/>
      <c r="G74" s="73" t="s">
        <v>19</v>
      </c>
      <c r="H74" s="74" t="n">
        <f aca="false">SUM(H70:H73)</f>
        <v>3697</v>
      </c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I75" s="3"/>
      <c r="J75" s="3"/>
      <c r="K75" s="3"/>
      <c r="L75" s="3"/>
      <c r="M75" s="3"/>
      <c r="N75" s="3"/>
    </row>
    <row r="76" customFormat="false" ht="17.35" hidden="false" customHeight="false" outlineLevel="0" collapsed="false">
      <c r="B76" s="72"/>
      <c r="C76" s="72"/>
      <c r="D76" s="72"/>
      <c r="E76" s="72"/>
      <c r="F76" s="72"/>
      <c r="G76" s="3"/>
      <c r="H76" s="3"/>
      <c r="I76" s="3"/>
      <c r="J76" s="3"/>
      <c r="K76" s="3"/>
      <c r="L76" s="3"/>
      <c r="M76" s="3"/>
      <c r="N76" s="3"/>
    </row>
    <row r="77" customFormat="false" ht="24.45" hidden="false" customHeight="false" outlineLevel="0" collapsed="false">
      <c r="B77" s="75" t="s">
        <v>335</v>
      </c>
      <c r="C77" s="75"/>
      <c r="D77" s="75"/>
      <c r="E77" s="76"/>
      <c r="F77" s="75" t="s">
        <v>336</v>
      </c>
      <c r="G77" s="75"/>
      <c r="H77" s="75"/>
      <c r="I77" s="3"/>
    </row>
    <row r="78" customFormat="false" ht="37.3" hidden="false" customHeight="false" outlineLevel="0" collapsed="false">
      <c r="B78" s="77" t="s">
        <v>95</v>
      </c>
      <c r="C78" s="77" t="s">
        <v>96</v>
      </c>
      <c r="D78" s="77" t="s">
        <v>97</v>
      </c>
      <c r="E78" s="3"/>
      <c r="F78" s="77" t="s">
        <v>95</v>
      </c>
      <c r="G78" s="77" t="s">
        <v>96</v>
      </c>
      <c r="H78" s="77" t="s">
        <v>97</v>
      </c>
      <c r="I78" s="3"/>
    </row>
    <row r="79" customFormat="false" ht="22.05" hidden="false" customHeight="false" outlineLevel="0" collapsed="false">
      <c r="B79" s="78" t="n">
        <v>1</v>
      </c>
      <c r="C79" s="79" t="s">
        <v>98</v>
      </c>
      <c r="D79" s="80" t="n">
        <f aca="false">+J43*4.2</f>
        <v>192.36</v>
      </c>
      <c r="E79" s="3"/>
      <c r="F79" s="78" t="n">
        <v>1</v>
      </c>
      <c r="G79" s="79" t="s">
        <v>98</v>
      </c>
      <c r="H79" s="80" t="n">
        <f aca="false">J51*4</f>
        <v>240.6</v>
      </c>
      <c r="I79" s="3"/>
    </row>
    <row r="80" customFormat="false" ht="22.05" hidden="false" customHeight="false" outlineLevel="0" collapsed="false">
      <c r="B80" s="78" t="n">
        <v>2</v>
      </c>
      <c r="C80" s="79" t="s">
        <v>99</v>
      </c>
      <c r="D80" s="80" t="n">
        <f aca="false">+H66/3700</f>
        <v>56.3601621621622</v>
      </c>
      <c r="E80" s="3"/>
      <c r="F80" s="78" t="n">
        <v>2</v>
      </c>
      <c r="G80" s="79" t="s">
        <v>99</v>
      </c>
      <c r="H80" s="80" t="n">
        <f aca="false">+(H66+H74)/3650</f>
        <v>58.145095890411</v>
      </c>
      <c r="I80" s="3"/>
    </row>
    <row r="81" customFormat="false" ht="22.05" hidden="false" customHeight="false" outlineLevel="0" collapsed="false">
      <c r="B81" s="78" t="n">
        <v>3</v>
      </c>
      <c r="C81" s="79" t="s">
        <v>100</v>
      </c>
      <c r="D81" s="80" t="n">
        <f aca="false">+L32*10</f>
        <v>25.56</v>
      </c>
      <c r="E81" s="3"/>
      <c r="F81" s="78" t="n">
        <v>3</v>
      </c>
      <c r="G81" s="79" t="s">
        <v>100</v>
      </c>
      <c r="H81" s="80" t="n">
        <f aca="false">+M32*15</f>
        <v>43.74</v>
      </c>
      <c r="I81" s="3"/>
    </row>
    <row r="82" customFormat="false" ht="22.05" hidden="false" customHeight="false" outlineLevel="0" collapsed="false">
      <c r="B82" s="78" t="n">
        <v>4</v>
      </c>
      <c r="C82" s="79" t="s">
        <v>101</v>
      </c>
      <c r="D82" s="80" t="n">
        <f aca="false">+L32*0</f>
        <v>0</v>
      </c>
      <c r="E82" s="3"/>
      <c r="F82" s="78" t="n">
        <v>4</v>
      </c>
      <c r="G82" s="79" t="s">
        <v>101</v>
      </c>
      <c r="H82" s="80" t="n">
        <f aca="false">+M32*0</f>
        <v>0</v>
      </c>
      <c r="I82" s="3"/>
    </row>
    <row r="83" customFormat="false" ht="22.05" hidden="false" customHeight="false" outlineLevel="0" collapsed="false">
      <c r="B83" s="3"/>
      <c r="C83" s="81" t="s">
        <v>19</v>
      </c>
      <c r="D83" s="80" t="n">
        <f aca="false">SUM(D79:D82)</f>
        <v>274.280162162162</v>
      </c>
      <c r="E83" s="3"/>
      <c r="F83" s="3"/>
      <c r="G83" s="81" t="s">
        <v>19</v>
      </c>
      <c r="H83" s="80" t="n">
        <f aca="false">SUM(H79:H82)</f>
        <v>342.485095890411</v>
      </c>
      <c r="I83" s="3"/>
    </row>
    <row r="84" customFormat="false" ht="22.05" hidden="false" customHeight="false" outlineLevel="0" collapsed="false">
      <c r="B84" s="3"/>
      <c r="C84" s="81" t="s">
        <v>102</v>
      </c>
      <c r="D84" s="82" t="n">
        <f aca="false">+D83*30%</f>
        <v>82.2840486486486</v>
      </c>
      <c r="E84" s="3"/>
      <c r="F84" s="3"/>
      <c r="G84" s="81" t="s">
        <v>102</v>
      </c>
      <c r="H84" s="82" t="n">
        <f aca="false">+H83*30%</f>
        <v>102.745528767123</v>
      </c>
      <c r="I84" s="3"/>
    </row>
    <row r="85" customFormat="false" ht="22.05" hidden="false" customHeight="false" outlineLevel="0" collapsed="false">
      <c r="B85" s="3"/>
      <c r="C85" s="83" t="s">
        <v>103</v>
      </c>
      <c r="D85" s="84" t="n">
        <f aca="false">+D83+D84</f>
        <v>356.564210810811</v>
      </c>
      <c r="E85" s="3"/>
      <c r="F85" s="3"/>
      <c r="G85" s="83" t="s">
        <v>103</v>
      </c>
      <c r="H85" s="84" t="n">
        <f aca="false">+H83+H84</f>
        <v>445.230624657534</v>
      </c>
      <c r="I85" s="3"/>
    </row>
    <row r="86" customFormat="false" ht="22.05" hidden="false" customHeight="false" outlineLevel="0" collapsed="false">
      <c r="B86" s="3"/>
      <c r="C86" s="87" t="s">
        <v>104</v>
      </c>
      <c r="D86" s="88" t="n">
        <f aca="false">+D83/L32</f>
        <v>107.308357653428</v>
      </c>
      <c r="E86" s="3"/>
      <c r="F86" s="3"/>
      <c r="G86" s="87" t="s">
        <v>104</v>
      </c>
      <c r="H86" s="88" t="n">
        <f aca="false">+H83/L32</f>
        <v>133.992604025982</v>
      </c>
      <c r="I86" s="3"/>
    </row>
    <row r="87" customFormat="false" ht="37.3" hidden="false" customHeight="false" outlineLevel="0" collapsed="false">
      <c r="B87" s="3"/>
      <c r="C87" s="89" t="s">
        <v>105</v>
      </c>
      <c r="D87" s="90" t="n">
        <f aca="false">+D85/L32</f>
        <v>139.500864949456</v>
      </c>
      <c r="E87" s="3"/>
      <c r="F87" s="3"/>
      <c r="G87" s="89" t="s">
        <v>105</v>
      </c>
      <c r="H87" s="90" t="n">
        <f aca="false">+H85/L32</f>
        <v>174.190385233777</v>
      </c>
      <c r="I87" s="3"/>
    </row>
    <row r="88" customFormat="false" ht="17.35" hidden="false" customHeight="false" outlineLevel="0" collapsed="false">
      <c r="I88" s="3"/>
    </row>
    <row r="89" customFormat="false" ht="17.35" hidden="false" customHeight="false" outlineLevel="0" collapsed="false">
      <c r="I89" s="3"/>
    </row>
    <row r="90" customFormat="false" ht="17.35" hidden="false" customHeight="false" outlineLevel="0" collapsed="false">
      <c r="I90" s="3"/>
    </row>
    <row r="91" customFormat="false" ht="17.35" hidden="false" customHeight="false" outlineLevel="0" collapsed="false">
      <c r="I91" s="3"/>
    </row>
  </sheetData>
  <mergeCells count="13">
    <mergeCell ref="B3:M3"/>
    <mergeCell ref="B32:C32"/>
    <mergeCell ref="B34:J34"/>
    <mergeCell ref="B44:M44"/>
    <mergeCell ref="K45:M45"/>
    <mergeCell ref="K46:M46"/>
    <mergeCell ref="K47:M47"/>
    <mergeCell ref="K48:M48"/>
    <mergeCell ref="K49:M49"/>
    <mergeCell ref="B52:H52"/>
    <mergeCell ref="B68:H68"/>
    <mergeCell ref="B77:D77"/>
    <mergeCell ref="F77:H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58" activePane="bottomLeft" state="frozen"/>
      <selection pane="topLeft" activeCell="A1" activeCellId="0" sqref="A1"/>
      <selection pane="bottomLeft" activeCell="E70" activeCellId="0" sqref="E70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9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</cols>
  <sheetData>
    <row r="3" customFormat="false" ht="22.05" hidden="false" customHeight="false" outlineLevel="0" collapsed="false">
      <c r="B3" s="7" t="s">
        <v>350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7.3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312</v>
      </c>
      <c r="I4" s="10" t="s">
        <v>11</v>
      </c>
      <c r="J4" s="10" t="s">
        <v>13</v>
      </c>
      <c r="K4" s="10" t="s">
        <v>239</v>
      </c>
      <c r="L4" s="10" t="s">
        <v>313</v>
      </c>
      <c r="M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950</v>
      </c>
      <c r="E5" s="15" t="n">
        <v>2450</v>
      </c>
      <c r="F5" s="15" t="n">
        <v>1</v>
      </c>
      <c r="G5" s="15" t="n">
        <v>300</v>
      </c>
      <c r="H5" s="15" t="n">
        <f aca="false">+E5-G5</f>
        <v>2150</v>
      </c>
      <c r="I5" s="15" t="n">
        <f aca="false">+D5*F5</f>
        <v>950</v>
      </c>
      <c r="J5" s="15" t="n">
        <f aca="false">+E5*F5</f>
        <v>2450</v>
      </c>
      <c r="K5" s="96" t="n">
        <f aca="false">G5*D5/1000000</f>
        <v>0.285</v>
      </c>
      <c r="L5" s="16" t="n">
        <f aca="false">+((D5*H5)/1000000)*F5</f>
        <v>2.0425</v>
      </c>
      <c r="M5" s="16" t="n">
        <f aca="false">+D5*E5/1000000*F5</f>
        <v>2.3275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950</v>
      </c>
      <c r="E6" s="15" t="n">
        <v>2450</v>
      </c>
      <c r="F6" s="15" t="n">
        <v>1</v>
      </c>
      <c r="G6" s="15" t="n">
        <v>300</v>
      </c>
      <c r="H6" s="15" t="n">
        <f aca="false">+E6-G6</f>
        <v>2150</v>
      </c>
      <c r="I6" s="15" t="n">
        <f aca="false">+D6*F6</f>
        <v>950</v>
      </c>
      <c r="J6" s="15" t="n">
        <f aca="false">+E6*F6</f>
        <v>2450</v>
      </c>
      <c r="K6" s="96" t="n">
        <f aca="false">G6*D6/1000000</f>
        <v>0.285</v>
      </c>
      <c r="L6" s="16" t="n">
        <f aca="false">+((D6*H6)/1000000)*F6</f>
        <v>2.0425</v>
      </c>
      <c r="M6" s="16" t="n">
        <f aca="false">+D6*E6/1000000*F6</f>
        <v>2.3275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1030</v>
      </c>
      <c r="E7" s="15" t="n">
        <v>2610</v>
      </c>
      <c r="F7" s="15" t="n">
        <v>1</v>
      </c>
      <c r="G7" s="15" t="n">
        <v>300</v>
      </c>
      <c r="H7" s="15" t="n">
        <f aca="false">+E7-G7</f>
        <v>2310</v>
      </c>
      <c r="I7" s="15" t="n">
        <f aca="false">+D7*F7</f>
        <v>1030</v>
      </c>
      <c r="J7" s="15" t="n">
        <f aca="false">+E7*F7</f>
        <v>2610</v>
      </c>
      <c r="K7" s="96" t="n">
        <f aca="false">G7*D7/1000000</f>
        <v>0.309</v>
      </c>
      <c r="L7" s="16" t="n">
        <f aca="false">+((D7*H7)/1000000)*F7</f>
        <v>2.3793</v>
      </c>
      <c r="M7" s="16" t="n">
        <f aca="false">+D7*E7/1000000*F7</f>
        <v>2.6883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/>
      <c r="E8" s="15"/>
      <c r="F8" s="15"/>
      <c r="G8" s="15"/>
      <c r="H8" s="15" t="n">
        <f aca="false">+E8-G8</f>
        <v>0</v>
      </c>
      <c r="I8" s="15" t="n">
        <f aca="false">+D8*F8</f>
        <v>0</v>
      </c>
      <c r="J8" s="15" t="n">
        <f aca="false">+E8*F8</f>
        <v>0</v>
      </c>
      <c r="K8" s="96" t="n">
        <f aca="false">G8*D8/1000000</f>
        <v>0</v>
      </c>
      <c r="L8" s="16" t="n">
        <f aca="false">+((D8*H8)/1000000)*F8</f>
        <v>0</v>
      </c>
      <c r="M8" s="16" t="n">
        <f aca="false">+D8*E8/1000000*F8</f>
        <v>0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/>
      <c r="H9" s="15" t="n">
        <f aca="false">+E9-G9</f>
        <v>0</v>
      </c>
      <c r="I9" s="15" t="n">
        <f aca="false">+D9*F9</f>
        <v>0</v>
      </c>
      <c r="J9" s="15" t="n">
        <f aca="false">+E9*F9</f>
        <v>0</v>
      </c>
      <c r="K9" s="96" t="n">
        <f aca="false">G9*D9/1000000</f>
        <v>0</v>
      </c>
      <c r="L9" s="16" t="n">
        <f aca="false">+((D9*H9)/1000000)*F9</f>
        <v>0</v>
      </c>
      <c r="M9" s="16" t="n">
        <f aca="false">+D9*E9/1000000*F9</f>
        <v>0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/>
      <c r="H10" s="15" t="n">
        <f aca="false">+E10-G10</f>
        <v>0</v>
      </c>
      <c r="I10" s="15" t="n">
        <f aca="false">+D10*F10</f>
        <v>0</v>
      </c>
      <c r="J10" s="15" t="n">
        <f aca="false">+E10*F10</f>
        <v>0</v>
      </c>
      <c r="K10" s="96" t="n">
        <f aca="false">G10*D10/1000000</f>
        <v>0</v>
      </c>
      <c r="L10" s="16" t="n">
        <f aca="false">+((D10*H10)/1000000)*F10</f>
        <v>0</v>
      </c>
      <c r="M10" s="16" t="n">
        <f aca="false">+D10*E10/1000000*F10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/>
      <c r="H11" s="15" t="n">
        <f aca="false">+E11-G11</f>
        <v>0</v>
      </c>
      <c r="I11" s="15" t="n">
        <f aca="false">+D11*F11</f>
        <v>0</v>
      </c>
      <c r="J11" s="15" t="n">
        <f aca="false">+E11*F11</f>
        <v>0</v>
      </c>
      <c r="K11" s="96" t="n">
        <f aca="false">G11*D11/1000000</f>
        <v>0</v>
      </c>
      <c r="L11" s="16" t="n">
        <f aca="false">+((D11*H11)/1000000)*F11</f>
        <v>0</v>
      </c>
      <c r="M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/>
      <c r="H12" s="15" t="n">
        <f aca="false">+E12-G12</f>
        <v>0</v>
      </c>
      <c r="I12" s="15" t="n">
        <f aca="false">+D12*F12</f>
        <v>0</v>
      </c>
      <c r="J12" s="15" t="n">
        <f aca="false">+E12*F12</f>
        <v>0</v>
      </c>
      <c r="K12" s="96" t="n">
        <f aca="false">G12*D12/1000000</f>
        <v>0</v>
      </c>
      <c r="L12" s="16" t="n">
        <f aca="false">+((D12*H12)/1000000)*F12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/>
      <c r="H13" s="15" t="n">
        <f aca="false">+E13-G13</f>
        <v>0</v>
      </c>
      <c r="I13" s="15" t="n">
        <f aca="false">+D13*F13</f>
        <v>0</v>
      </c>
      <c r="J13" s="15" t="n">
        <f aca="false">+E13*F13</f>
        <v>0</v>
      </c>
      <c r="K13" s="96" t="n">
        <f aca="false">G13*D13/1000000</f>
        <v>0</v>
      </c>
      <c r="L13" s="16" t="n">
        <f aca="false">+((D13*H13)/1000000)*F13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/>
      <c r="H14" s="15" t="n">
        <f aca="false">+E14-G14</f>
        <v>0</v>
      </c>
      <c r="I14" s="15" t="n">
        <f aca="false">+D14*F14</f>
        <v>0</v>
      </c>
      <c r="J14" s="15" t="n">
        <f aca="false">+E14*F14</f>
        <v>0</v>
      </c>
      <c r="K14" s="96" t="n">
        <f aca="false">G14*D14/1000000</f>
        <v>0</v>
      </c>
      <c r="L14" s="16" t="n">
        <f aca="false">+((D14*H14)/1000000)*F14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/>
      <c r="H15" s="15" t="n">
        <f aca="false">+E15-G15</f>
        <v>0</v>
      </c>
      <c r="I15" s="15" t="n">
        <f aca="false">+D15*F15</f>
        <v>0</v>
      </c>
      <c r="J15" s="15" t="n">
        <f aca="false">+E15*F15</f>
        <v>0</v>
      </c>
      <c r="K15" s="96" t="n">
        <f aca="false">G15*D15/1000000</f>
        <v>0</v>
      </c>
      <c r="L15" s="16" t="n">
        <f aca="false">+((D15*H15)/1000000)*F15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/>
      <c r="H16" s="15" t="n">
        <f aca="false">+E16-G16</f>
        <v>0</v>
      </c>
      <c r="I16" s="15" t="n">
        <f aca="false">+D16*F16</f>
        <v>0</v>
      </c>
      <c r="J16" s="15" t="n">
        <f aca="false">+E16*F16</f>
        <v>0</v>
      </c>
      <c r="K16" s="96" t="n">
        <f aca="false">G16*D16/1000000</f>
        <v>0</v>
      </c>
      <c r="L16" s="16" t="n">
        <f aca="false">+((D16*H16)/1000000)*F16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/>
      <c r="H17" s="15" t="n">
        <f aca="false">+E17-G17</f>
        <v>0</v>
      </c>
      <c r="I17" s="15" t="n">
        <f aca="false">+D17*F17</f>
        <v>0</v>
      </c>
      <c r="J17" s="15" t="n">
        <f aca="false">+E17*F17</f>
        <v>0</v>
      </c>
      <c r="K17" s="96" t="n">
        <f aca="false">G17*D17/1000000</f>
        <v>0</v>
      </c>
      <c r="L17" s="16" t="n">
        <f aca="false">+((D17*H17)/1000000)*F17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/>
      <c r="H18" s="15" t="n">
        <f aca="false">+E18-G18</f>
        <v>0</v>
      </c>
      <c r="I18" s="15" t="n">
        <f aca="false">+D18*F18</f>
        <v>0</v>
      </c>
      <c r="J18" s="15" t="n">
        <f aca="false">+E18*F18</f>
        <v>0</v>
      </c>
      <c r="K18" s="96" t="n">
        <f aca="false">G18*D18/1000000</f>
        <v>0</v>
      </c>
      <c r="L18" s="16" t="n">
        <f aca="false">+((D18*H18)/1000000)*F18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/>
      <c r="H19" s="15" t="n">
        <f aca="false">+E19-G19</f>
        <v>0</v>
      </c>
      <c r="I19" s="15" t="n">
        <f aca="false">+D19*F19</f>
        <v>0</v>
      </c>
      <c r="J19" s="15" t="n">
        <f aca="false">+E19*F19</f>
        <v>0</v>
      </c>
      <c r="K19" s="96" t="n">
        <f aca="false">G19*D19/1000000</f>
        <v>0</v>
      </c>
      <c r="L19" s="16" t="n">
        <f aca="false">+((D19*H19)/1000000)*F19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/>
      <c r="H20" s="15" t="n">
        <f aca="false">+E20-G20</f>
        <v>0</v>
      </c>
      <c r="I20" s="15" t="n">
        <f aca="false">+D20*F20</f>
        <v>0</v>
      </c>
      <c r="J20" s="15" t="n">
        <f aca="false">+E20*F20</f>
        <v>0</v>
      </c>
      <c r="K20" s="96" t="n">
        <f aca="false">G20*D20/1000000</f>
        <v>0</v>
      </c>
      <c r="L20" s="16" t="n">
        <f aca="false">+((D20*H20)/1000000)*F20</f>
        <v>0</v>
      </c>
      <c r="M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/>
      <c r="H21" s="15" t="n">
        <f aca="false">+E21-G21</f>
        <v>0</v>
      </c>
      <c r="I21" s="15" t="n">
        <f aca="false">+D21*F21</f>
        <v>0</v>
      </c>
      <c r="J21" s="15" t="n">
        <f aca="false">+E21*F21</f>
        <v>0</v>
      </c>
      <c r="K21" s="96" t="n">
        <f aca="false">G21*D21/1000000</f>
        <v>0</v>
      </c>
      <c r="L21" s="16" t="n">
        <f aca="false">+((D21*H21)/1000000)*F21</f>
        <v>0</v>
      </c>
      <c r="M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/>
      <c r="H22" s="15" t="n">
        <f aca="false">+E22-G22</f>
        <v>0</v>
      </c>
      <c r="I22" s="15" t="n">
        <f aca="false">+D22*F22</f>
        <v>0</v>
      </c>
      <c r="J22" s="15" t="n">
        <f aca="false">+E22*F22</f>
        <v>0</v>
      </c>
      <c r="K22" s="96" t="n">
        <f aca="false">G22*D22/1000000</f>
        <v>0</v>
      </c>
      <c r="L22" s="16" t="n">
        <f aca="false">+((D22*H22)/1000000)*F22</f>
        <v>0</v>
      </c>
      <c r="M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/>
      <c r="H23" s="15" t="n">
        <f aca="false">+E23-G23</f>
        <v>0</v>
      </c>
      <c r="I23" s="15" t="n">
        <f aca="false">+D23*F23</f>
        <v>0</v>
      </c>
      <c r="J23" s="15" t="n">
        <f aca="false">+E23*F23</f>
        <v>0</v>
      </c>
      <c r="K23" s="96" t="n">
        <f aca="false">G23*D23/1000000</f>
        <v>0</v>
      </c>
      <c r="L23" s="16" t="n">
        <f aca="false">+((D23*H23)/1000000)*F23</f>
        <v>0</v>
      </c>
      <c r="M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/>
      <c r="H24" s="15" t="n">
        <f aca="false">+E24-G24</f>
        <v>0</v>
      </c>
      <c r="I24" s="15" t="n">
        <f aca="false">+D24*F24</f>
        <v>0</v>
      </c>
      <c r="J24" s="15" t="n">
        <f aca="false">+E24*F24</f>
        <v>0</v>
      </c>
      <c r="K24" s="96" t="n">
        <f aca="false">G24*D24/1000000</f>
        <v>0</v>
      </c>
      <c r="L24" s="16" t="n">
        <f aca="false">+((D24*H24)/1000000)*F24</f>
        <v>0</v>
      </c>
      <c r="M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/>
      <c r="H25" s="15" t="n">
        <f aca="false">+E25-G25</f>
        <v>0</v>
      </c>
      <c r="I25" s="15" t="n">
        <f aca="false">+D25*F25</f>
        <v>0</v>
      </c>
      <c r="J25" s="15" t="n">
        <f aca="false">+E25*F25</f>
        <v>0</v>
      </c>
      <c r="K25" s="96" t="n">
        <f aca="false">G25*D25/1000000</f>
        <v>0</v>
      </c>
      <c r="L25" s="16" t="n">
        <f aca="false">+((D25*H25)/1000000)*F25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/>
      <c r="H26" s="15" t="n">
        <f aca="false">+E26-G26</f>
        <v>0</v>
      </c>
      <c r="I26" s="15" t="n">
        <f aca="false">+D26*F26</f>
        <v>0</v>
      </c>
      <c r="J26" s="15" t="n">
        <f aca="false">+E26*F26</f>
        <v>0</v>
      </c>
      <c r="K26" s="96" t="n">
        <f aca="false">G26*D26/1000000</f>
        <v>0</v>
      </c>
      <c r="L26" s="16" t="n">
        <f aca="false">+((D26*H26)/1000000)*F26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 t="n">
        <f aca="false">+E27-G27</f>
        <v>0</v>
      </c>
      <c r="I27" s="15" t="n">
        <f aca="false">+D27*F27</f>
        <v>0</v>
      </c>
      <c r="J27" s="15" t="n">
        <f aca="false">+E27*F27</f>
        <v>0</v>
      </c>
      <c r="K27" s="96" t="n">
        <f aca="false">G27*D27/1000000</f>
        <v>0</v>
      </c>
      <c r="L27" s="16" t="n">
        <f aca="false">+((D27*H27)/1000000)*F27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 t="n">
        <f aca="false">+E28-G28</f>
        <v>0</v>
      </c>
      <c r="I28" s="15" t="n">
        <f aca="false">+D28*F28</f>
        <v>0</v>
      </c>
      <c r="J28" s="15" t="n">
        <f aca="false">+E28*F28</f>
        <v>0</v>
      </c>
      <c r="K28" s="96" t="n">
        <f aca="false">G28*D28/1000000</f>
        <v>0</v>
      </c>
      <c r="L28" s="16" t="n">
        <f aca="false">+((D28*H28)/1000000)*F28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 t="n">
        <f aca="false">+E29-G29</f>
        <v>0</v>
      </c>
      <c r="I29" s="15" t="n">
        <f aca="false">+D29*F29</f>
        <v>0</v>
      </c>
      <c r="J29" s="15" t="n">
        <f aca="false">+E29*F29</f>
        <v>0</v>
      </c>
      <c r="K29" s="96" t="n">
        <f aca="false">G29*D29/1000000</f>
        <v>0</v>
      </c>
      <c r="L29" s="16" t="n">
        <f aca="false">+((D29*H29)/1000000)*F29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 t="n">
        <f aca="false">+E30-G30</f>
        <v>0</v>
      </c>
      <c r="I30" s="15"/>
      <c r="J30" s="15"/>
      <c r="K30" s="96" t="n">
        <f aca="false">G30*D30/1000000</f>
        <v>0</v>
      </c>
      <c r="L30" s="16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 t="n">
        <f aca="false">+E31-G31</f>
        <v>0</v>
      </c>
      <c r="I31" s="15" t="n">
        <f aca="false">+D31*F31</f>
        <v>0</v>
      </c>
      <c r="J31" s="15" t="n">
        <f aca="false">+E31*F31</f>
        <v>0</v>
      </c>
      <c r="K31" s="96" t="n">
        <f aca="false">G31*D31/1000000</f>
        <v>0</v>
      </c>
      <c r="L31" s="16" t="n">
        <f aca="false">+((D31*H31)/1000000)*F31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2930</v>
      </c>
      <c r="E32" s="32" t="n">
        <f aca="false">SUM(E5:E31)</f>
        <v>7510</v>
      </c>
      <c r="F32" s="32" t="n">
        <f aca="false">SUM(F5:F31)</f>
        <v>3</v>
      </c>
      <c r="G32" s="33" t="n">
        <f aca="false">SUM(G5:G31)</f>
        <v>900</v>
      </c>
      <c r="H32" s="32" t="n">
        <f aca="false">SUM(H5:H31)</f>
        <v>6610</v>
      </c>
      <c r="I32" s="32" t="n">
        <f aca="false">SUM(I5:I31)</f>
        <v>2930</v>
      </c>
      <c r="J32" s="32" t="n">
        <f aca="false">SUM(J5:J31)</f>
        <v>7510</v>
      </c>
      <c r="K32" s="35" t="n">
        <f aca="false">SUM(K5:K31)</f>
        <v>0.879</v>
      </c>
      <c r="L32" s="35" t="n">
        <f aca="false">SUM(L5:L31)</f>
        <v>6.4643</v>
      </c>
      <c r="M32" s="36" t="n">
        <f aca="false">SUM(M5:M31)</f>
        <v>7.3433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314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6001</v>
      </c>
      <c r="D36" s="13" t="s">
        <v>351</v>
      </c>
      <c r="E36" s="15" t="n">
        <f aca="false">+I32*1+J32*2</f>
        <v>17950</v>
      </c>
      <c r="F36" s="15" t="n">
        <f aca="false">E36+(E36*10%)</f>
        <v>19745</v>
      </c>
      <c r="G36" s="43" t="n">
        <f aca="false">F36/6400</f>
        <v>3.08515625</v>
      </c>
      <c r="H36" s="43" t="n">
        <f aca="false">ROUNDUP(G36,0)</f>
        <v>4</v>
      </c>
      <c r="I36" s="44" t="n">
        <v>11</v>
      </c>
      <c r="J36" s="44" t="n">
        <f aca="false">+I36*H36</f>
        <v>44</v>
      </c>
      <c r="K36" s="22"/>
      <c r="L36" s="22"/>
      <c r="M36" s="22"/>
      <c r="N36" s="22"/>
    </row>
    <row r="37" customFormat="false" ht="29.85" hidden="false" customHeight="false" outlineLevel="0" collapsed="false">
      <c r="B37" s="46" t="n">
        <v>2</v>
      </c>
      <c r="C37" s="46" t="n">
        <v>6005</v>
      </c>
      <c r="D37" s="47" t="s">
        <v>352</v>
      </c>
      <c r="E37" s="48" t="n">
        <f aca="false">+I32*1+H32*2</f>
        <v>16150</v>
      </c>
      <c r="F37" s="48" t="n">
        <f aca="false">E37+(E37*10%)</f>
        <v>17765</v>
      </c>
      <c r="G37" s="49" t="n">
        <f aca="false">F37/6400</f>
        <v>2.77578125</v>
      </c>
      <c r="H37" s="49" t="n">
        <f aca="false">ROUNDUP(G37,0)</f>
        <v>3</v>
      </c>
      <c r="I37" s="50" t="n">
        <v>5.8</v>
      </c>
      <c r="J37" s="50" t="n">
        <f aca="false">+I37*H37</f>
        <v>17.4</v>
      </c>
      <c r="K37" s="22"/>
      <c r="L37" s="22"/>
      <c r="M37" s="22"/>
      <c r="N37" s="22"/>
    </row>
    <row r="38" customFormat="false" ht="17.35" hidden="false" customHeight="false" outlineLevel="0" collapsed="false">
      <c r="B38" s="13" t="n">
        <v>3</v>
      </c>
      <c r="C38" s="13" t="n">
        <v>6023</v>
      </c>
      <c r="D38" s="13" t="s">
        <v>318</v>
      </c>
      <c r="E38" s="15" t="n">
        <f aca="false">+I32*1</f>
        <v>2930</v>
      </c>
      <c r="F38" s="15" t="n">
        <f aca="false">E38+(E38*10%)</f>
        <v>3223</v>
      </c>
      <c r="G38" s="43" t="n">
        <f aca="false">F38/6400</f>
        <v>0.50359375</v>
      </c>
      <c r="H38" s="43" t="n">
        <f aca="false">ROUNDUP(G38,0)</f>
        <v>1</v>
      </c>
      <c r="I38" s="44" t="n">
        <v>9.1</v>
      </c>
      <c r="J38" s="44" t="n">
        <f aca="false">+I38*H38</f>
        <v>9.1</v>
      </c>
      <c r="K38" s="22"/>
      <c r="L38" s="22"/>
      <c r="M38" s="22"/>
      <c r="N38" s="22"/>
    </row>
    <row r="39" customFormat="false" ht="17.35" hidden="false" customHeight="false" outlineLevel="0" collapsed="false">
      <c r="B39" s="46" t="n">
        <v>4</v>
      </c>
      <c r="C39" s="13" t="n">
        <v>6021</v>
      </c>
      <c r="D39" s="13" t="s">
        <v>319</v>
      </c>
      <c r="E39" s="15" t="n">
        <f aca="false">+I32*1</f>
        <v>2930</v>
      </c>
      <c r="F39" s="15" t="n">
        <f aca="false">E39+(E39*10%)</f>
        <v>3223</v>
      </c>
      <c r="G39" s="43" t="n">
        <f aca="false">F39/6400</f>
        <v>0.50359375</v>
      </c>
      <c r="H39" s="43" t="n">
        <f aca="false">ROUNDUP(G39,0)</f>
        <v>1</v>
      </c>
      <c r="I39" s="44" t="n">
        <v>7.3</v>
      </c>
      <c r="J39" s="44" t="n">
        <f aca="false">+I39*H39</f>
        <v>7.3</v>
      </c>
      <c r="K39" s="22"/>
      <c r="L39" s="22"/>
      <c r="M39" s="22"/>
      <c r="N39" s="22"/>
    </row>
    <row r="40" customFormat="false" ht="17.35" hidden="false" customHeight="false" outlineLevel="0" collapsed="false">
      <c r="B40" s="13" t="n">
        <v>5</v>
      </c>
      <c r="C40" s="13" t="n">
        <v>6003</v>
      </c>
      <c r="D40" s="13" t="s">
        <v>320</v>
      </c>
      <c r="E40" s="15" t="n">
        <f aca="false">+I32*4+H32*2</f>
        <v>24940</v>
      </c>
      <c r="F40" s="15" t="n">
        <f aca="false">E40+(E40*10%)</f>
        <v>27434</v>
      </c>
      <c r="G40" s="43" t="n">
        <f aca="false">F40/6400</f>
        <v>4.2865625</v>
      </c>
      <c r="H40" s="43" t="n">
        <f aca="false">ROUNDUP(G40,0)</f>
        <v>5</v>
      </c>
      <c r="I40" s="44" t="n">
        <v>1.4</v>
      </c>
      <c r="J40" s="44" t="n">
        <f aca="false">+I40*H40</f>
        <v>7</v>
      </c>
      <c r="K40" s="22"/>
      <c r="L40" s="22"/>
      <c r="M40" s="22"/>
      <c r="N40" s="22"/>
    </row>
    <row r="41" customFormat="false" ht="17.35" hidden="false" customHeight="false" outlineLevel="0" collapsed="false">
      <c r="B41" s="13"/>
      <c r="C41" s="13" t="n">
        <v>6509</v>
      </c>
      <c r="D41" s="13" t="s">
        <v>353</v>
      </c>
      <c r="E41" s="15" t="n">
        <f aca="false">+(I32/123)*(H32/2)</f>
        <v>78728.8617886179</v>
      </c>
      <c r="F41" s="15" t="n">
        <f aca="false">E41+(E41*10%)</f>
        <v>86601.7479674797</v>
      </c>
      <c r="G41" s="43" t="n">
        <f aca="false">F41/6400</f>
        <v>13.5315231199187</v>
      </c>
      <c r="H41" s="43" t="n">
        <f aca="false">ROUNDUP(G41,0)</f>
        <v>14</v>
      </c>
      <c r="I41" s="44" t="n">
        <v>0</v>
      </c>
      <c r="J41" s="44" t="n">
        <f aca="false">+I41*H41</f>
        <v>0</v>
      </c>
      <c r="K41" s="22"/>
      <c r="L41" s="22"/>
      <c r="M41" s="22"/>
      <c r="N41" s="22"/>
    </row>
    <row r="42" customFormat="false" ht="17.35" hidden="false" customHeight="false" outlineLevel="0" collapsed="false">
      <c r="B42" s="46" t="n">
        <v>6</v>
      </c>
      <c r="C42" s="13" t="n">
        <v>1338</v>
      </c>
      <c r="D42" s="13" t="s">
        <v>34</v>
      </c>
      <c r="E42" s="15" t="n">
        <f aca="false">(60*2)+(25*4)</f>
        <v>220</v>
      </c>
      <c r="F42" s="15" t="n">
        <f aca="false">E42+(E42*10%)</f>
        <v>242</v>
      </c>
      <c r="G42" s="43" t="n">
        <f aca="false">F42/6400</f>
        <v>0.0378125</v>
      </c>
      <c r="H42" s="43" t="n">
        <f aca="false">ROUNDUP(G42,0)</f>
        <v>1</v>
      </c>
      <c r="I42" s="44" t="n">
        <v>3.3</v>
      </c>
      <c r="J42" s="44" t="n">
        <f aca="false">+H42*I42</f>
        <v>3.3</v>
      </c>
      <c r="K42" s="22"/>
      <c r="L42" s="22"/>
      <c r="M42" s="22"/>
      <c r="N42" s="22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23"/>
      <c r="I43" s="51" t="s">
        <v>19</v>
      </c>
      <c r="J43" s="52" t="n">
        <f aca="false">SUM(J36:J42)</f>
        <v>88.1</v>
      </c>
      <c r="K43" s="22"/>
      <c r="L43" s="3"/>
      <c r="M43" s="25"/>
      <c r="N43" s="25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6"/>
    </row>
    <row r="46" customFormat="false" ht="17.35" hidden="false" customHeight="false" outlineLevel="0" collapsed="false">
      <c r="B46" s="47" t="n">
        <v>1</v>
      </c>
      <c r="C46" s="47" t="n">
        <v>6015</v>
      </c>
      <c r="D46" s="47" t="s">
        <v>246</v>
      </c>
      <c r="E46" s="150" t="n">
        <f aca="false">+I32*1</f>
        <v>2930</v>
      </c>
      <c r="F46" s="150" t="n">
        <f aca="false">E46+(E46*10%)</f>
        <v>3223</v>
      </c>
      <c r="G46" s="151" t="n">
        <f aca="false">F46/6400</f>
        <v>0.50359375</v>
      </c>
      <c r="H46" s="151" t="n">
        <f aca="false">ROUNDUP(G46,0)</f>
        <v>1</v>
      </c>
      <c r="I46" s="152" t="n">
        <v>7.6</v>
      </c>
      <c r="J46" s="152" t="n">
        <f aca="false">+H46*I46</f>
        <v>7.6</v>
      </c>
      <c r="K46" s="47"/>
      <c r="L46" s="47"/>
      <c r="M46" s="47"/>
      <c r="N46" s="4"/>
    </row>
    <row r="47" customFormat="false" ht="17.35" hidden="false" customHeight="false" outlineLevel="0" collapsed="false">
      <c r="B47" s="13" t="n">
        <v>2</v>
      </c>
      <c r="C47" s="13" t="n">
        <v>1544</v>
      </c>
      <c r="D47" s="13" t="s">
        <v>43</v>
      </c>
      <c r="E47" s="15" t="n">
        <f aca="false">+(300*2)*F32</f>
        <v>1800</v>
      </c>
      <c r="F47" s="15" t="n">
        <f aca="false">E47+(E47*10%)</f>
        <v>1980</v>
      </c>
      <c r="G47" s="43" t="n">
        <f aca="false">F47/6400</f>
        <v>0.309375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4"/>
    </row>
    <row r="48" customFormat="false" ht="17.35" hidden="false" customHeight="false" outlineLevel="0" collapsed="false">
      <c r="B48" s="13" t="n">
        <v>3</v>
      </c>
      <c r="C48" s="13" t="n">
        <v>6515</v>
      </c>
      <c r="D48" s="13" t="s">
        <v>45</v>
      </c>
      <c r="E48" s="15" t="n">
        <f aca="false">+I32*5</f>
        <v>14650</v>
      </c>
      <c r="F48" s="15" t="n">
        <f aca="false">E48+(E48*10%)</f>
        <v>16115</v>
      </c>
      <c r="G48" s="43" t="n">
        <f aca="false">F48/6400</f>
        <v>2.51796875</v>
      </c>
      <c r="H48" s="43" t="n">
        <f aca="false">ROUNDUP(G48,0)</f>
        <v>3</v>
      </c>
      <c r="I48" s="44" t="n">
        <v>1.9</v>
      </c>
      <c r="J48" s="44" t="n">
        <f aca="false">+H48*I48</f>
        <v>5.7</v>
      </c>
      <c r="K48" s="13"/>
      <c r="L48" s="13"/>
      <c r="M48" s="13"/>
      <c r="N48" s="4"/>
    </row>
    <row r="49" customFormat="false" ht="17.35" hidden="false" customHeight="false" outlineLevel="0" collapsed="false">
      <c r="B49" s="3"/>
      <c r="C49" s="3"/>
      <c r="D49" s="3"/>
      <c r="E49" s="3"/>
      <c r="F49" s="3"/>
      <c r="G49" s="3"/>
      <c r="H49" s="11"/>
      <c r="I49" s="57" t="s">
        <v>19</v>
      </c>
      <c r="J49" s="35" t="n">
        <f aca="false">SUM(J46:J48)</f>
        <v>14.9</v>
      </c>
      <c r="K49" s="3"/>
      <c r="L49" s="3"/>
      <c r="M49" s="3"/>
      <c r="N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49</v>
      </c>
      <c r="J50" s="35" t="n">
        <f aca="false">+J43+J49</f>
        <v>103</v>
      </c>
      <c r="K50" s="3"/>
      <c r="L50" s="3"/>
      <c r="M50" s="3"/>
      <c r="N50" s="3"/>
    </row>
    <row r="51" customFormat="false" ht="17.35" hidden="false" customHeight="false" outlineLevel="0" collapsed="false">
      <c r="B51" s="42" t="s">
        <v>322</v>
      </c>
      <c r="C51" s="42"/>
      <c r="D51" s="42"/>
      <c r="E51" s="42"/>
      <c r="F51" s="42"/>
      <c r="G51" s="42"/>
      <c r="H51" s="42"/>
      <c r="I51" s="3"/>
      <c r="J51" s="3"/>
      <c r="K51" s="3"/>
      <c r="L51" s="3"/>
      <c r="M51" s="3"/>
      <c r="N51" s="3"/>
    </row>
    <row r="52" customFormat="false" ht="17.35" hidden="false" customHeight="false" outlineLevel="0" collapsed="false">
      <c r="B52" s="9" t="s">
        <v>5</v>
      </c>
      <c r="C52" s="9" t="s">
        <v>22</v>
      </c>
      <c r="D52" s="9" t="s">
        <v>51</v>
      </c>
      <c r="E52" s="9" t="s">
        <v>323</v>
      </c>
      <c r="F52" s="9" t="s">
        <v>53</v>
      </c>
      <c r="G52" s="9" t="s">
        <v>54</v>
      </c>
      <c r="H52" s="9" t="s">
        <v>55</v>
      </c>
      <c r="I52" s="3"/>
      <c r="J52" s="3"/>
      <c r="K52" s="3"/>
      <c r="L52" s="3"/>
      <c r="M52" s="3"/>
      <c r="N52" s="3"/>
    </row>
    <row r="53" customFormat="false" ht="17.35" hidden="false" customHeight="false" outlineLevel="0" collapsed="false">
      <c r="B53" s="46" t="n">
        <v>1</v>
      </c>
      <c r="C53" s="13" t="s">
        <v>324</v>
      </c>
      <c r="D53" s="58" t="s">
        <v>325</v>
      </c>
      <c r="E53" s="13" t="n">
        <v>1</v>
      </c>
      <c r="F53" s="20" t="n">
        <f aca="false">+E53*F32</f>
        <v>3</v>
      </c>
      <c r="G53" s="15" t="n">
        <v>40000</v>
      </c>
      <c r="H53" s="15" t="n">
        <f aca="false">+F53*G53</f>
        <v>120000</v>
      </c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46" t="n">
        <v>2</v>
      </c>
      <c r="C54" s="13" t="s">
        <v>326</v>
      </c>
      <c r="D54" s="58" t="s">
        <v>226</v>
      </c>
      <c r="E54" s="13" t="n">
        <v>1</v>
      </c>
      <c r="F54" s="20" t="n">
        <f aca="false">+E54*F32</f>
        <v>3</v>
      </c>
      <c r="G54" s="15" t="n">
        <v>35000</v>
      </c>
      <c r="H54" s="15" t="n">
        <f aca="false">+F54*G54</f>
        <v>105000</v>
      </c>
      <c r="I54" s="3"/>
      <c r="J54" s="3"/>
      <c r="K54" s="3"/>
      <c r="L54" s="3"/>
      <c r="M54" s="3"/>
      <c r="N54" s="3"/>
    </row>
    <row r="55" customFormat="false" ht="17.35" hidden="false" customHeight="false" outlineLevel="0" collapsed="false">
      <c r="B55" s="46" t="n">
        <v>3</v>
      </c>
      <c r="C55" s="142" t="s">
        <v>354</v>
      </c>
      <c r="D55" s="58" t="s">
        <v>325</v>
      </c>
      <c r="E55" s="46" t="n">
        <v>3</v>
      </c>
      <c r="F55" s="143" t="n">
        <f aca="false">+E55*F32</f>
        <v>9</v>
      </c>
      <c r="G55" s="48" t="n">
        <v>10000</v>
      </c>
      <c r="H55" s="48" t="n">
        <f aca="false">+F55*G55</f>
        <v>90000</v>
      </c>
      <c r="I55" s="3"/>
      <c r="J55" s="3"/>
      <c r="K55" s="3"/>
      <c r="L55" s="3"/>
      <c r="M55" s="3"/>
      <c r="N55" s="3"/>
    </row>
    <row r="56" customFormat="false" ht="29.85" hidden="false" customHeight="false" outlineLevel="0" collapsed="false">
      <c r="B56" s="46" t="n">
        <v>4</v>
      </c>
      <c r="C56" s="142" t="s">
        <v>355</v>
      </c>
      <c r="D56" s="58" t="s">
        <v>277</v>
      </c>
      <c r="E56" s="16" t="n">
        <f aca="false">+((I32*2)+(J32*2)+(H32*2))/1000</f>
        <v>34.1</v>
      </c>
      <c r="F56" s="16" t="n">
        <f aca="false">+E56*F32</f>
        <v>102.3</v>
      </c>
      <c r="G56" s="15" t="n">
        <v>850</v>
      </c>
      <c r="H56" s="15" t="n">
        <f aca="false">+F56*G56</f>
        <v>86955</v>
      </c>
      <c r="I56" s="3"/>
      <c r="J56" s="3"/>
      <c r="K56" s="3"/>
      <c r="L56" s="3"/>
      <c r="M56" s="3"/>
      <c r="N56" s="3"/>
    </row>
    <row r="57" customFormat="false" ht="29.85" hidden="false" customHeight="false" outlineLevel="0" collapsed="false">
      <c r="B57" s="46" t="n">
        <v>5</v>
      </c>
      <c r="C57" s="47" t="s">
        <v>328</v>
      </c>
      <c r="D57" s="58" t="s">
        <v>14</v>
      </c>
      <c r="E57" s="48"/>
      <c r="F57" s="143"/>
      <c r="G57" s="48" t="n">
        <f aca="false">85000/2.97</f>
        <v>28619.5286195286</v>
      </c>
      <c r="H57" s="48"/>
      <c r="I57" s="3"/>
      <c r="J57" s="3"/>
      <c r="K57" s="3"/>
      <c r="L57" s="3"/>
      <c r="M57" s="3"/>
      <c r="N57" s="3"/>
    </row>
    <row r="58" customFormat="false" ht="29.85" hidden="false" customHeight="false" outlineLevel="0" collapsed="false">
      <c r="B58" s="46" t="n">
        <v>6</v>
      </c>
      <c r="C58" s="142" t="s">
        <v>289</v>
      </c>
      <c r="D58" s="58" t="s">
        <v>57</v>
      </c>
      <c r="E58" s="46" t="n">
        <v>6</v>
      </c>
      <c r="F58" s="143" t="n">
        <f aca="false">+E58*F32</f>
        <v>18</v>
      </c>
      <c r="G58" s="48" t="n">
        <v>50</v>
      </c>
      <c r="H58" s="48" t="n">
        <f aca="false">+F58*G58</f>
        <v>900</v>
      </c>
      <c r="I58" s="3"/>
      <c r="J58" s="3" t="s">
        <v>252</v>
      </c>
      <c r="K58" s="3" t="s">
        <v>253</v>
      </c>
      <c r="L58" s="67" t="n">
        <v>25000</v>
      </c>
      <c r="M58" s="3"/>
      <c r="N58" s="3"/>
    </row>
    <row r="59" customFormat="false" ht="44" hidden="false" customHeight="false" outlineLevel="0" collapsed="false">
      <c r="B59" s="46" t="n">
        <v>7</v>
      </c>
      <c r="C59" s="142" t="s">
        <v>356</v>
      </c>
      <c r="D59" s="58" t="s">
        <v>57</v>
      </c>
      <c r="E59" s="46" t="n">
        <v>16</v>
      </c>
      <c r="F59" s="143" t="n">
        <f aca="false">+E59*F32</f>
        <v>48</v>
      </c>
      <c r="G59" s="48" t="n">
        <v>50</v>
      </c>
      <c r="H59" s="48" t="n">
        <f aca="false">+F59*G59</f>
        <v>2400</v>
      </c>
      <c r="I59" s="3"/>
      <c r="J59" s="3" t="s">
        <v>255</v>
      </c>
      <c r="K59" s="3" t="s">
        <v>256</v>
      </c>
      <c r="L59" s="67" t="n">
        <v>4000</v>
      </c>
      <c r="M59" s="3" t="s">
        <v>257</v>
      </c>
      <c r="N59" s="3"/>
    </row>
    <row r="60" customFormat="false" ht="29.85" hidden="false" customHeight="false" outlineLevel="0" collapsed="false">
      <c r="B60" s="46" t="n">
        <v>8</v>
      </c>
      <c r="C60" s="142" t="s">
        <v>357</v>
      </c>
      <c r="D60" s="58" t="s">
        <v>57</v>
      </c>
      <c r="E60" s="143" t="n">
        <v>12</v>
      </c>
      <c r="F60" s="143" t="n">
        <f aca="false">+E60*F32</f>
        <v>36</v>
      </c>
      <c r="G60" s="48" t="n">
        <v>50</v>
      </c>
      <c r="H60" s="48" t="n">
        <f aca="false">+F60*G60</f>
        <v>1800</v>
      </c>
      <c r="I60" s="3"/>
      <c r="J60" s="3" t="s">
        <v>259</v>
      </c>
      <c r="K60" s="3" t="s">
        <v>260</v>
      </c>
      <c r="L60" s="67" t="n">
        <v>110000</v>
      </c>
      <c r="M60" s="3"/>
      <c r="N60" s="3"/>
    </row>
    <row r="61" customFormat="false" ht="29.85" hidden="false" customHeight="false" outlineLevel="0" collapsed="false">
      <c r="B61" s="46" t="n">
        <v>9</v>
      </c>
      <c r="C61" s="59" t="s">
        <v>261</v>
      </c>
      <c r="D61" s="58" t="s">
        <v>62</v>
      </c>
      <c r="E61" s="153" t="n">
        <f aca="false">+(I32*2+H32*2)/1000</f>
        <v>19.08</v>
      </c>
      <c r="F61" s="60" t="n">
        <f aca="false">+E61</f>
        <v>19.08</v>
      </c>
      <c r="G61" s="61" t="n">
        <v>1000</v>
      </c>
      <c r="H61" s="48" t="n">
        <f aca="false">+F61*G61</f>
        <v>19080</v>
      </c>
      <c r="I61" s="3"/>
      <c r="J61" s="3" t="s">
        <v>262</v>
      </c>
      <c r="K61" s="3" t="s">
        <v>256</v>
      </c>
      <c r="L61" s="67" t="n">
        <v>55000</v>
      </c>
      <c r="M61" s="3" t="s">
        <v>263</v>
      </c>
      <c r="N61" s="3"/>
    </row>
    <row r="62" customFormat="false" ht="17.35" hidden="false" customHeight="false" outlineLevel="0" collapsed="false">
      <c r="B62" s="46" t="n">
        <v>10</v>
      </c>
      <c r="C62" s="13" t="s">
        <v>84</v>
      </c>
      <c r="D62" s="58" t="s">
        <v>57</v>
      </c>
      <c r="E62" s="13" t="n">
        <v>6</v>
      </c>
      <c r="F62" s="20" t="n">
        <f aca="false">+E62*F32</f>
        <v>18</v>
      </c>
      <c r="G62" s="15" t="n">
        <v>40</v>
      </c>
      <c r="H62" s="15" t="n">
        <f aca="false">+F62*G62</f>
        <v>720</v>
      </c>
      <c r="I62" s="3"/>
      <c r="J62" s="3" t="s">
        <v>67</v>
      </c>
      <c r="K62" s="3" t="s">
        <v>256</v>
      </c>
      <c r="L62" s="67" t="n">
        <v>4000</v>
      </c>
      <c r="M62" s="3" t="s">
        <v>264</v>
      </c>
      <c r="N62" s="3"/>
    </row>
    <row r="63" customFormat="false" ht="29.85" hidden="false" customHeight="false" outlineLevel="0" collapsed="false">
      <c r="B63" s="46" t="n">
        <v>11</v>
      </c>
      <c r="C63" s="142" t="s">
        <v>265</v>
      </c>
      <c r="D63" s="58" t="s">
        <v>57</v>
      </c>
      <c r="E63" s="13" t="n">
        <v>2</v>
      </c>
      <c r="F63" s="20" t="n">
        <f aca="false">+E63*F32</f>
        <v>6</v>
      </c>
      <c r="G63" s="15" t="n">
        <v>16000</v>
      </c>
      <c r="H63" s="15" t="n">
        <f aca="false">+F63*G63</f>
        <v>96000</v>
      </c>
      <c r="I63" s="3"/>
      <c r="J63" s="3" t="s">
        <v>47</v>
      </c>
      <c r="K63" s="3" t="s">
        <v>266</v>
      </c>
      <c r="L63" s="67" t="n">
        <v>110000</v>
      </c>
      <c r="M63" s="3" t="s">
        <v>267</v>
      </c>
      <c r="N63" s="3"/>
    </row>
    <row r="64" customFormat="false" ht="29.85" hidden="false" customHeight="false" outlineLevel="0" collapsed="false">
      <c r="B64" s="46" t="n">
        <v>12</v>
      </c>
      <c r="C64" s="46" t="s">
        <v>268</v>
      </c>
      <c r="D64" s="58" t="s">
        <v>14</v>
      </c>
      <c r="E64" s="47" t="s">
        <v>332</v>
      </c>
      <c r="F64" s="62" t="n">
        <f aca="false">+L32</f>
        <v>6.4643</v>
      </c>
      <c r="G64" s="48" t="n">
        <v>55000</v>
      </c>
      <c r="H64" s="48" t="n">
        <f aca="false">+F64*G64</f>
        <v>355536.5</v>
      </c>
      <c r="I64" s="3"/>
      <c r="J64" s="3" t="s">
        <v>47</v>
      </c>
      <c r="K64" s="3" t="s">
        <v>270</v>
      </c>
      <c r="L64" s="67" t="n">
        <v>150000</v>
      </c>
      <c r="M64" s="3" t="s">
        <v>267</v>
      </c>
      <c r="N64" s="3"/>
    </row>
    <row r="65" customFormat="false" ht="29.85" hidden="false" customHeight="false" outlineLevel="0" collapsed="false">
      <c r="B65" s="3"/>
      <c r="C65" s="3"/>
      <c r="D65" s="3"/>
      <c r="E65" s="3"/>
      <c r="F65" s="3"/>
      <c r="G65" s="64" t="s">
        <v>19</v>
      </c>
      <c r="H65" s="65" t="n">
        <f aca="false">SUM(H56:H64)</f>
        <v>563391.5</v>
      </c>
      <c r="I65" s="3"/>
      <c r="J65" s="146" t="s">
        <v>292</v>
      </c>
      <c r="K65" s="3"/>
      <c r="L65" s="67" t="n">
        <v>150000</v>
      </c>
      <c r="M65" s="3"/>
      <c r="N65" s="3"/>
    </row>
    <row r="66" customFormat="false" ht="17.35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 t="s">
        <v>294</v>
      </c>
      <c r="K66" s="3" t="s">
        <v>295</v>
      </c>
      <c r="L66" s="3" t="n">
        <v>55000</v>
      </c>
      <c r="M66" s="3" t="s">
        <v>263</v>
      </c>
      <c r="N66" s="3"/>
    </row>
    <row r="67" customFormat="false" ht="17.35" hidden="false" customHeight="false" outlineLevel="0" collapsed="false">
      <c r="B67" s="42" t="s">
        <v>271</v>
      </c>
      <c r="C67" s="42"/>
      <c r="D67" s="42"/>
      <c r="E67" s="42"/>
      <c r="F67" s="42"/>
      <c r="G67" s="42"/>
      <c r="H67" s="42"/>
      <c r="I67" s="3"/>
      <c r="J67" s="3" t="s">
        <v>333</v>
      </c>
      <c r="K67" s="3" t="s">
        <v>334</v>
      </c>
      <c r="L67" s="3" t="n">
        <v>85000</v>
      </c>
      <c r="M67" s="3"/>
      <c r="N67" s="3"/>
    </row>
    <row r="68" customFormat="false" ht="17.35" hidden="false" customHeight="false" outlineLevel="0" collapsed="false">
      <c r="B68" s="9" t="s">
        <v>5</v>
      </c>
      <c r="C68" s="9" t="s">
        <v>22</v>
      </c>
      <c r="D68" s="9" t="s">
        <v>51</v>
      </c>
      <c r="E68" s="9" t="s">
        <v>74</v>
      </c>
      <c r="F68" s="9" t="s">
        <v>272</v>
      </c>
      <c r="G68" s="9" t="s">
        <v>54</v>
      </c>
      <c r="H68" s="9" t="s">
        <v>55</v>
      </c>
      <c r="I68" s="3"/>
      <c r="J68" s="3"/>
      <c r="K68" s="3"/>
      <c r="L68" s="3"/>
      <c r="M68" s="3"/>
      <c r="N68" s="3"/>
    </row>
    <row r="69" customFormat="false" ht="29.85" hidden="false" customHeight="false" outlineLevel="0" collapsed="false">
      <c r="B69" s="46" t="n">
        <v>1</v>
      </c>
      <c r="C69" s="47" t="s">
        <v>273</v>
      </c>
      <c r="D69" s="58" t="s">
        <v>57</v>
      </c>
      <c r="E69" s="46" t="n">
        <v>20</v>
      </c>
      <c r="F69" s="143" t="n">
        <f aca="false">+E69*F32</f>
        <v>60</v>
      </c>
      <c r="G69" s="48" t="n">
        <v>50</v>
      </c>
      <c r="H69" s="48" t="n">
        <f aca="false">+F69*G69</f>
        <v>3000</v>
      </c>
      <c r="I69" s="3"/>
      <c r="J69" s="3"/>
      <c r="K69" s="3"/>
      <c r="L69" s="3"/>
      <c r="M69" s="3"/>
      <c r="N69" s="3"/>
    </row>
    <row r="70" customFormat="false" ht="29.85" hidden="false" customHeight="false" outlineLevel="0" collapsed="false">
      <c r="B70" s="46" t="n">
        <v>2</v>
      </c>
      <c r="C70" s="47" t="s">
        <v>274</v>
      </c>
      <c r="D70" s="58" t="s">
        <v>57</v>
      </c>
      <c r="E70" s="46" t="n">
        <v>2</v>
      </c>
      <c r="F70" s="143" t="n">
        <f aca="false">+E70*F32</f>
        <v>6</v>
      </c>
      <c r="G70" s="48" t="n">
        <v>50</v>
      </c>
      <c r="H70" s="48" t="n">
        <f aca="false">+F70*G70</f>
        <v>300</v>
      </c>
      <c r="I70" s="3"/>
      <c r="J70" s="3"/>
      <c r="K70" s="3"/>
      <c r="L70" s="3"/>
      <c r="M70" s="3"/>
      <c r="N70" s="3"/>
    </row>
    <row r="71" customFormat="false" ht="29.85" hidden="false" customHeight="false" outlineLevel="0" collapsed="false">
      <c r="B71" s="46" t="n">
        <v>3</v>
      </c>
      <c r="C71" s="47" t="s">
        <v>305</v>
      </c>
      <c r="D71" s="58" t="s">
        <v>62</v>
      </c>
      <c r="E71" s="62" t="n">
        <f aca="false">+(I32*2)/1000+((0.3*2)*F32)</f>
        <v>7.66</v>
      </c>
      <c r="F71" s="143" t="n">
        <f aca="false">+E71</f>
        <v>7.66</v>
      </c>
      <c r="G71" s="48" t="n">
        <v>55</v>
      </c>
      <c r="H71" s="48" t="n">
        <f aca="false">+F71*G71</f>
        <v>421.3</v>
      </c>
      <c r="I71" s="3"/>
      <c r="J71" s="3"/>
      <c r="K71" s="3"/>
      <c r="L71" s="3"/>
      <c r="M71" s="3"/>
      <c r="N71" s="3"/>
    </row>
    <row r="72" customFormat="false" ht="17.35" hidden="false" customHeight="false" outlineLevel="0" collapsed="false">
      <c r="B72" s="46" t="n">
        <v>4</v>
      </c>
      <c r="C72" s="46" t="s">
        <v>86</v>
      </c>
      <c r="D72" s="58" t="s">
        <v>14</v>
      </c>
      <c r="E72" s="58" t="s">
        <v>307</v>
      </c>
      <c r="F72" s="60" t="n">
        <f aca="false">+G32*D32/1000000</f>
        <v>2.637</v>
      </c>
      <c r="G72" s="69" t="n">
        <v>3700</v>
      </c>
      <c r="H72" s="48" t="n">
        <f aca="false">+F72*G72</f>
        <v>9756.9</v>
      </c>
      <c r="I72" s="3"/>
      <c r="J72" s="3"/>
      <c r="K72" s="3"/>
      <c r="L72" s="3"/>
      <c r="M72" s="3"/>
      <c r="N72" s="3"/>
    </row>
    <row r="73" customFormat="false" ht="19.7" hidden="false" customHeight="false" outlineLevel="0" collapsed="false">
      <c r="B73" s="72"/>
      <c r="C73" s="72"/>
      <c r="D73" s="72"/>
      <c r="E73" s="72"/>
      <c r="F73" s="72"/>
      <c r="G73" s="73" t="s">
        <v>19</v>
      </c>
      <c r="H73" s="74" t="n">
        <f aca="false">SUM(H69:H72)</f>
        <v>13478.2</v>
      </c>
      <c r="I73" s="3"/>
      <c r="J73" s="3"/>
      <c r="K73" s="3"/>
      <c r="L73" s="3"/>
      <c r="M73" s="3"/>
      <c r="N73" s="3"/>
    </row>
    <row r="74" customFormat="false" ht="17.35" hidden="false" customHeight="false" outlineLevel="0" collapsed="false"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B75" s="72"/>
      <c r="C75" s="72"/>
      <c r="D75" s="72"/>
      <c r="E75" s="72"/>
      <c r="F75" s="72"/>
      <c r="G75" s="3"/>
      <c r="H75" s="3"/>
      <c r="I75" s="3"/>
      <c r="J75" s="3"/>
      <c r="K75" s="3"/>
      <c r="L75" s="3"/>
      <c r="M75" s="3"/>
      <c r="N75" s="3"/>
    </row>
    <row r="76" customFormat="false" ht="24.45" hidden="false" customHeight="false" outlineLevel="0" collapsed="false">
      <c r="B76" s="75" t="s">
        <v>358</v>
      </c>
      <c r="C76" s="75"/>
      <c r="D76" s="75"/>
      <c r="E76" s="76"/>
      <c r="F76" s="75" t="s">
        <v>359</v>
      </c>
      <c r="G76" s="75"/>
      <c r="H76" s="75"/>
      <c r="I76" s="3"/>
    </row>
    <row r="77" customFormat="false" ht="37.3" hidden="false" customHeight="false" outlineLevel="0" collapsed="false">
      <c r="B77" s="77" t="s">
        <v>95</v>
      </c>
      <c r="C77" s="77" t="s">
        <v>96</v>
      </c>
      <c r="D77" s="77" t="s">
        <v>97</v>
      </c>
      <c r="E77" s="3"/>
      <c r="F77" s="77" t="s">
        <v>95</v>
      </c>
      <c r="G77" s="77" t="s">
        <v>96</v>
      </c>
      <c r="H77" s="77" t="s">
        <v>97</v>
      </c>
      <c r="I77" s="3"/>
    </row>
    <row r="78" customFormat="false" ht="22.05" hidden="false" customHeight="false" outlineLevel="0" collapsed="false">
      <c r="B78" s="78" t="n">
        <v>1</v>
      </c>
      <c r="C78" s="79" t="s">
        <v>98</v>
      </c>
      <c r="D78" s="80" t="n">
        <f aca="false">+J43*4</f>
        <v>352.4</v>
      </c>
      <c r="E78" s="3"/>
      <c r="F78" s="78" t="n">
        <v>1</v>
      </c>
      <c r="G78" s="79" t="s">
        <v>98</v>
      </c>
      <c r="H78" s="80" t="n">
        <f aca="false">J50*4</f>
        <v>412</v>
      </c>
      <c r="I78" s="3"/>
    </row>
    <row r="79" customFormat="false" ht="22.05" hidden="false" customHeight="false" outlineLevel="0" collapsed="false">
      <c r="B79" s="78" t="n">
        <v>2</v>
      </c>
      <c r="C79" s="79" t="s">
        <v>99</v>
      </c>
      <c r="D79" s="80" t="n">
        <f aca="false">+H65/3650</f>
        <v>154.353835616438</v>
      </c>
      <c r="E79" s="3"/>
      <c r="F79" s="78" t="n">
        <v>2</v>
      </c>
      <c r="G79" s="79" t="s">
        <v>99</v>
      </c>
      <c r="H79" s="80" t="n">
        <f aca="false">+(H65+H73)/3650</f>
        <v>158.046493150685</v>
      </c>
      <c r="I79" s="3"/>
    </row>
    <row r="80" customFormat="false" ht="22.05" hidden="false" customHeight="false" outlineLevel="0" collapsed="false">
      <c r="B80" s="78" t="n">
        <v>3</v>
      </c>
      <c r="C80" s="79" t="s">
        <v>100</v>
      </c>
      <c r="D80" s="80" t="n">
        <f aca="false">+L32*12</f>
        <v>77.5716</v>
      </c>
      <c r="E80" s="3"/>
      <c r="F80" s="78" t="n">
        <v>3</v>
      </c>
      <c r="G80" s="79" t="s">
        <v>100</v>
      </c>
      <c r="H80" s="80" t="n">
        <f aca="false">+M32*15</f>
        <v>110.1495</v>
      </c>
      <c r="I80" s="3"/>
    </row>
    <row r="81" customFormat="false" ht="22.05" hidden="false" customHeight="false" outlineLevel="0" collapsed="false">
      <c r="B81" s="78" t="n">
        <v>4</v>
      </c>
      <c r="C81" s="79" t="s">
        <v>101</v>
      </c>
      <c r="D81" s="80" t="n">
        <f aca="false">+L32*0</f>
        <v>0</v>
      </c>
      <c r="E81" s="3"/>
      <c r="F81" s="78" t="n">
        <v>4</v>
      </c>
      <c r="G81" s="79" t="s">
        <v>101</v>
      </c>
      <c r="H81" s="80" t="n">
        <f aca="false">+M32*0</f>
        <v>0</v>
      </c>
      <c r="I81" s="3"/>
    </row>
    <row r="82" customFormat="false" ht="22.05" hidden="false" customHeight="false" outlineLevel="0" collapsed="false">
      <c r="B82" s="3"/>
      <c r="C82" s="81" t="s">
        <v>19</v>
      </c>
      <c r="D82" s="80" t="n">
        <f aca="false">SUM(D78:D81)</f>
        <v>584.325435616438</v>
      </c>
      <c r="E82" s="3"/>
      <c r="F82" s="3"/>
      <c r="G82" s="81" t="s">
        <v>19</v>
      </c>
      <c r="H82" s="80" t="n">
        <f aca="false">SUM(H78:H81)</f>
        <v>680.195993150685</v>
      </c>
      <c r="I82" s="3"/>
    </row>
    <row r="83" customFormat="false" ht="22.05" hidden="false" customHeight="false" outlineLevel="0" collapsed="false">
      <c r="B83" s="3"/>
      <c r="C83" s="81" t="s">
        <v>102</v>
      </c>
      <c r="D83" s="82" t="n">
        <f aca="false">+D82*30%</f>
        <v>175.297630684931</v>
      </c>
      <c r="E83" s="3"/>
      <c r="F83" s="3"/>
      <c r="G83" s="81" t="s">
        <v>102</v>
      </c>
      <c r="H83" s="82" t="n">
        <f aca="false">+H82*30%</f>
        <v>204.058797945205</v>
      </c>
      <c r="I83" s="3"/>
    </row>
    <row r="84" customFormat="false" ht="22.05" hidden="false" customHeight="false" outlineLevel="0" collapsed="false">
      <c r="B84" s="3"/>
      <c r="C84" s="83" t="s">
        <v>103</v>
      </c>
      <c r="D84" s="84" t="n">
        <f aca="false">+D82+D83</f>
        <v>759.62306630137</v>
      </c>
      <c r="E84" s="3"/>
      <c r="F84" s="3"/>
      <c r="G84" s="83" t="s">
        <v>103</v>
      </c>
      <c r="H84" s="84" t="n">
        <f aca="false">+H82+H83</f>
        <v>884.25479109589</v>
      </c>
      <c r="I84" s="3"/>
    </row>
    <row r="85" customFormat="false" ht="22.05" hidden="false" customHeight="false" outlineLevel="0" collapsed="false">
      <c r="B85" s="3"/>
      <c r="C85" s="87" t="s">
        <v>104</v>
      </c>
      <c r="D85" s="88" t="n">
        <f aca="false">+D82/L32</f>
        <v>90.3926853048959</v>
      </c>
      <c r="E85" s="3"/>
      <c r="F85" s="3"/>
      <c r="G85" s="87" t="s">
        <v>104</v>
      </c>
      <c r="H85" s="88" t="n">
        <f aca="false">+H82/L32</f>
        <v>105.223457010146</v>
      </c>
      <c r="I85" s="3"/>
    </row>
    <row r="86" customFormat="false" ht="37.3" hidden="false" customHeight="false" outlineLevel="0" collapsed="false">
      <c r="B86" s="3"/>
      <c r="C86" s="89" t="s">
        <v>105</v>
      </c>
      <c r="D86" s="90" t="n">
        <f aca="false">+D84/L32</f>
        <v>117.510490896365</v>
      </c>
      <c r="E86" s="3"/>
      <c r="F86" s="3"/>
      <c r="G86" s="89" t="s">
        <v>105</v>
      </c>
      <c r="H86" s="90" t="n">
        <f aca="false">+H84/L32</f>
        <v>136.790494113189</v>
      </c>
      <c r="I86" s="3"/>
    </row>
    <row r="87" customFormat="false" ht="17.35" hidden="false" customHeight="false" outlineLevel="0" collapsed="false">
      <c r="I87" s="3"/>
    </row>
    <row r="88" customFormat="false" ht="17.35" hidden="false" customHeight="false" outlineLevel="0" collapsed="false">
      <c r="I88" s="3"/>
    </row>
    <row r="89" customFormat="false" ht="17.35" hidden="false" customHeight="false" outlineLevel="0" collapsed="false">
      <c r="I89" s="3"/>
    </row>
    <row r="90" customFormat="false" ht="17.35" hidden="false" customHeight="false" outlineLevel="0" collapsed="false">
      <c r="I90" s="3"/>
    </row>
  </sheetData>
  <mergeCells count="12">
    <mergeCell ref="B3:M3"/>
    <mergeCell ref="B32:C32"/>
    <mergeCell ref="B34:J34"/>
    <mergeCell ref="B44:M44"/>
    <mergeCell ref="K45:M45"/>
    <mergeCell ref="K46:M46"/>
    <mergeCell ref="K47:M47"/>
    <mergeCell ref="K48:M48"/>
    <mergeCell ref="B51:H51"/>
    <mergeCell ref="B67:H67"/>
    <mergeCell ref="B76:D76"/>
    <mergeCell ref="F76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46" activePane="bottomLeft" state="frozen"/>
      <selection pane="topLeft" activeCell="A1" activeCellId="0" sqref="A1"/>
      <selection pane="bottomLeft" activeCell="H79" activeCellId="0" sqref="H79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9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</cols>
  <sheetData>
    <row r="3" customFormat="false" ht="22.05" hidden="false" customHeight="false" outlineLevel="0" collapsed="false">
      <c r="B3" s="7" t="s">
        <v>350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7.3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312</v>
      </c>
      <c r="I4" s="10" t="s">
        <v>11</v>
      </c>
      <c r="J4" s="10" t="s">
        <v>13</v>
      </c>
      <c r="K4" s="10" t="s">
        <v>239</v>
      </c>
      <c r="L4" s="10" t="s">
        <v>313</v>
      </c>
      <c r="M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1200</v>
      </c>
      <c r="E5" s="15" t="n">
        <v>2430</v>
      </c>
      <c r="F5" s="15" t="n">
        <v>1</v>
      </c>
      <c r="G5" s="15" t="n">
        <v>300</v>
      </c>
      <c r="H5" s="15" t="n">
        <f aca="false">+E5-G5</f>
        <v>2130</v>
      </c>
      <c r="I5" s="15" t="n">
        <f aca="false">+D5*F5</f>
        <v>1200</v>
      </c>
      <c r="J5" s="15" t="n">
        <f aca="false">+E5*F5</f>
        <v>2430</v>
      </c>
      <c r="K5" s="96" t="n">
        <f aca="false">G5*D5/1000000</f>
        <v>0.36</v>
      </c>
      <c r="L5" s="16" t="n">
        <f aca="false">+((D5*H5)/1000000)*F5</f>
        <v>2.556</v>
      </c>
      <c r="M5" s="16" t="n">
        <f aca="false">+D5*E5/1000000*F5</f>
        <v>2.916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/>
      <c r="E6" s="15"/>
      <c r="F6" s="15"/>
      <c r="G6" s="15" t="n">
        <v>0</v>
      </c>
      <c r="H6" s="15" t="n">
        <f aca="false">+E6-G6</f>
        <v>0</v>
      </c>
      <c r="I6" s="15" t="n">
        <f aca="false">+D6*F6</f>
        <v>0</v>
      </c>
      <c r="J6" s="15" t="n">
        <f aca="false">+E6*F6</f>
        <v>0</v>
      </c>
      <c r="K6" s="96" t="n">
        <f aca="false">G6*D6/1000000</f>
        <v>0</v>
      </c>
      <c r="L6" s="16" t="n">
        <f aca="false">+((D6*H6)/1000000)*F6</f>
        <v>0</v>
      </c>
      <c r="M6" s="16" t="n">
        <f aca="false">+D6*E6/1000000*F6</f>
        <v>0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/>
      <c r="E7" s="15"/>
      <c r="F7" s="15"/>
      <c r="G7" s="15" t="n">
        <v>0</v>
      </c>
      <c r="H7" s="15" t="n">
        <f aca="false">+E7-G7</f>
        <v>0</v>
      </c>
      <c r="I7" s="15" t="n">
        <f aca="false">+D7*F7</f>
        <v>0</v>
      </c>
      <c r="J7" s="15" t="n">
        <f aca="false">+E7*F7</f>
        <v>0</v>
      </c>
      <c r="K7" s="96" t="n">
        <f aca="false">G7*D7/1000000</f>
        <v>0</v>
      </c>
      <c r="L7" s="16" t="n">
        <f aca="false">+((D7*H7)/1000000)*F7</f>
        <v>0</v>
      </c>
      <c r="M7" s="16" t="n">
        <f aca="false">+D7*E7/1000000*F7</f>
        <v>0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/>
      <c r="E8" s="15"/>
      <c r="F8" s="15"/>
      <c r="G8" s="15" t="n">
        <v>0</v>
      </c>
      <c r="H8" s="15" t="n">
        <f aca="false">+E8-G8</f>
        <v>0</v>
      </c>
      <c r="I8" s="15" t="n">
        <f aca="false">+D8*F8</f>
        <v>0</v>
      </c>
      <c r="J8" s="15" t="n">
        <f aca="false">+E8*F8</f>
        <v>0</v>
      </c>
      <c r="K8" s="96" t="n">
        <f aca="false">G8*D8/1000000</f>
        <v>0</v>
      </c>
      <c r="L8" s="16" t="n">
        <f aca="false">+((D8*H8)/1000000)*F8</f>
        <v>0</v>
      </c>
      <c r="M8" s="16" t="n">
        <f aca="false">+D8*E8/1000000*F8</f>
        <v>0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/>
      <c r="H9" s="15" t="n">
        <f aca="false">+E9-G9</f>
        <v>0</v>
      </c>
      <c r="I9" s="15" t="n">
        <f aca="false">+D9*F9</f>
        <v>0</v>
      </c>
      <c r="J9" s="15" t="n">
        <f aca="false">+E9*F9</f>
        <v>0</v>
      </c>
      <c r="K9" s="96" t="n">
        <f aca="false">G9*D9/1000000</f>
        <v>0</v>
      </c>
      <c r="L9" s="16" t="n">
        <f aca="false">+((D9*H9)/1000000)*F9</f>
        <v>0</v>
      </c>
      <c r="M9" s="16" t="n">
        <f aca="false">+D9*E9/1000000*F9</f>
        <v>0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/>
      <c r="H10" s="15" t="n">
        <f aca="false">+E10-G10</f>
        <v>0</v>
      </c>
      <c r="I10" s="15" t="n">
        <f aca="false">+D10*F10</f>
        <v>0</v>
      </c>
      <c r="J10" s="15" t="n">
        <f aca="false">+E10*F10</f>
        <v>0</v>
      </c>
      <c r="K10" s="96" t="n">
        <f aca="false">G10*D10/1000000</f>
        <v>0</v>
      </c>
      <c r="L10" s="16" t="n">
        <f aca="false">+((D10*H10)/1000000)*F10</f>
        <v>0</v>
      </c>
      <c r="M10" s="16" t="n">
        <f aca="false">+D10*E10/1000000*F10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/>
      <c r="H11" s="15" t="n">
        <f aca="false">+E11-G11</f>
        <v>0</v>
      </c>
      <c r="I11" s="15" t="n">
        <f aca="false">+D11*F11</f>
        <v>0</v>
      </c>
      <c r="J11" s="15" t="n">
        <f aca="false">+E11*F11</f>
        <v>0</v>
      </c>
      <c r="K11" s="96" t="n">
        <f aca="false">G11*D11/1000000</f>
        <v>0</v>
      </c>
      <c r="L11" s="16" t="n">
        <f aca="false">+((D11*H11)/1000000)*F11</f>
        <v>0</v>
      </c>
      <c r="M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 t="n">
        <v>0</v>
      </c>
      <c r="H12" s="15" t="n">
        <f aca="false">+E12-G12</f>
        <v>0</v>
      </c>
      <c r="I12" s="15" t="n">
        <f aca="false">+D12*F12</f>
        <v>0</v>
      </c>
      <c r="J12" s="15" t="n">
        <f aca="false">+E12*F12</f>
        <v>0</v>
      </c>
      <c r="K12" s="96" t="n">
        <f aca="false">G12*D12/1000000</f>
        <v>0</v>
      </c>
      <c r="L12" s="16" t="n">
        <f aca="false">+((D12*H12)/1000000)*F12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/>
      <c r="H13" s="15" t="n">
        <f aca="false">+E13-G13</f>
        <v>0</v>
      </c>
      <c r="I13" s="15" t="n">
        <f aca="false">+D13*F13</f>
        <v>0</v>
      </c>
      <c r="J13" s="15" t="n">
        <f aca="false">+E13*F13</f>
        <v>0</v>
      </c>
      <c r="K13" s="96" t="n">
        <f aca="false">G13*D13/1000000</f>
        <v>0</v>
      </c>
      <c r="L13" s="16" t="n">
        <f aca="false">+((D13*H13)/1000000)*F13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/>
      <c r="H14" s="15" t="n">
        <f aca="false">+E14-G14</f>
        <v>0</v>
      </c>
      <c r="I14" s="15" t="n">
        <f aca="false">+D14*F14</f>
        <v>0</v>
      </c>
      <c r="J14" s="15" t="n">
        <f aca="false">+E14*F14</f>
        <v>0</v>
      </c>
      <c r="K14" s="96" t="n">
        <f aca="false">G14*D14/1000000</f>
        <v>0</v>
      </c>
      <c r="L14" s="16" t="n">
        <f aca="false">+((D14*H14)/1000000)*F14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/>
      <c r="H15" s="15" t="n">
        <f aca="false">+E15-G15</f>
        <v>0</v>
      </c>
      <c r="I15" s="15" t="n">
        <f aca="false">+D15*F15</f>
        <v>0</v>
      </c>
      <c r="J15" s="15" t="n">
        <f aca="false">+E15*F15</f>
        <v>0</v>
      </c>
      <c r="K15" s="96" t="n">
        <f aca="false">G15*D15/1000000</f>
        <v>0</v>
      </c>
      <c r="L15" s="16" t="n">
        <f aca="false">+((D15*H15)/1000000)*F15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/>
      <c r="H16" s="15" t="n">
        <f aca="false">+E16-G16</f>
        <v>0</v>
      </c>
      <c r="I16" s="15" t="n">
        <f aca="false">+D16*F16</f>
        <v>0</v>
      </c>
      <c r="J16" s="15" t="n">
        <f aca="false">+E16*F16</f>
        <v>0</v>
      </c>
      <c r="K16" s="96" t="n">
        <f aca="false">G16*D16/1000000</f>
        <v>0</v>
      </c>
      <c r="L16" s="16" t="n">
        <f aca="false">+((D16*H16)/1000000)*F16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/>
      <c r="H17" s="15" t="n">
        <f aca="false">+E17-G17</f>
        <v>0</v>
      </c>
      <c r="I17" s="15" t="n">
        <f aca="false">+D17*F17</f>
        <v>0</v>
      </c>
      <c r="J17" s="15" t="n">
        <f aca="false">+E17*F17</f>
        <v>0</v>
      </c>
      <c r="K17" s="96" t="n">
        <f aca="false">G17*D17/1000000</f>
        <v>0</v>
      </c>
      <c r="L17" s="16" t="n">
        <f aca="false">+((D17*H17)/1000000)*F17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/>
      <c r="H18" s="15" t="n">
        <f aca="false">+E18-G18</f>
        <v>0</v>
      </c>
      <c r="I18" s="15" t="n">
        <f aca="false">+D18*F18</f>
        <v>0</v>
      </c>
      <c r="J18" s="15" t="n">
        <f aca="false">+E18*F18</f>
        <v>0</v>
      </c>
      <c r="K18" s="96" t="n">
        <f aca="false">G18*D18/1000000</f>
        <v>0</v>
      </c>
      <c r="L18" s="16" t="n">
        <f aca="false">+((D18*H18)/1000000)*F18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/>
      <c r="H19" s="15" t="n">
        <f aca="false">+E19-G19</f>
        <v>0</v>
      </c>
      <c r="I19" s="15" t="n">
        <f aca="false">+D19*F19</f>
        <v>0</v>
      </c>
      <c r="J19" s="15" t="n">
        <f aca="false">+E19*F19</f>
        <v>0</v>
      </c>
      <c r="K19" s="96" t="n">
        <f aca="false">G19*D19/1000000</f>
        <v>0</v>
      </c>
      <c r="L19" s="16" t="n">
        <f aca="false">+((D19*H19)/1000000)*F19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/>
      <c r="H20" s="15" t="n">
        <f aca="false">+E20-G20</f>
        <v>0</v>
      </c>
      <c r="I20" s="15" t="n">
        <f aca="false">+D20*F20</f>
        <v>0</v>
      </c>
      <c r="J20" s="15" t="n">
        <f aca="false">+E20*F20</f>
        <v>0</v>
      </c>
      <c r="K20" s="96" t="n">
        <f aca="false">G20*D20/1000000</f>
        <v>0</v>
      </c>
      <c r="L20" s="16" t="n">
        <f aca="false">+((D20*H20)/1000000)*F20</f>
        <v>0</v>
      </c>
      <c r="M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/>
      <c r="H21" s="15" t="n">
        <f aca="false">+E21-G21</f>
        <v>0</v>
      </c>
      <c r="I21" s="15" t="n">
        <f aca="false">+D21*F21</f>
        <v>0</v>
      </c>
      <c r="J21" s="15" t="n">
        <f aca="false">+E21*F21</f>
        <v>0</v>
      </c>
      <c r="K21" s="96" t="n">
        <f aca="false">G21*D21/1000000</f>
        <v>0</v>
      </c>
      <c r="L21" s="16" t="n">
        <f aca="false">+((D21*H21)/1000000)*F21</f>
        <v>0</v>
      </c>
      <c r="M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/>
      <c r="H22" s="15" t="n">
        <f aca="false">+E22-G22</f>
        <v>0</v>
      </c>
      <c r="I22" s="15" t="n">
        <f aca="false">+D22*F22</f>
        <v>0</v>
      </c>
      <c r="J22" s="15" t="n">
        <f aca="false">+E22*F22</f>
        <v>0</v>
      </c>
      <c r="K22" s="96" t="n">
        <f aca="false">G22*D22/1000000</f>
        <v>0</v>
      </c>
      <c r="L22" s="16" t="n">
        <f aca="false">+((D22*H22)/1000000)*F22</f>
        <v>0</v>
      </c>
      <c r="M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/>
      <c r="H23" s="15" t="n">
        <f aca="false">+E23-G23</f>
        <v>0</v>
      </c>
      <c r="I23" s="15" t="n">
        <f aca="false">+D23*F23</f>
        <v>0</v>
      </c>
      <c r="J23" s="15" t="n">
        <f aca="false">+E23*F23</f>
        <v>0</v>
      </c>
      <c r="K23" s="96" t="n">
        <f aca="false">G23*D23/1000000</f>
        <v>0</v>
      </c>
      <c r="L23" s="16" t="n">
        <f aca="false">+((D23*H23)/1000000)*F23</f>
        <v>0</v>
      </c>
      <c r="M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/>
      <c r="H24" s="15" t="n">
        <f aca="false">+E24-G24</f>
        <v>0</v>
      </c>
      <c r="I24" s="15" t="n">
        <f aca="false">+D24*F24</f>
        <v>0</v>
      </c>
      <c r="J24" s="15" t="n">
        <f aca="false">+E24*F24</f>
        <v>0</v>
      </c>
      <c r="K24" s="96" t="n">
        <f aca="false">G24*D24/1000000</f>
        <v>0</v>
      </c>
      <c r="L24" s="16" t="n">
        <f aca="false">+((D24*H24)/1000000)*F24</f>
        <v>0</v>
      </c>
      <c r="M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/>
      <c r="H25" s="15" t="n">
        <f aca="false">+E25-G25</f>
        <v>0</v>
      </c>
      <c r="I25" s="15" t="n">
        <f aca="false">+D25*F25</f>
        <v>0</v>
      </c>
      <c r="J25" s="15" t="n">
        <f aca="false">+E25*F25</f>
        <v>0</v>
      </c>
      <c r="K25" s="96" t="n">
        <f aca="false">G25*D25/1000000</f>
        <v>0</v>
      </c>
      <c r="L25" s="16" t="n">
        <f aca="false">+((D25*H25)/1000000)*F25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/>
      <c r="H26" s="15" t="n">
        <f aca="false">+E26-G26</f>
        <v>0</v>
      </c>
      <c r="I26" s="15" t="n">
        <f aca="false">+D26*F26</f>
        <v>0</v>
      </c>
      <c r="J26" s="15" t="n">
        <f aca="false">+E26*F26</f>
        <v>0</v>
      </c>
      <c r="K26" s="96" t="n">
        <f aca="false">G26*D26/1000000</f>
        <v>0</v>
      </c>
      <c r="L26" s="16" t="n">
        <f aca="false">+((D26*H26)/1000000)*F26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 t="n">
        <f aca="false">+E27-G27</f>
        <v>0</v>
      </c>
      <c r="I27" s="15" t="n">
        <f aca="false">+D27*F27</f>
        <v>0</v>
      </c>
      <c r="J27" s="15" t="n">
        <f aca="false">+E27*F27</f>
        <v>0</v>
      </c>
      <c r="K27" s="96" t="n">
        <f aca="false">G27*D27/1000000</f>
        <v>0</v>
      </c>
      <c r="L27" s="16" t="n">
        <f aca="false">+((D27*H27)/1000000)*F27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 t="n">
        <f aca="false">+E28-G28</f>
        <v>0</v>
      </c>
      <c r="I28" s="15" t="n">
        <f aca="false">+D28*F28</f>
        <v>0</v>
      </c>
      <c r="J28" s="15" t="n">
        <f aca="false">+E28*F28</f>
        <v>0</v>
      </c>
      <c r="K28" s="96" t="n">
        <f aca="false">G28*D28/1000000</f>
        <v>0</v>
      </c>
      <c r="L28" s="16" t="n">
        <f aca="false">+((D28*H28)/1000000)*F28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 t="n">
        <f aca="false">+E29-G29</f>
        <v>0</v>
      </c>
      <c r="I29" s="15" t="n">
        <f aca="false">+D29*F29</f>
        <v>0</v>
      </c>
      <c r="J29" s="15" t="n">
        <f aca="false">+E29*F29</f>
        <v>0</v>
      </c>
      <c r="K29" s="96" t="n">
        <f aca="false">G29*D29/1000000</f>
        <v>0</v>
      </c>
      <c r="L29" s="16" t="n">
        <f aca="false">+((D29*H29)/1000000)*F29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 t="n">
        <f aca="false">+E30-G30</f>
        <v>0</v>
      </c>
      <c r="I30" s="15"/>
      <c r="J30" s="15"/>
      <c r="K30" s="96" t="n">
        <f aca="false">G30*D30/1000000</f>
        <v>0</v>
      </c>
      <c r="L30" s="16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 t="n">
        <f aca="false">+E31-G31</f>
        <v>0</v>
      </c>
      <c r="I31" s="15" t="n">
        <f aca="false">+D31*F31</f>
        <v>0</v>
      </c>
      <c r="J31" s="15" t="n">
        <f aca="false">+E31*F31</f>
        <v>0</v>
      </c>
      <c r="K31" s="96" t="n">
        <f aca="false">G31*D31/1000000</f>
        <v>0</v>
      </c>
      <c r="L31" s="16" t="n">
        <f aca="false">+((D31*H31)/1000000)*F31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1200</v>
      </c>
      <c r="E32" s="32" t="n">
        <f aca="false">SUM(E5:E31)</f>
        <v>2430</v>
      </c>
      <c r="F32" s="32" t="n">
        <f aca="false">SUM(F5:F31)</f>
        <v>1</v>
      </c>
      <c r="G32" s="33" t="n">
        <f aca="false">SUM(G5:G31)</f>
        <v>300</v>
      </c>
      <c r="H32" s="32" t="n">
        <f aca="false">SUM(H5:H31)</f>
        <v>2130</v>
      </c>
      <c r="I32" s="32" t="n">
        <f aca="false">SUM(I5:I31)</f>
        <v>1200</v>
      </c>
      <c r="J32" s="32" t="n">
        <f aca="false">SUM(J5:J31)</f>
        <v>2430</v>
      </c>
      <c r="K32" s="35" t="n">
        <f aca="false">SUM(K5:K31)</f>
        <v>0.36</v>
      </c>
      <c r="L32" s="35" t="n">
        <f aca="false">SUM(L5:L31)</f>
        <v>2.556</v>
      </c>
      <c r="M32" s="36" t="n">
        <f aca="false">SUM(M5:M31)</f>
        <v>2.916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314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6001</v>
      </c>
      <c r="D36" s="13" t="s">
        <v>351</v>
      </c>
      <c r="E36" s="15" t="n">
        <f aca="false">+I32*1+J32*2</f>
        <v>6060</v>
      </c>
      <c r="F36" s="15" t="n">
        <f aca="false">E36+(E36*10%)</f>
        <v>6666</v>
      </c>
      <c r="G36" s="43" t="n">
        <f aca="false">F36/6400</f>
        <v>1.0415625</v>
      </c>
      <c r="H36" s="43" t="n">
        <f aca="false">ROUNDUP(G36,0)</f>
        <v>2</v>
      </c>
      <c r="I36" s="44" t="n">
        <v>11</v>
      </c>
      <c r="J36" s="44" t="n">
        <f aca="false">+I36*H36</f>
        <v>22</v>
      </c>
      <c r="K36" s="22"/>
      <c r="L36" s="22"/>
      <c r="M36" s="22"/>
      <c r="N36" s="22"/>
    </row>
    <row r="37" customFormat="false" ht="29.85" hidden="false" customHeight="false" outlineLevel="0" collapsed="false">
      <c r="B37" s="46" t="n">
        <v>2</v>
      </c>
      <c r="C37" s="46" t="n">
        <v>6005</v>
      </c>
      <c r="D37" s="47" t="s">
        <v>352</v>
      </c>
      <c r="E37" s="48" t="n">
        <f aca="false">+I32*1+H32*2</f>
        <v>5460</v>
      </c>
      <c r="F37" s="48" t="n">
        <f aca="false">E37+(E37*10%)</f>
        <v>6006</v>
      </c>
      <c r="G37" s="49" t="n">
        <f aca="false">F37/6400</f>
        <v>0.9384375</v>
      </c>
      <c r="H37" s="49" t="n">
        <f aca="false">ROUNDUP(G37,0)</f>
        <v>1</v>
      </c>
      <c r="I37" s="50" t="n">
        <v>5.8</v>
      </c>
      <c r="J37" s="50" t="n">
        <f aca="false">+I37*H37</f>
        <v>5.8</v>
      </c>
      <c r="K37" s="22"/>
      <c r="L37" s="22"/>
      <c r="M37" s="22"/>
      <c r="N37" s="22"/>
    </row>
    <row r="38" customFormat="false" ht="17.35" hidden="false" customHeight="false" outlineLevel="0" collapsed="false">
      <c r="B38" s="13" t="n">
        <v>3</v>
      </c>
      <c r="C38" s="13" t="n">
        <v>6023</v>
      </c>
      <c r="D38" s="13" t="s">
        <v>318</v>
      </c>
      <c r="E38" s="15" t="n">
        <f aca="false">+I32*1</f>
        <v>1200</v>
      </c>
      <c r="F38" s="15" t="n">
        <f aca="false">E38+(E38*10%)</f>
        <v>1320</v>
      </c>
      <c r="G38" s="43" t="n">
        <f aca="false">F38/6400</f>
        <v>0.20625</v>
      </c>
      <c r="H38" s="43" t="n">
        <f aca="false">ROUNDUP(G38,0)</f>
        <v>1</v>
      </c>
      <c r="I38" s="44" t="n">
        <v>9.1</v>
      </c>
      <c r="J38" s="44" t="n">
        <f aca="false">+I38*H38</f>
        <v>9.1</v>
      </c>
      <c r="K38" s="22"/>
      <c r="L38" s="22"/>
      <c r="M38" s="22"/>
      <c r="N38" s="22"/>
    </row>
    <row r="39" customFormat="false" ht="17.35" hidden="false" customHeight="false" outlineLevel="0" collapsed="false">
      <c r="B39" s="46" t="n">
        <v>4</v>
      </c>
      <c r="C39" s="13" t="n">
        <v>6021</v>
      </c>
      <c r="D39" s="13" t="s">
        <v>319</v>
      </c>
      <c r="E39" s="15" t="n">
        <f aca="false">+I32*1</f>
        <v>1200</v>
      </c>
      <c r="F39" s="15" t="n">
        <f aca="false">E39+(E39*10%)</f>
        <v>1320</v>
      </c>
      <c r="G39" s="43" t="n">
        <f aca="false">F39/6400</f>
        <v>0.20625</v>
      </c>
      <c r="H39" s="43" t="n">
        <f aca="false">ROUNDUP(G39,0)</f>
        <v>1</v>
      </c>
      <c r="I39" s="44" t="n">
        <v>7.3</v>
      </c>
      <c r="J39" s="44" t="n">
        <f aca="false">+I39*H39</f>
        <v>7.3</v>
      </c>
      <c r="K39" s="22"/>
      <c r="L39" s="22"/>
      <c r="M39" s="22"/>
      <c r="N39" s="22"/>
    </row>
    <row r="40" customFormat="false" ht="17.35" hidden="false" customHeight="false" outlineLevel="0" collapsed="false">
      <c r="B40" s="13" t="n">
        <v>5</v>
      </c>
      <c r="C40" s="13" t="n">
        <v>6003</v>
      </c>
      <c r="D40" s="13" t="s">
        <v>320</v>
      </c>
      <c r="E40" s="15" t="n">
        <f aca="false">+I32*4+H32*2</f>
        <v>9060</v>
      </c>
      <c r="F40" s="15" t="n">
        <f aca="false">E40+(E40*10%)</f>
        <v>9966</v>
      </c>
      <c r="G40" s="43" t="n">
        <f aca="false">F40/6400</f>
        <v>1.5571875</v>
      </c>
      <c r="H40" s="43" t="n">
        <f aca="false">ROUNDUP(G40,0)</f>
        <v>2</v>
      </c>
      <c r="I40" s="44" t="n">
        <v>1.4</v>
      </c>
      <c r="J40" s="44" t="n">
        <f aca="false">+I40*H40</f>
        <v>2.8</v>
      </c>
      <c r="K40" s="22"/>
      <c r="L40" s="22"/>
      <c r="M40" s="22"/>
      <c r="N40" s="22"/>
    </row>
    <row r="41" customFormat="false" ht="17.35" hidden="false" customHeight="false" outlineLevel="0" collapsed="false">
      <c r="B41" s="13"/>
      <c r="C41" s="13" t="n">
        <v>6509</v>
      </c>
      <c r="D41" s="13" t="s">
        <v>353</v>
      </c>
      <c r="E41" s="15" t="n">
        <f aca="false">+(I32/123)*(H32/2)</f>
        <v>10390.243902439</v>
      </c>
      <c r="F41" s="15" t="n">
        <f aca="false">E41+(E41*10%)</f>
        <v>11429.2682926829</v>
      </c>
      <c r="G41" s="43" t="n">
        <f aca="false">F41/6400</f>
        <v>1.78582317073171</v>
      </c>
      <c r="H41" s="43" t="n">
        <f aca="false">ROUNDUP(G41,0)</f>
        <v>2</v>
      </c>
      <c r="I41" s="44" t="n">
        <v>0</v>
      </c>
      <c r="J41" s="44" t="n">
        <f aca="false">+I41*H41</f>
        <v>0</v>
      </c>
      <c r="K41" s="22"/>
      <c r="L41" s="22"/>
      <c r="M41" s="22"/>
      <c r="N41" s="22"/>
    </row>
    <row r="42" customFormat="false" ht="17.35" hidden="false" customHeight="false" outlineLevel="0" collapsed="false">
      <c r="B42" s="46" t="n">
        <v>6</v>
      </c>
      <c r="C42" s="13" t="n">
        <v>1338</v>
      </c>
      <c r="D42" s="13" t="s">
        <v>34</v>
      </c>
      <c r="E42" s="15" t="n">
        <f aca="false">(60*2)+(25*4)</f>
        <v>220</v>
      </c>
      <c r="F42" s="15" t="n">
        <f aca="false">E42+(E42*10%)</f>
        <v>242</v>
      </c>
      <c r="G42" s="43" t="n">
        <f aca="false">F42/6400</f>
        <v>0.0378125</v>
      </c>
      <c r="H42" s="43" t="n">
        <f aca="false">ROUNDUP(G42,0)</f>
        <v>1</v>
      </c>
      <c r="I42" s="44" t="n">
        <v>3.3</v>
      </c>
      <c r="J42" s="44" t="n">
        <f aca="false">+H42*I42</f>
        <v>3.3</v>
      </c>
      <c r="K42" s="22"/>
      <c r="L42" s="22"/>
      <c r="M42" s="22"/>
      <c r="N42" s="22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23"/>
      <c r="I43" s="51" t="s">
        <v>19</v>
      </c>
      <c r="J43" s="52" t="n">
        <f aca="false">SUM(J36:J42)</f>
        <v>50.3</v>
      </c>
      <c r="K43" s="22"/>
      <c r="L43" s="3"/>
      <c r="M43" s="25"/>
      <c r="N43" s="25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6"/>
    </row>
    <row r="46" customFormat="false" ht="17.35" hidden="false" customHeight="false" outlineLevel="0" collapsed="false">
      <c r="B46" s="47" t="n">
        <v>1</v>
      </c>
      <c r="C46" s="47" t="n">
        <v>6015</v>
      </c>
      <c r="D46" s="47" t="s">
        <v>246</v>
      </c>
      <c r="E46" s="150" t="n">
        <f aca="false">+I32*1</f>
        <v>1200</v>
      </c>
      <c r="F46" s="150" t="n">
        <f aca="false">E46+(E46*10%)</f>
        <v>1320</v>
      </c>
      <c r="G46" s="151" t="n">
        <f aca="false">F46/6400</f>
        <v>0.20625</v>
      </c>
      <c r="H46" s="151" t="n">
        <f aca="false">ROUNDUP(G46,0)</f>
        <v>1</v>
      </c>
      <c r="I46" s="152" t="n">
        <v>7.6</v>
      </c>
      <c r="J46" s="152" t="n">
        <f aca="false">+H46*I46</f>
        <v>7.6</v>
      </c>
      <c r="K46" s="47"/>
      <c r="L46" s="47"/>
      <c r="M46" s="47"/>
      <c r="N46" s="4"/>
    </row>
    <row r="47" customFormat="false" ht="17.35" hidden="false" customHeight="false" outlineLevel="0" collapsed="false">
      <c r="B47" s="13" t="n">
        <v>2</v>
      </c>
      <c r="C47" s="13" t="n">
        <v>1544</v>
      </c>
      <c r="D47" s="13" t="s">
        <v>43</v>
      </c>
      <c r="E47" s="15" t="n">
        <f aca="false">+(300*2)*F32</f>
        <v>600</v>
      </c>
      <c r="F47" s="15" t="n">
        <f aca="false">E47+(E47*10%)</f>
        <v>660</v>
      </c>
      <c r="G47" s="43" t="n">
        <f aca="false">F47/6400</f>
        <v>0.103125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4"/>
    </row>
    <row r="48" customFormat="false" ht="17.35" hidden="false" customHeight="false" outlineLevel="0" collapsed="false">
      <c r="B48" s="13" t="n">
        <v>3</v>
      </c>
      <c r="C48" s="13" t="n">
        <v>6515</v>
      </c>
      <c r="D48" s="13" t="s">
        <v>45</v>
      </c>
      <c r="E48" s="15" t="n">
        <f aca="false">+I32*5</f>
        <v>6000</v>
      </c>
      <c r="F48" s="15" t="n">
        <f aca="false">E48+(E48*10%)</f>
        <v>6600</v>
      </c>
      <c r="G48" s="43" t="n">
        <f aca="false">F48/6400</f>
        <v>1.03125</v>
      </c>
      <c r="H48" s="43" t="n">
        <f aca="false">ROUNDUP(G48,0)</f>
        <v>2</v>
      </c>
      <c r="I48" s="44" t="n">
        <v>1.9</v>
      </c>
      <c r="J48" s="44" t="n">
        <f aca="false">+H48*I48</f>
        <v>3.8</v>
      </c>
      <c r="K48" s="13"/>
      <c r="L48" s="13"/>
      <c r="M48" s="13"/>
      <c r="N48" s="4"/>
    </row>
    <row r="49" customFormat="false" ht="17.35" hidden="false" customHeight="false" outlineLevel="0" collapsed="false">
      <c r="B49" s="3"/>
      <c r="C49" s="3"/>
      <c r="D49" s="3"/>
      <c r="E49" s="3"/>
      <c r="F49" s="3"/>
      <c r="G49" s="3"/>
      <c r="H49" s="11"/>
      <c r="I49" s="57" t="s">
        <v>19</v>
      </c>
      <c r="J49" s="35" t="n">
        <f aca="false">SUM(J46:J48)</f>
        <v>13</v>
      </c>
      <c r="K49" s="3"/>
      <c r="L49" s="3"/>
      <c r="M49" s="3"/>
      <c r="N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49</v>
      </c>
      <c r="J50" s="35" t="n">
        <f aca="false">+J43+J49</f>
        <v>63.3</v>
      </c>
      <c r="K50" s="3"/>
      <c r="L50" s="3"/>
      <c r="M50" s="3"/>
      <c r="N50" s="3"/>
    </row>
    <row r="51" customFormat="false" ht="17.35" hidden="false" customHeight="false" outlineLevel="0" collapsed="false">
      <c r="B51" s="42" t="s">
        <v>322</v>
      </c>
      <c r="C51" s="42"/>
      <c r="D51" s="42"/>
      <c r="E51" s="42"/>
      <c r="F51" s="42"/>
      <c r="G51" s="42"/>
      <c r="H51" s="42"/>
      <c r="I51" s="3"/>
      <c r="J51" s="3"/>
      <c r="K51" s="3"/>
      <c r="L51" s="3"/>
      <c r="M51" s="3"/>
      <c r="N51" s="3"/>
    </row>
    <row r="52" customFormat="false" ht="17.35" hidden="false" customHeight="false" outlineLevel="0" collapsed="false">
      <c r="B52" s="9" t="s">
        <v>5</v>
      </c>
      <c r="C52" s="9" t="s">
        <v>22</v>
      </c>
      <c r="D52" s="9" t="s">
        <v>51</v>
      </c>
      <c r="E52" s="9" t="s">
        <v>323</v>
      </c>
      <c r="F52" s="9" t="s">
        <v>53</v>
      </c>
      <c r="G52" s="9" t="s">
        <v>54</v>
      </c>
      <c r="H52" s="9" t="s">
        <v>55</v>
      </c>
      <c r="I52" s="3"/>
      <c r="J52" s="3"/>
      <c r="K52" s="3"/>
      <c r="L52" s="3"/>
      <c r="M52" s="3"/>
      <c r="N52" s="3"/>
    </row>
    <row r="53" customFormat="false" ht="17.35" hidden="false" customHeight="false" outlineLevel="0" collapsed="false">
      <c r="B53" s="46" t="n">
        <v>1</v>
      </c>
      <c r="C53" s="13" t="s">
        <v>337</v>
      </c>
      <c r="D53" s="58" t="s">
        <v>325</v>
      </c>
      <c r="E53" s="13" t="n">
        <v>1</v>
      </c>
      <c r="F53" s="20" t="n">
        <f aca="false">+E53*F32</f>
        <v>1</v>
      </c>
      <c r="G53" s="15" t="n">
        <v>40000</v>
      </c>
      <c r="H53" s="15" t="n">
        <f aca="false">+F53*G53</f>
        <v>40000</v>
      </c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46" t="n">
        <v>2</v>
      </c>
      <c r="C54" s="13" t="s">
        <v>340</v>
      </c>
      <c r="D54" s="58" t="s">
        <v>226</v>
      </c>
      <c r="E54" s="13" t="n">
        <v>1</v>
      </c>
      <c r="F54" s="20" t="n">
        <f aca="false">+E54*F32</f>
        <v>1</v>
      </c>
      <c r="G54" s="15" t="n">
        <v>35000</v>
      </c>
      <c r="H54" s="15" t="n">
        <f aca="false">+F54*G54</f>
        <v>35000</v>
      </c>
      <c r="I54" s="3"/>
      <c r="J54" s="3"/>
      <c r="K54" s="3"/>
      <c r="L54" s="3"/>
      <c r="M54" s="3"/>
      <c r="N54" s="3"/>
    </row>
    <row r="55" customFormat="false" ht="17.35" hidden="false" customHeight="false" outlineLevel="0" collapsed="false">
      <c r="B55" s="46" t="n">
        <v>3</v>
      </c>
      <c r="C55" s="142" t="s">
        <v>341</v>
      </c>
      <c r="D55" s="58" t="s">
        <v>325</v>
      </c>
      <c r="E55" s="46" t="n">
        <v>6</v>
      </c>
      <c r="F55" s="143" t="n">
        <f aca="false">+E55*F32</f>
        <v>6</v>
      </c>
      <c r="G55" s="48" t="n">
        <v>10000</v>
      </c>
      <c r="H55" s="48" t="n">
        <f aca="false">+F55*G55</f>
        <v>60000</v>
      </c>
      <c r="I55" s="3"/>
      <c r="J55" s="3"/>
      <c r="K55" s="3"/>
      <c r="L55" s="3"/>
      <c r="M55" s="3"/>
      <c r="N55" s="3"/>
    </row>
    <row r="56" customFormat="false" ht="17.35" hidden="false" customHeight="false" outlineLevel="0" collapsed="false">
      <c r="B56" s="46" t="n">
        <v>4</v>
      </c>
      <c r="C56" s="13" t="s">
        <v>292</v>
      </c>
      <c r="D56" s="58" t="s">
        <v>277</v>
      </c>
      <c r="E56" s="16" t="n">
        <f aca="false">+((I32*2)+(J32*2)+(H32*4))/1000</f>
        <v>15.78</v>
      </c>
      <c r="F56" s="16" t="n">
        <f aca="false">+E56*F32</f>
        <v>15.78</v>
      </c>
      <c r="G56" s="15" t="n">
        <v>850</v>
      </c>
      <c r="H56" s="15" t="n">
        <f aca="false">+F56*G56</f>
        <v>13413</v>
      </c>
      <c r="I56" s="3"/>
      <c r="J56" s="3"/>
      <c r="K56" s="3"/>
      <c r="L56" s="3"/>
      <c r="M56" s="3"/>
      <c r="N56" s="3"/>
    </row>
    <row r="57" customFormat="false" ht="29.85" hidden="false" customHeight="false" outlineLevel="0" collapsed="false">
      <c r="B57" s="46" t="n">
        <v>5</v>
      </c>
      <c r="C57" s="47" t="s">
        <v>328</v>
      </c>
      <c r="D57" s="58" t="s">
        <v>14</v>
      </c>
      <c r="E57" s="48"/>
      <c r="F57" s="143"/>
      <c r="G57" s="48" t="n">
        <f aca="false">85000/2.97</f>
        <v>28619.5286195286</v>
      </c>
      <c r="H57" s="48"/>
      <c r="I57" s="3"/>
      <c r="J57" s="3"/>
      <c r="K57" s="3"/>
      <c r="L57" s="3"/>
      <c r="M57" s="3"/>
      <c r="N57" s="3"/>
    </row>
    <row r="58" customFormat="false" ht="29.85" hidden="false" customHeight="false" outlineLevel="0" collapsed="false">
      <c r="B58" s="46" t="n">
        <v>6</v>
      </c>
      <c r="C58" s="142" t="s">
        <v>360</v>
      </c>
      <c r="D58" s="58" t="s">
        <v>57</v>
      </c>
      <c r="E58" s="46" t="n">
        <v>8</v>
      </c>
      <c r="F58" s="143" t="n">
        <f aca="false">+E58*F32</f>
        <v>8</v>
      </c>
      <c r="G58" s="48" t="n">
        <v>50</v>
      </c>
      <c r="H58" s="48" t="n">
        <f aca="false">+F58*G58</f>
        <v>400</v>
      </c>
      <c r="I58" s="3"/>
      <c r="J58" s="3" t="s">
        <v>252</v>
      </c>
      <c r="K58" s="3" t="s">
        <v>253</v>
      </c>
      <c r="L58" s="67" t="n">
        <v>25000</v>
      </c>
      <c r="M58" s="3"/>
      <c r="N58" s="3"/>
    </row>
    <row r="59" customFormat="false" ht="29.85" hidden="false" customHeight="false" outlineLevel="0" collapsed="false">
      <c r="B59" s="46" t="n">
        <v>7</v>
      </c>
      <c r="C59" s="142" t="s">
        <v>361</v>
      </c>
      <c r="D59" s="58" t="s">
        <v>57</v>
      </c>
      <c r="E59" s="46" t="n">
        <v>40</v>
      </c>
      <c r="F59" s="143" t="n">
        <f aca="false">+E59*F32</f>
        <v>40</v>
      </c>
      <c r="G59" s="48" t="n">
        <v>50</v>
      </c>
      <c r="H59" s="48" t="n">
        <f aca="false">+F59*G59</f>
        <v>2000</v>
      </c>
      <c r="I59" s="3"/>
      <c r="J59" s="3" t="s">
        <v>255</v>
      </c>
      <c r="K59" s="3" t="s">
        <v>256</v>
      </c>
      <c r="L59" s="67" t="n">
        <v>4000</v>
      </c>
      <c r="M59" s="3" t="s">
        <v>257</v>
      </c>
      <c r="N59" s="3"/>
    </row>
    <row r="60" customFormat="false" ht="29.85" hidden="false" customHeight="false" outlineLevel="0" collapsed="false">
      <c r="B60" s="46" t="n">
        <v>8</v>
      </c>
      <c r="C60" s="142" t="s">
        <v>362</v>
      </c>
      <c r="D60" s="58" t="s">
        <v>57</v>
      </c>
      <c r="E60" s="143" t="n">
        <v>32</v>
      </c>
      <c r="F60" s="143" t="n">
        <f aca="false">+E60*F32</f>
        <v>32</v>
      </c>
      <c r="G60" s="48" t="n">
        <v>50</v>
      </c>
      <c r="H60" s="48" t="n">
        <f aca="false">+F60*G60</f>
        <v>1600</v>
      </c>
      <c r="I60" s="3"/>
      <c r="J60" s="3" t="s">
        <v>259</v>
      </c>
      <c r="K60" s="3" t="s">
        <v>260</v>
      </c>
      <c r="L60" s="67" t="n">
        <v>110000</v>
      </c>
      <c r="M60" s="3"/>
      <c r="N60" s="3"/>
    </row>
    <row r="61" customFormat="false" ht="29.85" hidden="false" customHeight="false" outlineLevel="0" collapsed="false">
      <c r="B61" s="46" t="n">
        <v>9</v>
      </c>
      <c r="C61" s="59" t="s">
        <v>345</v>
      </c>
      <c r="D61" s="58" t="s">
        <v>62</v>
      </c>
      <c r="E61" s="153" t="n">
        <f aca="false">+(I32*2+H32*2)/1000</f>
        <v>6.66</v>
      </c>
      <c r="F61" s="60" t="n">
        <f aca="false">+E61</f>
        <v>6.66</v>
      </c>
      <c r="G61" s="61" t="n">
        <v>1000</v>
      </c>
      <c r="H61" s="48" t="n">
        <f aca="false">+F61*G61</f>
        <v>6660</v>
      </c>
      <c r="I61" s="3"/>
      <c r="J61" s="3" t="s">
        <v>262</v>
      </c>
      <c r="K61" s="3" t="s">
        <v>256</v>
      </c>
      <c r="L61" s="67" t="n">
        <v>55000</v>
      </c>
      <c r="M61" s="3" t="s">
        <v>263</v>
      </c>
      <c r="N61" s="3"/>
    </row>
    <row r="62" customFormat="false" ht="17.35" hidden="false" customHeight="false" outlineLevel="0" collapsed="false">
      <c r="B62" s="46" t="n">
        <v>10</v>
      </c>
      <c r="C62" s="13" t="s">
        <v>67</v>
      </c>
      <c r="D62" s="58" t="s">
        <v>57</v>
      </c>
      <c r="E62" s="13" t="n">
        <v>6</v>
      </c>
      <c r="F62" s="20" t="n">
        <f aca="false">+E62*F32</f>
        <v>6</v>
      </c>
      <c r="G62" s="15" t="n">
        <v>40</v>
      </c>
      <c r="H62" s="15" t="n">
        <f aca="false">+F62*G62</f>
        <v>240</v>
      </c>
      <c r="I62" s="3"/>
      <c r="J62" s="3" t="s">
        <v>67</v>
      </c>
      <c r="K62" s="3" t="s">
        <v>256</v>
      </c>
      <c r="L62" s="67" t="n">
        <v>4000</v>
      </c>
      <c r="M62" s="3" t="s">
        <v>264</v>
      </c>
      <c r="N62" s="3"/>
    </row>
    <row r="63" customFormat="false" ht="17.35" hidden="false" customHeight="false" outlineLevel="0" collapsed="false">
      <c r="B63" s="46" t="n">
        <v>11</v>
      </c>
      <c r="C63" s="13" t="s">
        <v>346</v>
      </c>
      <c r="D63" s="58" t="s">
        <v>57</v>
      </c>
      <c r="E63" s="13" t="n">
        <v>2</v>
      </c>
      <c r="F63" s="20" t="n">
        <f aca="false">+E63*F32</f>
        <v>2</v>
      </c>
      <c r="G63" s="15" t="n">
        <v>16000</v>
      </c>
      <c r="H63" s="15" t="n">
        <f aca="false">+F63*G63</f>
        <v>32000</v>
      </c>
      <c r="I63" s="3"/>
      <c r="J63" s="3" t="s">
        <v>47</v>
      </c>
      <c r="K63" s="3" t="s">
        <v>266</v>
      </c>
      <c r="L63" s="67" t="n">
        <v>110000</v>
      </c>
      <c r="M63" s="3" t="s">
        <v>267</v>
      </c>
      <c r="N63" s="3"/>
    </row>
    <row r="64" customFormat="false" ht="29.85" hidden="false" customHeight="false" outlineLevel="0" collapsed="false">
      <c r="B64" s="46" t="n">
        <v>12</v>
      </c>
      <c r="C64" s="46" t="s">
        <v>268</v>
      </c>
      <c r="D64" s="58" t="s">
        <v>14</v>
      </c>
      <c r="E64" s="47" t="s">
        <v>332</v>
      </c>
      <c r="F64" s="62" t="n">
        <f aca="false">+L32</f>
        <v>2.556</v>
      </c>
      <c r="G64" s="48" t="n">
        <v>52000</v>
      </c>
      <c r="H64" s="48" t="n">
        <f aca="false">+F64*G64</f>
        <v>132912</v>
      </c>
      <c r="I64" s="3"/>
      <c r="J64" s="3" t="s">
        <v>47</v>
      </c>
      <c r="K64" s="3" t="s">
        <v>270</v>
      </c>
      <c r="L64" s="67" t="n">
        <v>150000</v>
      </c>
      <c r="M64" s="3" t="s">
        <v>267</v>
      </c>
      <c r="N64" s="3"/>
    </row>
    <row r="65" customFormat="false" ht="29.85" hidden="false" customHeight="false" outlineLevel="0" collapsed="false">
      <c r="B65" s="3"/>
      <c r="C65" s="3"/>
      <c r="D65" s="3"/>
      <c r="E65" s="3"/>
      <c r="F65" s="3"/>
      <c r="G65" s="64" t="s">
        <v>19</v>
      </c>
      <c r="H65" s="65" t="n">
        <f aca="false">SUM(H56:H64)</f>
        <v>189225</v>
      </c>
      <c r="I65" s="3"/>
      <c r="J65" s="146" t="s">
        <v>292</v>
      </c>
      <c r="K65" s="3"/>
      <c r="L65" s="67" t="n">
        <v>150000</v>
      </c>
      <c r="M65" s="3"/>
      <c r="N65" s="3"/>
    </row>
    <row r="66" customFormat="false" ht="17.35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 t="s">
        <v>294</v>
      </c>
      <c r="K66" s="3" t="s">
        <v>295</v>
      </c>
      <c r="L66" s="3" t="n">
        <v>55000</v>
      </c>
      <c r="M66" s="3" t="s">
        <v>263</v>
      </c>
      <c r="N66" s="3"/>
    </row>
    <row r="67" customFormat="false" ht="17.35" hidden="false" customHeight="false" outlineLevel="0" collapsed="false">
      <c r="B67" s="42" t="s">
        <v>271</v>
      </c>
      <c r="C67" s="42"/>
      <c r="D67" s="42"/>
      <c r="E67" s="42"/>
      <c r="F67" s="42"/>
      <c r="G67" s="42"/>
      <c r="H67" s="42"/>
      <c r="I67" s="3"/>
      <c r="J67" s="3" t="s">
        <v>333</v>
      </c>
      <c r="K67" s="3" t="s">
        <v>334</v>
      </c>
      <c r="L67" s="3" t="n">
        <v>85000</v>
      </c>
      <c r="M67" s="3"/>
      <c r="N67" s="3"/>
    </row>
    <row r="68" customFormat="false" ht="17.35" hidden="false" customHeight="false" outlineLevel="0" collapsed="false">
      <c r="B68" s="9" t="s">
        <v>5</v>
      </c>
      <c r="C68" s="9" t="s">
        <v>22</v>
      </c>
      <c r="D68" s="9" t="s">
        <v>51</v>
      </c>
      <c r="E68" s="9" t="s">
        <v>74</v>
      </c>
      <c r="F68" s="9" t="s">
        <v>272</v>
      </c>
      <c r="G68" s="9" t="s">
        <v>54</v>
      </c>
      <c r="H68" s="9" t="s">
        <v>55</v>
      </c>
      <c r="I68" s="3"/>
      <c r="J68" s="3"/>
      <c r="K68" s="3"/>
      <c r="L68" s="3"/>
      <c r="M68" s="3"/>
      <c r="N68" s="3"/>
    </row>
    <row r="69" customFormat="false" ht="17.35" hidden="false" customHeight="false" outlineLevel="0" collapsed="false">
      <c r="B69" s="46" t="n">
        <v>1</v>
      </c>
      <c r="C69" s="46" t="s">
        <v>347</v>
      </c>
      <c r="D69" s="58" t="s">
        <v>57</v>
      </c>
      <c r="E69" s="46" t="n">
        <v>40</v>
      </c>
      <c r="F69" s="143" t="n">
        <f aca="false">+E69*F32</f>
        <v>40</v>
      </c>
      <c r="G69" s="48" t="n">
        <v>50</v>
      </c>
      <c r="H69" s="48" t="n">
        <f aca="false">+F69*G69</f>
        <v>2000</v>
      </c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46" t="n">
        <v>2</v>
      </c>
      <c r="C70" s="46" t="s">
        <v>278</v>
      </c>
      <c r="D70" s="58" t="s">
        <v>57</v>
      </c>
      <c r="E70" s="46" t="n">
        <v>8</v>
      </c>
      <c r="F70" s="143" t="n">
        <f aca="false">+E70*F32</f>
        <v>8</v>
      </c>
      <c r="G70" s="48" t="n">
        <v>50</v>
      </c>
      <c r="H70" s="48" t="n">
        <f aca="false">+F70*G70</f>
        <v>400</v>
      </c>
      <c r="I70" s="3"/>
      <c r="J70" s="3"/>
      <c r="K70" s="3"/>
      <c r="L70" s="3"/>
      <c r="M70" s="3"/>
      <c r="N70" s="3"/>
    </row>
    <row r="71" customFormat="false" ht="29.85" hidden="false" customHeight="false" outlineLevel="0" collapsed="false">
      <c r="B71" s="46" t="n">
        <v>3</v>
      </c>
      <c r="C71" s="47" t="s">
        <v>349</v>
      </c>
      <c r="D71" s="58" t="s">
        <v>62</v>
      </c>
      <c r="E71" s="62" t="n">
        <f aca="false">+(I32*2)/1000+((0.3*2)*F32)</f>
        <v>3</v>
      </c>
      <c r="F71" s="143" t="n">
        <f aca="false">+E71</f>
        <v>3</v>
      </c>
      <c r="G71" s="48" t="n">
        <v>55</v>
      </c>
      <c r="H71" s="48" t="n">
        <f aca="false">+F71*G71</f>
        <v>165</v>
      </c>
      <c r="I71" s="3"/>
      <c r="J71" s="3"/>
      <c r="K71" s="3"/>
      <c r="L71" s="3"/>
      <c r="M71" s="3"/>
      <c r="N71" s="3"/>
    </row>
    <row r="72" customFormat="false" ht="17.35" hidden="false" customHeight="false" outlineLevel="0" collapsed="false">
      <c r="B72" s="46" t="n">
        <v>4</v>
      </c>
      <c r="C72" s="46" t="s">
        <v>47</v>
      </c>
      <c r="D72" s="58" t="s">
        <v>14</v>
      </c>
      <c r="E72" s="58" t="s">
        <v>307</v>
      </c>
      <c r="F72" s="60" t="n">
        <f aca="false">+G32*D32/1000000</f>
        <v>0.36</v>
      </c>
      <c r="G72" s="69" t="n">
        <v>3700</v>
      </c>
      <c r="H72" s="48" t="n">
        <f aca="false">+F72*G72</f>
        <v>1332</v>
      </c>
      <c r="I72" s="3"/>
      <c r="J72" s="3"/>
      <c r="K72" s="3"/>
      <c r="L72" s="3"/>
      <c r="M72" s="3"/>
      <c r="N72" s="3"/>
    </row>
    <row r="73" customFormat="false" ht="19.7" hidden="false" customHeight="false" outlineLevel="0" collapsed="false">
      <c r="B73" s="72"/>
      <c r="C73" s="72"/>
      <c r="D73" s="72"/>
      <c r="E73" s="72"/>
      <c r="F73" s="72"/>
      <c r="G73" s="73" t="s">
        <v>19</v>
      </c>
      <c r="H73" s="74" t="n">
        <f aca="false">SUM(H69:H72)</f>
        <v>3897</v>
      </c>
      <c r="I73" s="3"/>
      <c r="J73" s="3"/>
      <c r="K73" s="3"/>
      <c r="L73" s="3"/>
      <c r="M73" s="3"/>
      <c r="N73" s="3"/>
    </row>
    <row r="74" customFormat="false" ht="17.35" hidden="false" customHeight="false" outlineLevel="0" collapsed="false"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B75" s="72"/>
      <c r="C75" s="72"/>
      <c r="D75" s="72"/>
      <c r="E75" s="72"/>
      <c r="F75" s="72"/>
      <c r="G75" s="3"/>
      <c r="H75" s="3"/>
      <c r="I75" s="3"/>
      <c r="J75" s="3"/>
      <c r="K75" s="3"/>
      <c r="L75" s="3"/>
      <c r="M75" s="3"/>
      <c r="N75" s="3"/>
    </row>
    <row r="76" customFormat="false" ht="24.45" hidden="false" customHeight="false" outlineLevel="0" collapsed="false">
      <c r="B76" s="75" t="s">
        <v>335</v>
      </c>
      <c r="C76" s="75"/>
      <c r="D76" s="75"/>
      <c r="E76" s="76"/>
      <c r="F76" s="75" t="s">
        <v>336</v>
      </c>
      <c r="G76" s="75"/>
      <c r="H76" s="75"/>
      <c r="I76" s="3"/>
    </row>
    <row r="77" customFormat="false" ht="37.3" hidden="false" customHeight="false" outlineLevel="0" collapsed="false">
      <c r="B77" s="77" t="s">
        <v>95</v>
      </c>
      <c r="C77" s="77" t="s">
        <v>96</v>
      </c>
      <c r="D77" s="77" t="s">
        <v>97</v>
      </c>
      <c r="E77" s="3"/>
      <c r="F77" s="77" t="s">
        <v>95</v>
      </c>
      <c r="G77" s="77" t="s">
        <v>96</v>
      </c>
      <c r="H77" s="77" t="s">
        <v>97</v>
      </c>
      <c r="I77" s="3"/>
    </row>
    <row r="78" customFormat="false" ht="22.05" hidden="false" customHeight="false" outlineLevel="0" collapsed="false">
      <c r="B78" s="78" t="n">
        <v>1</v>
      </c>
      <c r="C78" s="79" t="s">
        <v>98</v>
      </c>
      <c r="D78" s="80" t="n">
        <f aca="false">+J43*4.2</f>
        <v>211.26</v>
      </c>
      <c r="E78" s="3"/>
      <c r="F78" s="78" t="n">
        <v>1</v>
      </c>
      <c r="G78" s="79" t="s">
        <v>98</v>
      </c>
      <c r="H78" s="80" t="n">
        <f aca="false">J50*4</f>
        <v>253.2</v>
      </c>
      <c r="I78" s="3"/>
    </row>
    <row r="79" customFormat="false" ht="22.05" hidden="false" customHeight="false" outlineLevel="0" collapsed="false">
      <c r="B79" s="78" t="n">
        <v>2</v>
      </c>
      <c r="C79" s="79" t="s">
        <v>99</v>
      </c>
      <c r="D79" s="80" t="n">
        <f aca="false">+H65/3700</f>
        <v>51.1418918918919</v>
      </c>
      <c r="E79" s="3"/>
      <c r="F79" s="78" t="n">
        <v>2</v>
      </c>
      <c r="G79" s="79" t="s">
        <v>99</v>
      </c>
      <c r="H79" s="80" t="n">
        <f aca="false">+(H65+H73)/3650</f>
        <v>52.9101369863014</v>
      </c>
      <c r="I79" s="3"/>
    </row>
    <row r="80" customFormat="false" ht="22.05" hidden="false" customHeight="false" outlineLevel="0" collapsed="false">
      <c r="B80" s="78" t="n">
        <v>3</v>
      </c>
      <c r="C80" s="79" t="s">
        <v>100</v>
      </c>
      <c r="D80" s="80" t="n">
        <f aca="false">+L32*10</f>
        <v>25.56</v>
      </c>
      <c r="E80" s="3"/>
      <c r="F80" s="78" t="n">
        <v>3</v>
      </c>
      <c r="G80" s="79" t="s">
        <v>100</v>
      </c>
      <c r="H80" s="80" t="n">
        <f aca="false">+M32*15</f>
        <v>43.74</v>
      </c>
      <c r="I80" s="3"/>
    </row>
    <row r="81" customFormat="false" ht="22.05" hidden="false" customHeight="false" outlineLevel="0" collapsed="false">
      <c r="B81" s="78" t="n">
        <v>4</v>
      </c>
      <c r="C81" s="79" t="s">
        <v>101</v>
      </c>
      <c r="D81" s="80" t="n">
        <f aca="false">+L32*0</f>
        <v>0</v>
      </c>
      <c r="E81" s="3"/>
      <c r="F81" s="78" t="n">
        <v>4</v>
      </c>
      <c r="G81" s="79" t="s">
        <v>101</v>
      </c>
      <c r="H81" s="80" t="n">
        <f aca="false">+M32*0</f>
        <v>0</v>
      </c>
      <c r="I81" s="3"/>
    </row>
    <row r="82" customFormat="false" ht="22.05" hidden="false" customHeight="false" outlineLevel="0" collapsed="false">
      <c r="B82" s="3"/>
      <c r="C82" s="81" t="s">
        <v>19</v>
      </c>
      <c r="D82" s="80" t="n">
        <f aca="false">SUM(D78:D81)</f>
        <v>287.961891891892</v>
      </c>
      <c r="E82" s="3"/>
      <c r="F82" s="3"/>
      <c r="G82" s="81" t="s">
        <v>19</v>
      </c>
      <c r="H82" s="80" t="n">
        <f aca="false">SUM(H78:H81)</f>
        <v>349.850136986301</v>
      </c>
      <c r="I82" s="3"/>
    </row>
    <row r="83" customFormat="false" ht="22.05" hidden="false" customHeight="false" outlineLevel="0" collapsed="false">
      <c r="B83" s="3"/>
      <c r="C83" s="81" t="s">
        <v>102</v>
      </c>
      <c r="D83" s="82" t="n">
        <f aca="false">+D82*30%</f>
        <v>86.3885675675676</v>
      </c>
      <c r="E83" s="3"/>
      <c r="F83" s="3"/>
      <c r="G83" s="81" t="s">
        <v>102</v>
      </c>
      <c r="H83" s="82" t="n">
        <f aca="false">+H82*30%</f>
        <v>104.95504109589</v>
      </c>
      <c r="I83" s="3"/>
    </row>
    <row r="84" customFormat="false" ht="22.05" hidden="false" customHeight="false" outlineLevel="0" collapsed="false">
      <c r="B84" s="3"/>
      <c r="C84" s="83" t="s">
        <v>103</v>
      </c>
      <c r="D84" s="84" t="n">
        <f aca="false">+D82+D83</f>
        <v>374.350459459459</v>
      </c>
      <c r="E84" s="3"/>
      <c r="F84" s="3"/>
      <c r="G84" s="83" t="s">
        <v>103</v>
      </c>
      <c r="H84" s="84" t="n">
        <f aca="false">+H82+H83</f>
        <v>454.805178082192</v>
      </c>
      <c r="I84" s="3"/>
    </row>
    <row r="85" customFormat="false" ht="22.05" hidden="false" customHeight="false" outlineLevel="0" collapsed="false">
      <c r="B85" s="3"/>
      <c r="C85" s="87" t="s">
        <v>104</v>
      </c>
      <c r="D85" s="88" t="n">
        <f aca="false">+D82/L32</f>
        <v>112.661147062556</v>
      </c>
      <c r="E85" s="3"/>
      <c r="F85" s="3"/>
      <c r="G85" s="87" t="s">
        <v>104</v>
      </c>
      <c r="H85" s="88" t="n">
        <f aca="false">+H82/L32</f>
        <v>136.874075503248</v>
      </c>
      <c r="I85" s="3"/>
    </row>
    <row r="86" customFormat="false" ht="37.3" hidden="false" customHeight="false" outlineLevel="0" collapsed="false">
      <c r="B86" s="3"/>
      <c r="C86" s="89" t="s">
        <v>105</v>
      </c>
      <c r="D86" s="90" t="n">
        <f aca="false">+D84/L32</f>
        <v>146.459491181322</v>
      </c>
      <c r="E86" s="3"/>
      <c r="F86" s="3"/>
      <c r="G86" s="89" t="s">
        <v>105</v>
      </c>
      <c r="H86" s="90" t="n">
        <f aca="false">+H84/L32</f>
        <v>177.936298154222</v>
      </c>
      <c r="I86" s="3"/>
    </row>
    <row r="87" customFormat="false" ht="17.35" hidden="false" customHeight="false" outlineLevel="0" collapsed="false">
      <c r="I87" s="3"/>
    </row>
    <row r="88" customFormat="false" ht="17.35" hidden="false" customHeight="false" outlineLevel="0" collapsed="false">
      <c r="I88" s="3"/>
    </row>
    <row r="89" customFormat="false" ht="17.35" hidden="false" customHeight="false" outlineLevel="0" collapsed="false">
      <c r="I89" s="3"/>
    </row>
    <row r="90" customFormat="false" ht="17.35" hidden="false" customHeight="false" outlineLevel="0" collapsed="false">
      <c r="I90" s="3"/>
    </row>
  </sheetData>
  <mergeCells count="12">
    <mergeCell ref="B3:M3"/>
    <mergeCell ref="B32:C32"/>
    <mergeCell ref="B34:J34"/>
    <mergeCell ref="B44:M44"/>
    <mergeCell ref="K45:M45"/>
    <mergeCell ref="K46:M46"/>
    <mergeCell ref="K47:M47"/>
    <mergeCell ref="K48:M48"/>
    <mergeCell ref="B51:H51"/>
    <mergeCell ref="B67:H67"/>
    <mergeCell ref="B76:D76"/>
    <mergeCell ref="F76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8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48" activePane="bottomLeft" state="frozen"/>
      <selection pane="topLeft" activeCell="A1" activeCellId="0" sqref="A1"/>
      <selection pane="bottomLeft" activeCell="F12" activeCellId="0" sqref="F1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  <col collapsed="false" customWidth="true" hidden="false" outlineLevel="0" max="18" min="18" style="0" width="16.84"/>
    <col collapsed="false" customWidth="true" hidden="false" outlineLevel="0" max="19" min="19" style="0" width="22.33"/>
    <col collapsed="false" customWidth="true" hidden="false" outlineLevel="0" max="20" min="20" style="0" width="19.67"/>
  </cols>
  <sheetData>
    <row r="3" customFormat="false" ht="22.05" hidden="false" customHeight="false" outlineLevel="0" collapsed="false">
      <c r="B3" s="7" t="s">
        <v>231</v>
      </c>
      <c r="C3" s="7"/>
      <c r="D3" s="7"/>
      <c r="E3" s="7"/>
      <c r="F3" s="7"/>
      <c r="G3" s="7"/>
      <c r="H3" s="7"/>
      <c r="I3" s="7"/>
      <c r="J3" s="7"/>
      <c r="K3" s="7"/>
    </row>
    <row r="4" customFormat="false" ht="80" hidden="false" customHeight="true" outlineLevel="0" collapsed="false">
      <c r="B4" s="154" t="s">
        <v>5</v>
      </c>
      <c r="C4" s="154" t="s">
        <v>6</v>
      </c>
      <c r="D4" s="154" t="s">
        <v>7</v>
      </c>
      <c r="E4" s="155" t="s">
        <v>109</v>
      </c>
      <c r="F4" s="155" t="s">
        <v>10</v>
      </c>
      <c r="G4" s="155" t="s">
        <v>363</v>
      </c>
      <c r="H4" s="155" t="s">
        <v>364</v>
      </c>
      <c r="I4" s="155" t="s">
        <v>365</v>
      </c>
      <c r="J4" s="155" t="s">
        <v>366</v>
      </c>
      <c r="K4" s="155" t="s">
        <v>11</v>
      </c>
      <c r="L4" s="155" t="s">
        <v>13</v>
      </c>
      <c r="M4" s="155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1840</v>
      </c>
      <c r="E5" s="15" t="n">
        <v>3000</v>
      </c>
      <c r="F5" s="15" t="n">
        <v>1</v>
      </c>
      <c r="G5" s="15" t="n">
        <v>2</v>
      </c>
      <c r="H5" s="15" t="n">
        <v>3</v>
      </c>
      <c r="I5" s="15" t="n">
        <f aca="false">+D5*G5*F5</f>
        <v>3680</v>
      </c>
      <c r="J5" s="15" t="n">
        <f aca="false">+E5*H5*F5</f>
        <v>9000</v>
      </c>
      <c r="K5" s="15" t="n">
        <f aca="false">+D5*F5</f>
        <v>1840</v>
      </c>
      <c r="L5" s="15" t="n">
        <f aca="false">+E5*F5</f>
        <v>3000</v>
      </c>
      <c r="M5" s="16" t="n">
        <f aca="false">+D5*E5/1000000*F5</f>
        <v>5.52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1340</v>
      </c>
      <c r="E6" s="15" t="n">
        <v>3200</v>
      </c>
      <c r="F6" s="15" t="n">
        <v>1</v>
      </c>
      <c r="G6" s="15" t="n">
        <v>3</v>
      </c>
      <c r="H6" s="15" t="n">
        <v>2</v>
      </c>
      <c r="I6" s="15" t="n">
        <f aca="false">+D6*G6*F6</f>
        <v>4020</v>
      </c>
      <c r="J6" s="15" t="n">
        <f aca="false">+E6*H6*F6</f>
        <v>6400</v>
      </c>
      <c r="K6" s="15" t="n">
        <f aca="false">+D6*F6</f>
        <v>1340</v>
      </c>
      <c r="L6" s="15" t="n">
        <f aca="false">+E6*F6</f>
        <v>3200</v>
      </c>
      <c r="M6" s="16" t="n">
        <f aca="false">+D6*E6/1000000*F6</f>
        <v>4.288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2720</v>
      </c>
      <c r="E7" s="15" t="n">
        <v>2320</v>
      </c>
      <c r="F7" s="15" t="n">
        <v>1</v>
      </c>
      <c r="G7" s="15" t="n">
        <v>5</v>
      </c>
      <c r="H7" s="15" t="n">
        <v>3</v>
      </c>
      <c r="I7" s="15" t="n">
        <f aca="false">+D7*G7*F7</f>
        <v>13600</v>
      </c>
      <c r="J7" s="15" t="n">
        <f aca="false">+E7*H7*F7</f>
        <v>6960</v>
      </c>
      <c r="K7" s="15" t="n">
        <f aca="false">+D7*F7</f>
        <v>2720</v>
      </c>
      <c r="L7" s="15" t="n">
        <f aca="false">+E7*F7</f>
        <v>2320</v>
      </c>
      <c r="M7" s="16" t="n">
        <f aca="false">+D7*E7/1000000*F7</f>
        <v>6.3104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 t="n">
        <v>1440</v>
      </c>
      <c r="E8" s="15" t="n">
        <v>1580</v>
      </c>
      <c r="F8" s="15" t="n">
        <v>1</v>
      </c>
      <c r="G8" s="15" t="n">
        <v>0</v>
      </c>
      <c r="H8" s="15" t="n">
        <v>0</v>
      </c>
      <c r="I8" s="15" t="n">
        <f aca="false">+D8*G8*F8</f>
        <v>0</v>
      </c>
      <c r="J8" s="15" t="n">
        <f aca="false">+E8*H8*F8</f>
        <v>0</v>
      </c>
      <c r="K8" s="15" t="n">
        <f aca="false">+D8*F8</f>
        <v>1440</v>
      </c>
      <c r="L8" s="15" t="n">
        <f aca="false">+E8*F8</f>
        <v>1580</v>
      </c>
      <c r="M8" s="16" t="n">
        <f aca="false">+D8*E8/1000000*F8</f>
        <v>2.2752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 t="n">
        <v>1240</v>
      </c>
      <c r="E9" s="15" t="n">
        <v>1480</v>
      </c>
      <c r="F9" s="15" t="n">
        <v>1</v>
      </c>
      <c r="G9" s="15" t="n">
        <v>0</v>
      </c>
      <c r="H9" s="15" t="n">
        <v>0</v>
      </c>
      <c r="I9" s="15" t="n">
        <f aca="false">+D9*G9*F9</f>
        <v>0</v>
      </c>
      <c r="J9" s="15" t="n">
        <f aca="false">+E9*H9*F9</f>
        <v>0</v>
      </c>
      <c r="K9" s="15" t="n">
        <f aca="false">+D9*F9</f>
        <v>1240</v>
      </c>
      <c r="L9" s="15" t="n">
        <f aca="false">+E9*F9</f>
        <v>1480</v>
      </c>
      <c r="M9" s="16" t="n">
        <f aca="false">+D9*E9/1000000*F9</f>
        <v>1.8352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 t="n">
        <v>1800</v>
      </c>
      <c r="E10" s="15" t="n">
        <v>1870</v>
      </c>
      <c r="F10" s="15" t="n">
        <v>1</v>
      </c>
      <c r="G10" s="15" t="n">
        <v>0</v>
      </c>
      <c r="H10" s="15" t="n">
        <v>0</v>
      </c>
      <c r="I10" s="15" t="n">
        <f aca="false">+D10*G10*F10</f>
        <v>0</v>
      </c>
      <c r="J10" s="15" t="n">
        <f aca="false">+E10*H10*F10</f>
        <v>0</v>
      </c>
      <c r="K10" s="15" t="n">
        <f aca="false">+D10*F10</f>
        <v>1800</v>
      </c>
      <c r="L10" s="15" t="n">
        <f aca="false">+E10*F10</f>
        <v>1870</v>
      </c>
      <c r="M10" s="16" t="n">
        <f aca="false">+D10*E10/1000000*F10</f>
        <v>3.366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 t="n">
        <v>1750</v>
      </c>
      <c r="E11" s="15" t="n">
        <v>1870</v>
      </c>
      <c r="F11" s="15" t="n">
        <v>1</v>
      </c>
      <c r="G11" s="15" t="n">
        <v>0</v>
      </c>
      <c r="H11" s="15" t="n">
        <v>0</v>
      </c>
      <c r="I11" s="15" t="n">
        <f aca="false">+D11*G11*F11</f>
        <v>0</v>
      </c>
      <c r="J11" s="15" t="n">
        <f aca="false">+E11*H11*F11</f>
        <v>0</v>
      </c>
      <c r="K11" s="15" t="n">
        <f aca="false">+D11*F11</f>
        <v>1750</v>
      </c>
      <c r="L11" s="15" t="n">
        <f aca="false">+E11*F11</f>
        <v>1870</v>
      </c>
      <c r="M11" s="16" t="n">
        <f aca="false">+D11*E11/1000000*F11</f>
        <v>3.2725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 t="n">
        <v>0</v>
      </c>
      <c r="H12" s="15" t="n">
        <v>0</v>
      </c>
      <c r="I12" s="15" t="n">
        <f aca="false">+D12*G12*F12</f>
        <v>0</v>
      </c>
      <c r="J12" s="15" t="n">
        <f aca="false">+E12*H12*F12</f>
        <v>0</v>
      </c>
      <c r="K12" s="15" t="n">
        <f aca="false">+D12*F12</f>
        <v>0</v>
      </c>
      <c r="L12" s="15" t="n">
        <f aca="false">+E12*F12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 t="n">
        <v>0</v>
      </c>
      <c r="H13" s="15" t="n">
        <v>0</v>
      </c>
      <c r="I13" s="15" t="n">
        <f aca="false">+D13*G13*F13</f>
        <v>0</v>
      </c>
      <c r="J13" s="15" t="n">
        <f aca="false">+E13*H13*F13</f>
        <v>0</v>
      </c>
      <c r="K13" s="15" t="n">
        <f aca="false">+D13*F13</f>
        <v>0</v>
      </c>
      <c r="L13" s="15" t="n">
        <f aca="false">+E13*F13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 t="n">
        <v>0</v>
      </c>
      <c r="H14" s="15" t="n">
        <v>0</v>
      </c>
      <c r="I14" s="15" t="n">
        <f aca="false">+D14*G14*F14</f>
        <v>0</v>
      </c>
      <c r="J14" s="15" t="n">
        <f aca="false">+E14*H14*F14</f>
        <v>0</v>
      </c>
      <c r="K14" s="15" t="n">
        <f aca="false">+D14*F14</f>
        <v>0</v>
      </c>
      <c r="L14" s="15" t="n">
        <f aca="false">+E14*F14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 t="n">
        <v>0</v>
      </c>
      <c r="H15" s="15" t="n">
        <v>0</v>
      </c>
      <c r="I15" s="15" t="n">
        <f aca="false">+D15*G15*F15</f>
        <v>0</v>
      </c>
      <c r="J15" s="15" t="n">
        <f aca="false">+E15*H15*F15</f>
        <v>0</v>
      </c>
      <c r="K15" s="15" t="n">
        <f aca="false">+D15*F15</f>
        <v>0</v>
      </c>
      <c r="L15" s="15" t="n">
        <f aca="false">+E15*F15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 t="n">
        <v>0</v>
      </c>
      <c r="H16" s="15" t="n">
        <v>0</v>
      </c>
      <c r="I16" s="15" t="n">
        <f aca="false">+D16*G16*F16</f>
        <v>0</v>
      </c>
      <c r="J16" s="15" t="n">
        <f aca="false">+E16*H16*F16</f>
        <v>0</v>
      </c>
      <c r="K16" s="15" t="n">
        <f aca="false">+D16*F16</f>
        <v>0</v>
      </c>
      <c r="L16" s="15" t="n">
        <f aca="false">+E16*F16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 t="n">
        <v>0</v>
      </c>
      <c r="H17" s="15" t="n">
        <v>0</v>
      </c>
      <c r="I17" s="15" t="n">
        <f aca="false">+D17*G17*F17</f>
        <v>0</v>
      </c>
      <c r="J17" s="15" t="n">
        <f aca="false">+E17*H17*F17</f>
        <v>0</v>
      </c>
      <c r="K17" s="15" t="n">
        <f aca="false">+D17*F17</f>
        <v>0</v>
      </c>
      <c r="L17" s="15" t="n">
        <f aca="false">+E17*F17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/>
      <c r="H18" s="15"/>
      <c r="I18" s="15" t="n">
        <f aca="false">+D18*G18*F18</f>
        <v>0</v>
      </c>
      <c r="J18" s="15" t="n">
        <f aca="false">+E18*H18*F18</f>
        <v>0</v>
      </c>
      <c r="K18" s="15" t="n">
        <f aca="false">+D18*F18</f>
        <v>0</v>
      </c>
      <c r="L18" s="15" t="n">
        <f aca="false">+E18*F18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/>
      <c r="H19" s="15"/>
      <c r="I19" s="15" t="n">
        <f aca="false">+D19*G19*F19</f>
        <v>0</v>
      </c>
      <c r="J19" s="15" t="n">
        <f aca="false">+E19*H19*F19</f>
        <v>0</v>
      </c>
      <c r="K19" s="15" t="n">
        <f aca="false">+D19*F19</f>
        <v>0</v>
      </c>
      <c r="L19" s="15" t="n">
        <f aca="false">+E19*F19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/>
      <c r="H20" s="15"/>
      <c r="I20" s="15" t="n">
        <f aca="false">+D20*G20*F20</f>
        <v>0</v>
      </c>
      <c r="J20" s="15" t="n">
        <f aca="false">+E20*H20*F20</f>
        <v>0</v>
      </c>
      <c r="K20" s="15" t="n">
        <f aca="false">+D20*F20</f>
        <v>0</v>
      </c>
      <c r="L20" s="15" t="n">
        <f aca="false">+E20*F20</f>
        <v>0</v>
      </c>
      <c r="M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/>
      <c r="H21" s="15"/>
      <c r="I21" s="15" t="n">
        <f aca="false">+D21*G21*F21</f>
        <v>0</v>
      </c>
      <c r="J21" s="15" t="n">
        <f aca="false">+E21*H21*F21</f>
        <v>0</v>
      </c>
      <c r="K21" s="15" t="n">
        <f aca="false">+D21*F21</f>
        <v>0</v>
      </c>
      <c r="L21" s="15" t="n">
        <f aca="false">+E21*F21</f>
        <v>0</v>
      </c>
      <c r="M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/>
      <c r="H22" s="15"/>
      <c r="I22" s="15" t="n">
        <f aca="false">+D22*G22*F22</f>
        <v>0</v>
      </c>
      <c r="J22" s="15" t="n">
        <f aca="false">+E22*H22*F22</f>
        <v>0</v>
      </c>
      <c r="K22" s="15" t="n">
        <f aca="false">+D22*F22</f>
        <v>0</v>
      </c>
      <c r="L22" s="15" t="n">
        <f aca="false">+E22*F22</f>
        <v>0</v>
      </c>
      <c r="M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/>
      <c r="H23" s="15"/>
      <c r="I23" s="15" t="n">
        <f aca="false">+D23*G23*F23</f>
        <v>0</v>
      </c>
      <c r="J23" s="15" t="n">
        <f aca="false">+E23*H23*F23</f>
        <v>0</v>
      </c>
      <c r="K23" s="15" t="n">
        <f aca="false">+D23*F23</f>
        <v>0</v>
      </c>
      <c r="L23" s="15" t="n">
        <f aca="false">+E23*F23</f>
        <v>0</v>
      </c>
      <c r="M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/>
      <c r="H24" s="15"/>
      <c r="I24" s="15" t="n">
        <f aca="false">+D24*G24*F24</f>
        <v>0</v>
      </c>
      <c r="J24" s="15" t="n">
        <f aca="false">+E24*H24*F24</f>
        <v>0</v>
      </c>
      <c r="K24" s="15" t="n">
        <f aca="false">+D24*F24</f>
        <v>0</v>
      </c>
      <c r="L24" s="15" t="n">
        <f aca="false">+E24*F24</f>
        <v>0</v>
      </c>
      <c r="M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/>
      <c r="H25" s="15"/>
      <c r="I25" s="15" t="n">
        <f aca="false">+D25*G25*F25</f>
        <v>0</v>
      </c>
      <c r="J25" s="15" t="n">
        <f aca="false">+E25*H25*F25</f>
        <v>0</v>
      </c>
      <c r="K25" s="15" t="n">
        <f aca="false">+D25*F25</f>
        <v>0</v>
      </c>
      <c r="L25" s="15" t="n">
        <f aca="false">+E25*F25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/>
      <c r="H26" s="15"/>
      <c r="I26" s="15" t="n">
        <f aca="false">+D26*G26*F26</f>
        <v>0</v>
      </c>
      <c r="J26" s="15" t="n">
        <f aca="false">+E26*H26*F26</f>
        <v>0</v>
      </c>
      <c r="K26" s="15" t="n">
        <f aca="false">+D26*F26</f>
        <v>0</v>
      </c>
      <c r="L26" s="15" t="n">
        <f aca="false">+E26*F26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/>
      <c r="I27" s="15" t="n">
        <f aca="false">+D27*G27*F27</f>
        <v>0</v>
      </c>
      <c r="J27" s="15" t="n">
        <f aca="false">+E27*H27*F27</f>
        <v>0</v>
      </c>
      <c r="K27" s="15" t="n">
        <f aca="false">+D27*F27</f>
        <v>0</v>
      </c>
      <c r="L27" s="15" t="n">
        <f aca="false">+E27*F27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/>
      <c r="I28" s="15" t="n">
        <f aca="false">+D28*G28*F28</f>
        <v>0</v>
      </c>
      <c r="J28" s="15" t="n">
        <f aca="false">+E28*H28*F28</f>
        <v>0</v>
      </c>
      <c r="K28" s="15" t="n">
        <f aca="false">+D28*F28</f>
        <v>0</v>
      </c>
      <c r="L28" s="15" t="n">
        <f aca="false">+E28*F28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/>
      <c r="I29" s="15" t="n">
        <f aca="false">+D29*G29*F29</f>
        <v>0</v>
      </c>
      <c r="J29" s="15" t="n">
        <f aca="false">+E29*H29*F29</f>
        <v>0</v>
      </c>
      <c r="K29" s="15" t="n">
        <f aca="false">+D29*F29</f>
        <v>0</v>
      </c>
      <c r="L29" s="15" t="n">
        <f aca="false">+E29*F29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/>
      <c r="I30" s="15" t="n">
        <f aca="false">+D30*G30*F30</f>
        <v>0</v>
      </c>
      <c r="J30" s="15" t="n">
        <f aca="false">+E30*H30*F30</f>
        <v>0</v>
      </c>
      <c r="K30" s="15"/>
      <c r="L30" s="15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/>
      <c r="I31" s="15" t="n">
        <f aca="false">+D31*G31*F31</f>
        <v>0</v>
      </c>
      <c r="J31" s="15" t="n">
        <f aca="false">+E31*H31*F31</f>
        <v>0</v>
      </c>
      <c r="K31" s="15" t="n">
        <f aca="false">+D31*F31</f>
        <v>0</v>
      </c>
      <c r="L31" s="15" t="n">
        <f aca="false">+E31*F31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12130</v>
      </c>
      <c r="E32" s="32" t="n">
        <f aca="false">SUM(E5:E31)</f>
        <v>15320</v>
      </c>
      <c r="F32" s="32" t="n">
        <f aca="false">SUM(F5:F31)</f>
        <v>7</v>
      </c>
      <c r="G32" s="33" t="n">
        <f aca="false">SUM(G5:G31)</f>
        <v>10</v>
      </c>
      <c r="H32" s="33" t="n">
        <f aca="false">SUM(H5:H31)</f>
        <v>8</v>
      </c>
      <c r="I32" s="33" t="n">
        <f aca="false">SUM(I5:I31)</f>
        <v>21300</v>
      </c>
      <c r="J32" s="33" t="n">
        <f aca="false">SUM(J5:J31)</f>
        <v>22360</v>
      </c>
      <c r="K32" s="32" t="n">
        <f aca="false">SUM(K5:K31)</f>
        <v>12130</v>
      </c>
      <c r="L32" s="32" t="n">
        <f aca="false">SUM(L5:L31)</f>
        <v>15320</v>
      </c>
      <c r="M32" s="36" t="n">
        <f aca="false">SUM(M5:M31)</f>
        <v>26.8673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20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6011</v>
      </c>
      <c r="D36" s="13" t="s">
        <v>29</v>
      </c>
      <c r="E36" s="15" t="n">
        <f aca="false">+K32*2+L32*2</f>
        <v>54900</v>
      </c>
      <c r="F36" s="15" t="n">
        <f aca="false">E36+(E36*10%)</f>
        <v>60390</v>
      </c>
      <c r="G36" s="43" t="n">
        <f aca="false">F36/6400</f>
        <v>9.4359375</v>
      </c>
      <c r="H36" s="43" t="n">
        <f aca="false">ROUNDUP(G36,0)</f>
        <v>10</v>
      </c>
      <c r="I36" s="44" t="n">
        <v>4</v>
      </c>
      <c r="J36" s="44" t="n">
        <f aca="false">+I36*H36</f>
        <v>40</v>
      </c>
      <c r="K36" s="22"/>
      <c r="L36" s="22"/>
      <c r="M36" s="22"/>
      <c r="N36" s="22"/>
    </row>
    <row r="37" customFormat="false" ht="17.35" hidden="false" customHeight="false" outlineLevel="0" collapsed="false">
      <c r="B37" s="13" t="n">
        <v>2</v>
      </c>
      <c r="C37" s="13" t="n">
        <v>6003</v>
      </c>
      <c r="D37" s="13" t="s">
        <v>245</v>
      </c>
      <c r="E37" s="15" t="n">
        <f aca="false">+K32*2+L32*2</f>
        <v>54900</v>
      </c>
      <c r="F37" s="15" t="n">
        <f aca="false">E37+(E37*10%)</f>
        <v>60390</v>
      </c>
      <c r="G37" s="43" t="n">
        <f aca="false">F37/6400</f>
        <v>9.4359375</v>
      </c>
      <c r="H37" s="43" t="n">
        <f aca="false">ROUNDUP(G37,0)</f>
        <v>10</v>
      </c>
      <c r="I37" s="44" t="n">
        <v>1.4</v>
      </c>
      <c r="J37" s="44" t="n">
        <f aca="false">+I37*H37</f>
        <v>14</v>
      </c>
      <c r="K37" s="22"/>
      <c r="L37" s="22"/>
      <c r="M37" s="22"/>
      <c r="N37" s="22"/>
    </row>
    <row r="38" customFormat="false" ht="17.35" hidden="false" customHeight="false" outlineLevel="0" collapsed="false">
      <c r="B38" s="3"/>
      <c r="C38" s="3"/>
      <c r="D38" s="3"/>
      <c r="E38" s="3"/>
      <c r="F38" s="3"/>
      <c r="G38" s="3"/>
      <c r="H38" s="23"/>
      <c r="I38" s="51" t="s">
        <v>19</v>
      </c>
      <c r="J38" s="52" t="n">
        <f aca="false">SUM(J36:J37)</f>
        <v>54</v>
      </c>
      <c r="K38" s="22"/>
      <c r="L38" s="3"/>
      <c r="M38" s="25"/>
      <c r="N38" s="25"/>
    </row>
    <row r="39" customFormat="false" ht="17.35" hidden="false" customHeight="false" outlineLevel="0" collapsed="false">
      <c r="B39" s="9" t="s">
        <v>367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</row>
    <row r="40" customFormat="false" ht="17.35" hidden="false" customHeight="false" outlineLevel="0" collapsed="false">
      <c r="B40" s="9" t="s">
        <v>5</v>
      </c>
      <c r="C40" s="42" t="s">
        <v>21</v>
      </c>
      <c r="D40" s="42" t="s">
        <v>22</v>
      </c>
      <c r="E40" s="42" t="s">
        <v>23</v>
      </c>
      <c r="F40" s="42" t="s">
        <v>36</v>
      </c>
      <c r="G40" s="42" t="s">
        <v>25</v>
      </c>
      <c r="H40" s="42" t="s">
        <v>26</v>
      </c>
      <c r="I40" s="42" t="s">
        <v>244</v>
      </c>
      <c r="J40" s="42" t="s">
        <v>28</v>
      </c>
      <c r="K40" s="9" t="s">
        <v>38</v>
      </c>
      <c r="L40" s="9"/>
      <c r="M40" s="9"/>
      <c r="N40" s="6"/>
    </row>
    <row r="41" customFormat="false" ht="17.35" hidden="false" customHeight="false" outlineLevel="0" collapsed="false">
      <c r="B41" s="13" t="n">
        <v>1</v>
      </c>
      <c r="C41" s="13" t="n">
        <v>6013</v>
      </c>
      <c r="D41" s="13" t="s">
        <v>246</v>
      </c>
      <c r="E41" s="15" t="n">
        <f aca="false">+I32+J32</f>
        <v>43660</v>
      </c>
      <c r="F41" s="15" t="n">
        <f aca="false">E41+(E41*10%)</f>
        <v>48026</v>
      </c>
      <c r="G41" s="43" t="n">
        <f aca="false">F41/6400</f>
        <v>7.5040625</v>
      </c>
      <c r="H41" s="43" t="n">
        <f aca="false">ROUNDUP(G41,0)</f>
        <v>8</v>
      </c>
      <c r="I41" s="44" t="n">
        <v>4.5</v>
      </c>
      <c r="J41" s="44" t="n">
        <f aca="false">+H41*I41</f>
        <v>36</v>
      </c>
      <c r="K41" s="13"/>
      <c r="L41" s="13"/>
      <c r="M41" s="13"/>
      <c r="N41" s="4"/>
    </row>
    <row r="42" customFormat="false" ht="17.35" hidden="false" customHeight="false" outlineLevel="0" collapsed="false">
      <c r="B42" s="13" t="n">
        <v>3</v>
      </c>
      <c r="C42" s="13" t="n">
        <v>6003</v>
      </c>
      <c r="D42" s="13" t="s">
        <v>368</v>
      </c>
      <c r="E42" s="15" t="n">
        <f aca="false">+(I32+J32)*2</f>
        <v>87320</v>
      </c>
      <c r="F42" s="15" t="n">
        <f aca="false">E42+(E42*10%)</f>
        <v>96052</v>
      </c>
      <c r="G42" s="43" t="n">
        <f aca="false">F42/6400</f>
        <v>15.008125</v>
      </c>
      <c r="H42" s="43" t="n">
        <f aca="false">ROUNDUP(G42,0)</f>
        <v>16</v>
      </c>
      <c r="I42" s="44" t="n">
        <v>1.7</v>
      </c>
      <c r="J42" s="44" t="n">
        <f aca="false">+H42*I42</f>
        <v>27.2</v>
      </c>
      <c r="K42" s="13"/>
      <c r="L42" s="13"/>
      <c r="M42" s="13"/>
      <c r="N42" s="4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11"/>
      <c r="I43" s="57" t="s">
        <v>19</v>
      </c>
      <c r="J43" s="35" t="n">
        <f aca="false">SUM(J41:J42)</f>
        <v>63.2</v>
      </c>
      <c r="K43" s="3"/>
      <c r="L43" s="3"/>
      <c r="M43" s="3"/>
      <c r="N43" s="3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3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3"/>
    </row>
    <row r="46" customFormat="false" ht="17.35" hidden="false" customHeight="false" outlineLevel="0" collapsed="false">
      <c r="B46" s="13" t="n">
        <v>1</v>
      </c>
      <c r="C46" s="13" t="n">
        <v>6013</v>
      </c>
      <c r="D46" s="13" t="s">
        <v>246</v>
      </c>
      <c r="E46" s="15" t="n">
        <f aca="false">+K32*1</f>
        <v>12130</v>
      </c>
      <c r="F46" s="15" t="n">
        <f aca="false">E46+(E46*10%)</f>
        <v>13343</v>
      </c>
      <c r="G46" s="43" t="n">
        <f aca="false">F46/6400</f>
        <v>2.08484375</v>
      </c>
      <c r="H46" s="43" t="n">
        <f aca="false">ROUNDUP(G46,0)</f>
        <v>3</v>
      </c>
      <c r="I46" s="44" t="n">
        <v>4.5</v>
      </c>
      <c r="J46" s="44" t="n">
        <f aca="false">+H46*I46</f>
        <v>13.5</v>
      </c>
      <c r="K46" s="13"/>
      <c r="L46" s="13"/>
      <c r="M46" s="13"/>
      <c r="N46" s="3"/>
    </row>
    <row r="47" customFormat="false" ht="17.35" hidden="false" customHeight="false" outlineLevel="0" collapsed="false">
      <c r="B47" s="13" t="n">
        <v>3</v>
      </c>
      <c r="C47" s="13" t="n">
        <v>1544</v>
      </c>
      <c r="D47" s="13" t="s">
        <v>43</v>
      </c>
      <c r="E47" s="15" t="n">
        <f aca="false">+(G32*2)*F32</f>
        <v>140</v>
      </c>
      <c r="F47" s="15" t="n">
        <f aca="false">E47+(E47*10%)</f>
        <v>154</v>
      </c>
      <c r="G47" s="43" t="n">
        <f aca="false">F47/6400</f>
        <v>0.0240625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3"/>
    </row>
    <row r="48" customFormat="false" ht="17.35" hidden="false" customHeight="false" outlineLevel="0" collapsed="false">
      <c r="B48" s="13" t="n">
        <v>4</v>
      </c>
      <c r="C48" s="13" t="n">
        <v>6515</v>
      </c>
      <c r="D48" s="13" t="s">
        <v>45</v>
      </c>
      <c r="E48" s="15" t="n">
        <f aca="false">+K32*5</f>
        <v>60650</v>
      </c>
      <c r="F48" s="15" t="n">
        <f aca="false">E48+(E48*10%)</f>
        <v>66715</v>
      </c>
      <c r="G48" s="43" t="n">
        <f aca="false">F48/6400</f>
        <v>10.42421875</v>
      </c>
      <c r="H48" s="43" t="n">
        <f aca="false">ROUNDUP(G48,0)</f>
        <v>11</v>
      </c>
      <c r="I48" s="44" t="n">
        <v>1.9</v>
      </c>
      <c r="J48" s="44" t="n">
        <f aca="false">+H48*I48</f>
        <v>20.9</v>
      </c>
      <c r="K48" s="13"/>
      <c r="L48" s="13"/>
      <c r="M48" s="13"/>
      <c r="N48" s="3"/>
    </row>
    <row r="49" customFormat="false" ht="17.35" hidden="false" customHeight="false" outlineLevel="0" collapsed="false">
      <c r="B49" s="3"/>
      <c r="C49" s="3"/>
      <c r="D49" s="3"/>
      <c r="E49" s="3"/>
      <c r="F49" s="3"/>
      <c r="G49" s="3"/>
      <c r="H49" s="11"/>
      <c r="I49" s="57" t="s">
        <v>19</v>
      </c>
      <c r="J49" s="35" t="n">
        <f aca="false">SUM(J46:J48)</f>
        <v>36</v>
      </c>
      <c r="K49" s="3"/>
      <c r="L49" s="3"/>
      <c r="M49" s="3"/>
      <c r="N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3"/>
      <c r="I50" s="57" t="s">
        <v>49</v>
      </c>
      <c r="J50" s="35" t="n">
        <f aca="false">+J38+J43+J49</f>
        <v>153.2</v>
      </c>
      <c r="K50" s="3"/>
      <c r="L50" s="3"/>
      <c r="M50" s="3"/>
      <c r="N50" s="3"/>
    </row>
    <row r="51" customFormat="false" ht="17.35" hidden="false" customHeight="false" outlineLevel="0" collapsed="false">
      <c r="B51" s="42" t="s">
        <v>369</v>
      </c>
      <c r="C51" s="42"/>
      <c r="D51" s="42"/>
      <c r="E51" s="42"/>
      <c r="F51" s="42"/>
      <c r="G51" s="42"/>
      <c r="H51" s="42"/>
      <c r="I51" s="3"/>
      <c r="J51" s="3"/>
      <c r="K51" s="3"/>
      <c r="L51" s="3"/>
      <c r="M51" s="3"/>
      <c r="N51" s="3"/>
    </row>
    <row r="52" customFormat="false" ht="17.35" hidden="false" customHeight="false" outlineLevel="0" collapsed="false">
      <c r="B52" s="9" t="s">
        <v>5</v>
      </c>
      <c r="C52" s="9" t="s">
        <v>22</v>
      </c>
      <c r="D52" s="9" t="s">
        <v>51</v>
      </c>
      <c r="E52" s="9" t="s">
        <v>52</v>
      </c>
      <c r="F52" s="9" t="s">
        <v>53</v>
      </c>
      <c r="G52" s="9" t="s">
        <v>54</v>
      </c>
      <c r="H52" s="9" t="s">
        <v>55</v>
      </c>
      <c r="I52" s="3"/>
      <c r="J52" s="3"/>
      <c r="K52" s="3"/>
      <c r="L52" s="3"/>
      <c r="M52" s="3"/>
      <c r="N52" s="3"/>
    </row>
    <row r="53" customFormat="false" ht="29.85" hidden="false" customHeight="false" outlineLevel="0" collapsed="false">
      <c r="B53" s="46" t="n">
        <v>3</v>
      </c>
      <c r="C53" s="142" t="s">
        <v>360</v>
      </c>
      <c r="D53" s="58" t="s">
        <v>57</v>
      </c>
      <c r="E53" s="46" t="n">
        <v>6</v>
      </c>
      <c r="F53" s="143" t="n">
        <f aca="false">+E53*F32</f>
        <v>42</v>
      </c>
      <c r="G53" s="48" t="n">
        <v>50</v>
      </c>
      <c r="H53" s="48" t="n">
        <f aca="false">+F53*G53</f>
        <v>2100</v>
      </c>
      <c r="I53" s="3"/>
      <c r="J53" s="3"/>
      <c r="K53" s="3"/>
      <c r="L53" s="3"/>
      <c r="M53" s="3"/>
      <c r="N53" s="3"/>
    </row>
    <row r="54" customFormat="false" ht="29.85" hidden="false" customHeight="false" outlineLevel="0" collapsed="false">
      <c r="B54" s="46" t="n">
        <v>4</v>
      </c>
      <c r="C54" s="142" t="s">
        <v>370</v>
      </c>
      <c r="D54" s="58" t="s">
        <v>57</v>
      </c>
      <c r="E54" s="46" t="n">
        <v>32</v>
      </c>
      <c r="F54" s="143" t="n">
        <f aca="false">+E54*F32</f>
        <v>224</v>
      </c>
      <c r="G54" s="48" t="n">
        <v>50</v>
      </c>
      <c r="H54" s="48" t="n">
        <f aca="false">+F54*G54</f>
        <v>11200</v>
      </c>
      <c r="I54" s="3"/>
      <c r="J54" s="3"/>
      <c r="K54" s="3"/>
      <c r="L54" s="3"/>
      <c r="M54" s="3"/>
      <c r="N54" s="3"/>
    </row>
    <row r="55" customFormat="false" ht="29.85" hidden="false" customHeight="false" outlineLevel="0" collapsed="false">
      <c r="B55" s="46" t="n">
        <v>6</v>
      </c>
      <c r="C55" s="59" t="s">
        <v>345</v>
      </c>
      <c r="D55" s="58" t="s">
        <v>62</v>
      </c>
      <c r="E55" s="135" t="n">
        <f aca="false">+((K32*2)+(L32*2)+((I32+J32)*2))/1000</f>
        <v>142.22</v>
      </c>
      <c r="F55" s="143" t="n">
        <f aca="false">+E55</f>
        <v>142.22</v>
      </c>
      <c r="G55" s="61" t="n">
        <v>1000</v>
      </c>
      <c r="H55" s="48" t="n">
        <f aca="false">+F55*G55</f>
        <v>142220</v>
      </c>
      <c r="I55" s="3"/>
      <c r="J55" s="3" t="s">
        <v>252</v>
      </c>
      <c r="K55" s="3" t="s">
        <v>253</v>
      </c>
      <c r="L55" s="67" t="n">
        <v>25000</v>
      </c>
      <c r="M55" s="3"/>
      <c r="N55" s="3"/>
    </row>
    <row r="56" customFormat="false" ht="17.35" hidden="false" customHeight="false" outlineLevel="0" collapsed="false">
      <c r="B56" s="46" t="n">
        <v>8</v>
      </c>
      <c r="C56" s="13" t="s">
        <v>67</v>
      </c>
      <c r="D56" s="58" t="s">
        <v>57</v>
      </c>
      <c r="E56" s="13" t="n">
        <v>6</v>
      </c>
      <c r="F56" s="20" t="n">
        <f aca="false">+E56*F32</f>
        <v>42</v>
      </c>
      <c r="G56" s="15" t="n">
        <v>40</v>
      </c>
      <c r="H56" s="15" t="n">
        <f aca="false">+F56*G56</f>
        <v>1680</v>
      </c>
      <c r="I56" s="3"/>
      <c r="J56" s="3" t="s">
        <v>255</v>
      </c>
      <c r="K56" s="3" t="s">
        <v>256</v>
      </c>
      <c r="L56" s="67" t="n">
        <v>4000</v>
      </c>
      <c r="M56" s="3" t="s">
        <v>257</v>
      </c>
      <c r="N56" s="3"/>
    </row>
    <row r="57" customFormat="false" ht="17.35" hidden="false" customHeight="false" outlineLevel="0" collapsed="false">
      <c r="B57" s="46" t="n">
        <v>9</v>
      </c>
      <c r="C57" s="13" t="s">
        <v>346</v>
      </c>
      <c r="D57" s="58" t="s">
        <v>57</v>
      </c>
      <c r="E57" s="13" t="n">
        <v>1</v>
      </c>
      <c r="F57" s="20" t="n">
        <f aca="false">+E57*F32</f>
        <v>7</v>
      </c>
      <c r="G57" s="15" t="n">
        <v>16000</v>
      </c>
      <c r="H57" s="15" t="n">
        <f aca="false">+F57*G57</f>
        <v>112000</v>
      </c>
      <c r="I57" s="3"/>
      <c r="J57" s="3" t="s">
        <v>259</v>
      </c>
      <c r="K57" s="3" t="s">
        <v>260</v>
      </c>
      <c r="L57" s="67" t="n">
        <v>110000</v>
      </c>
      <c r="M57" s="3"/>
      <c r="N57" s="3"/>
    </row>
    <row r="58" customFormat="false" ht="29.85" hidden="false" customHeight="false" outlineLevel="0" collapsed="false">
      <c r="B58" s="46" t="n">
        <v>10</v>
      </c>
      <c r="C58" s="46" t="s">
        <v>70</v>
      </c>
      <c r="D58" s="58" t="s">
        <v>14</v>
      </c>
      <c r="E58" s="47" t="s">
        <v>269</v>
      </c>
      <c r="F58" s="62" t="n">
        <f aca="false">+M32</f>
        <v>26.8673</v>
      </c>
      <c r="G58" s="48" t="n">
        <v>52000</v>
      </c>
      <c r="H58" s="48" t="n">
        <f aca="false">+F58*G58</f>
        <v>1397099.6</v>
      </c>
      <c r="I58" s="3"/>
      <c r="J58" s="3" t="s">
        <v>262</v>
      </c>
      <c r="K58" s="3" t="s">
        <v>256</v>
      </c>
      <c r="L58" s="67" t="n">
        <v>55000</v>
      </c>
      <c r="M58" s="3" t="s">
        <v>263</v>
      </c>
      <c r="N58" s="3"/>
    </row>
    <row r="59" customFormat="false" ht="19.7" hidden="false" customHeight="false" outlineLevel="0" collapsed="false">
      <c r="B59" s="3"/>
      <c r="C59" s="3"/>
      <c r="D59" s="3"/>
      <c r="E59" s="3"/>
      <c r="F59" s="3"/>
      <c r="G59" s="144" t="s">
        <v>19</v>
      </c>
      <c r="H59" s="145" t="n">
        <f aca="false">SUM(H53:H58)</f>
        <v>1666299.6</v>
      </c>
      <c r="I59" s="3"/>
      <c r="J59" s="3" t="s">
        <v>67</v>
      </c>
      <c r="K59" s="3" t="s">
        <v>256</v>
      </c>
      <c r="L59" s="67" t="n">
        <v>4000</v>
      </c>
      <c r="M59" s="3" t="s">
        <v>264</v>
      </c>
      <c r="N59" s="3"/>
    </row>
    <row r="60" customFormat="false" ht="17.35" hidden="false" customHeight="false" outlineLevel="0" collapsed="false">
      <c r="B60" s="3"/>
      <c r="C60" s="3"/>
      <c r="D60" s="3"/>
      <c r="E60" s="3"/>
      <c r="F60" s="3"/>
      <c r="G60" s="3"/>
      <c r="H60" s="3"/>
      <c r="I60" s="3"/>
      <c r="J60" s="3" t="s">
        <v>47</v>
      </c>
      <c r="K60" s="3" t="s">
        <v>266</v>
      </c>
      <c r="L60" s="67" t="n">
        <v>110000</v>
      </c>
      <c r="M60" s="3" t="s">
        <v>267</v>
      </c>
      <c r="N60" s="3"/>
    </row>
    <row r="61" customFormat="false" ht="17.35" hidden="false" customHeight="false" outlineLevel="0" collapsed="false">
      <c r="B61" s="3"/>
      <c r="C61" s="3"/>
      <c r="D61" s="3"/>
      <c r="E61" s="3"/>
      <c r="F61" s="3"/>
      <c r="G61" s="3"/>
      <c r="H61" s="3"/>
      <c r="I61" s="3"/>
      <c r="J61" s="3" t="s">
        <v>47</v>
      </c>
      <c r="K61" s="3" t="s">
        <v>270</v>
      </c>
      <c r="L61" s="67" t="n">
        <v>150000</v>
      </c>
      <c r="M61" s="3" t="s">
        <v>267</v>
      </c>
      <c r="N61" s="3"/>
    </row>
    <row r="62" customFormat="false" ht="29.85" hidden="false" customHeight="false" outlineLevel="0" collapsed="false">
      <c r="B62" s="42" t="s">
        <v>271</v>
      </c>
      <c r="C62" s="42"/>
      <c r="D62" s="42"/>
      <c r="E62" s="42"/>
      <c r="F62" s="42"/>
      <c r="G62" s="42"/>
      <c r="H62" s="42"/>
      <c r="I62" s="3"/>
      <c r="J62" s="146" t="s">
        <v>292</v>
      </c>
      <c r="K62" s="3"/>
      <c r="L62" s="67" t="n">
        <v>170000</v>
      </c>
      <c r="M62" s="3" t="s">
        <v>293</v>
      </c>
      <c r="N62" s="3"/>
    </row>
    <row r="63" customFormat="false" ht="17.35" hidden="false" customHeight="false" outlineLevel="0" collapsed="false">
      <c r="B63" s="9" t="s">
        <v>5</v>
      </c>
      <c r="C63" s="9" t="s">
        <v>22</v>
      </c>
      <c r="D63" s="9" t="s">
        <v>51</v>
      </c>
      <c r="E63" s="9" t="s">
        <v>74</v>
      </c>
      <c r="F63" s="9" t="s">
        <v>272</v>
      </c>
      <c r="G63" s="9" t="s">
        <v>54</v>
      </c>
      <c r="H63" s="9" t="s">
        <v>55</v>
      </c>
      <c r="I63" s="3"/>
      <c r="J63" s="3" t="s">
        <v>294</v>
      </c>
      <c r="K63" s="3" t="s">
        <v>295</v>
      </c>
      <c r="L63" s="3" t="n">
        <v>55000</v>
      </c>
      <c r="M63" s="3" t="s">
        <v>263</v>
      </c>
      <c r="N63" s="3"/>
    </row>
    <row r="64" customFormat="false" ht="17.35" hidden="false" customHeight="false" outlineLevel="0" collapsed="false">
      <c r="B64" s="46" t="n">
        <v>1</v>
      </c>
      <c r="C64" s="46" t="s">
        <v>347</v>
      </c>
      <c r="D64" s="58" t="s">
        <v>57</v>
      </c>
      <c r="E64" s="46" t="n">
        <v>20</v>
      </c>
      <c r="F64" s="143" t="n">
        <f aca="false">+E64*F32</f>
        <v>140</v>
      </c>
      <c r="G64" s="48" t="n">
        <v>50</v>
      </c>
      <c r="H64" s="48" t="n">
        <f aca="false">+F64*G64</f>
        <v>7000</v>
      </c>
      <c r="I64" s="3"/>
      <c r="J64" s="3"/>
      <c r="K64" s="3"/>
      <c r="L64" s="3"/>
      <c r="M64" s="3"/>
      <c r="N64" s="3"/>
    </row>
    <row r="65" customFormat="false" ht="17.35" hidden="false" customHeight="false" outlineLevel="0" collapsed="false">
      <c r="B65" s="46" t="n">
        <v>2</v>
      </c>
      <c r="C65" s="46" t="s">
        <v>278</v>
      </c>
      <c r="D65" s="58" t="s">
        <v>57</v>
      </c>
      <c r="E65" s="46" t="n">
        <v>2</v>
      </c>
      <c r="F65" s="143" t="n">
        <f aca="false">+E65*F32</f>
        <v>14</v>
      </c>
      <c r="G65" s="48" t="n">
        <v>50</v>
      </c>
      <c r="H65" s="48" t="n">
        <f aca="false">+F65*G65</f>
        <v>700</v>
      </c>
      <c r="I65" s="3"/>
      <c r="J65" s="3"/>
      <c r="K65" s="3"/>
      <c r="L65" s="3"/>
      <c r="M65" s="3"/>
      <c r="N65" s="3"/>
    </row>
    <row r="66" customFormat="false" ht="29.85" hidden="false" customHeight="false" outlineLevel="0" collapsed="false">
      <c r="B66" s="46" t="n">
        <v>3</v>
      </c>
      <c r="C66" s="47" t="s">
        <v>349</v>
      </c>
      <c r="D66" s="58" t="s">
        <v>62</v>
      </c>
      <c r="E66" s="62" t="n">
        <f aca="false">+(K32*2)/1000+((0.3*2)*F32)</f>
        <v>28.46</v>
      </c>
      <c r="F66" s="143" t="n">
        <f aca="false">+E66</f>
        <v>28.46</v>
      </c>
      <c r="G66" s="48" t="n">
        <v>55</v>
      </c>
      <c r="H66" s="48" t="n">
        <f aca="false">+F66*G66</f>
        <v>1565.3</v>
      </c>
      <c r="I66" s="3"/>
      <c r="J66" s="3"/>
      <c r="K66" s="3"/>
      <c r="L66" s="3"/>
      <c r="M66" s="3"/>
      <c r="N66" s="3"/>
    </row>
    <row r="67" customFormat="false" ht="17.35" hidden="false" customHeight="false" outlineLevel="0" collapsed="false">
      <c r="B67" s="46" t="n">
        <v>4</v>
      </c>
      <c r="C67" s="46" t="s">
        <v>47</v>
      </c>
      <c r="D67" s="58" t="s">
        <v>14</v>
      </c>
      <c r="E67" s="58" t="s">
        <v>307</v>
      </c>
      <c r="F67" s="60" t="n">
        <f aca="false">+G32*D32/1000000</f>
        <v>0.1213</v>
      </c>
      <c r="G67" s="69" t="n">
        <v>3700</v>
      </c>
      <c r="H67" s="48" t="n">
        <f aca="false">+F67*G67</f>
        <v>448.81</v>
      </c>
      <c r="I67" s="3"/>
      <c r="J67" s="3"/>
      <c r="K67" s="3"/>
      <c r="L67" s="3"/>
      <c r="M67" s="3"/>
      <c r="N67" s="3"/>
    </row>
    <row r="68" customFormat="false" ht="19.7" hidden="false" customHeight="false" outlineLevel="0" collapsed="false">
      <c r="B68" s="72"/>
      <c r="C68" s="72"/>
      <c r="D68" s="72"/>
      <c r="E68" s="72"/>
      <c r="F68" s="72"/>
      <c r="G68" s="73" t="s">
        <v>19</v>
      </c>
      <c r="H68" s="74" t="n">
        <f aca="false">SUM(H64:H67)</f>
        <v>9714.11</v>
      </c>
      <c r="I68" s="3"/>
      <c r="J68" s="3"/>
      <c r="K68" s="3"/>
      <c r="L68" s="3"/>
      <c r="M68" s="3"/>
      <c r="N68" s="3"/>
    </row>
    <row r="69" customFormat="false" ht="17.35" hidden="false" customHeight="false" outlineLevel="0" collapsed="false"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72"/>
      <c r="C70" s="72"/>
      <c r="D70" s="72"/>
      <c r="E70" s="72"/>
      <c r="F70" s="72"/>
      <c r="G70" s="3"/>
      <c r="H70" s="3"/>
    </row>
    <row r="71" customFormat="false" ht="24.45" hidden="false" customHeight="false" outlineLevel="0" collapsed="false">
      <c r="B71" s="75" t="s">
        <v>371</v>
      </c>
      <c r="C71" s="75"/>
      <c r="D71" s="75"/>
      <c r="E71" s="76"/>
      <c r="F71" s="75" t="s">
        <v>372</v>
      </c>
      <c r="G71" s="75"/>
      <c r="H71" s="75"/>
    </row>
    <row r="72" customFormat="false" ht="37.3" hidden="false" customHeight="false" outlineLevel="0" collapsed="false">
      <c r="B72" s="77" t="s">
        <v>95</v>
      </c>
      <c r="C72" s="77" t="s">
        <v>96</v>
      </c>
      <c r="D72" s="77" t="s">
        <v>97</v>
      </c>
      <c r="E72" s="3"/>
      <c r="F72" s="77" t="s">
        <v>95</v>
      </c>
      <c r="G72" s="77" t="s">
        <v>96</v>
      </c>
      <c r="H72" s="77" t="s">
        <v>97</v>
      </c>
    </row>
    <row r="73" customFormat="false" ht="22.05" hidden="false" customHeight="false" outlineLevel="0" collapsed="false">
      <c r="B73" s="78" t="n">
        <v>1</v>
      </c>
      <c r="C73" s="79" t="s">
        <v>98</v>
      </c>
      <c r="D73" s="80" t="n">
        <f aca="false">+(J38+J43)*4.2</f>
        <v>492.24</v>
      </c>
      <c r="E73" s="3"/>
      <c r="F73" s="78" t="n">
        <v>1</v>
      </c>
      <c r="G73" s="79" t="s">
        <v>98</v>
      </c>
      <c r="H73" s="80" t="n">
        <f aca="false">(J38+J49+J43)*4</f>
        <v>612.8</v>
      </c>
    </row>
    <row r="74" customFormat="false" ht="22.05" hidden="false" customHeight="false" outlineLevel="0" collapsed="false">
      <c r="B74" s="78" t="n">
        <v>2</v>
      </c>
      <c r="C74" s="79" t="s">
        <v>99</v>
      </c>
      <c r="D74" s="80" t="n">
        <f aca="false">+H59/3650</f>
        <v>456.520438356164</v>
      </c>
      <c r="E74" s="3"/>
      <c r="F74" s="78" t="n">
        <v>2</v>
      </c>
      <c r="G74" s="79" t="s">
        <v>99</v>
      </c>
      <c r="H74" s="80" t="n">
        <f aca="false">+(H59+H68)/3650</f>
        <v>459.181838356164</v>
      </c>
    </row>
    <row r="75" customFormat="false" ht="22.05" hidden="false" customHeight="false" outlineLevel="0" collapsed="false">
      <c r="B75" s="78" t="n">
        <v>3</v>
      </c>
      <c r="C75" s="79" t="s">
        <v>100</v>
      </c>
      <c r="D75" s="80" t="n">
        <f aca="false">+M32*15</f>
        <v>403.0095</v>
      </c>
      <c r="E75" s="3"/>
      <c r="F75" s="78" t="n">
        <v>3</v>
      </c>
      <c r="G75" s="79" t="s">
        <v>100</v>
      </c>
      <c r="H75" s="80" t="n">
        <f aca="false">+M32*10</f>
        <v>268.673</v>
      </c>
    </row>
    <row r="76" customFormat="false" ht="22.05" hidden="false" customHeight="false" outlineLevel="0" collapsed="false">
      <c r="B76" s="78" t="n">
        <v>4</v>
      </c>
      <c r="C76" s="79" t="s">
        <v>101</v>
      </c>
      <c r="D76" s="80" t="n">
        <f aca="false">+M32*0</f>
        <v>0</v>
      </c>
      <c r="E76" s="3"/>
      <c r="F76" s="78" t="n">
        <v>4</v>
      </c>
      <c r="G76" s="79" t="s">
        <v>101</v>
      </c>
      <c r="H76" s="80" t="n">
        <f aca="false">+M32*0</f>
        <v>0</v>
      </c>
    </row>
    <row r="77" customFormat="false" ht="22.05" hidden="false" customHeight="false" outlineLevel="0" collapsed="false">
      <c r="B77" s="3"/>
      <c r="C77" s="81" t="s">
        <v>19</v>
      </c>
      <c r="D77" s="80" t="n">
        <f aca="false">SUM(D73:D76)</f>
        <v>1351.76993835616</v>
      </c>
      <c r="E77" s="3"/>
      <c r="F77" s="3"/>
      <c r="G77" s="81" t="s">
        <v>19</v>
      </c>
      <c r="H77" s="80" t="n">
        <f aca="false">SUM(H73:H76)</f>
        <v>1340.65483835616</v>
      </c>
    </row>
    <row r="78" customFormat="false" ht="22.05" hidden="false" customHeight="false" outlineLevel="0" collapsed="false">
      <c r="B78" s="3"/>
      <c r="C78" s="81" t="s">
        <v>102</v>
      </c>
      <c r="D78" s="82" t="n">
        <f aca="false">+D77*30%</f>
        <v>405.530981506849</v>
      </c>
      <c r="E78" s="3"/>
      <c r="F78" s="3"/>
      <c r="G78" s="81" t="s">
        <v>102</v>
      </c>
      <c r="H78" s="82" t="n">
        <f aca="false">+H77*30%</f>
        <v>402.196451506849</v>
      </c>
    </row>
    <row r="79" customFormat="false" ht="22.05" hidden="false" customHeight="false" outlineLevel="0" collapsed="false">
      <c r="B79" s="3"/>
      <c r="C79" s="83" t="s">
        <v>103</v>
      </c>
      <c r="D79" s="84" t="n">
        <f aca="false">+D77+D78</f>
        <v>1757.30091986301</v>
      </c>
      <c r="E79" s="3"/>
      <c r="F79" s="3"/>
      <c r="G79" s="83" t="s">
        <v>103</v>
      </c>
      <c r="H79" s="84" t="n">
        <f aca="false">+H77+H78</f>
        <v>1742.85128986301</v>
      </c>
    </row>
    <row r="80" customFormat="false" ht="22.05" hidden="false" customHeight="false" outlineLevel="0" collapsed="false">
      <c r="B80" s="3"/>
      <c r="C80" s="87" t="s">
        <v>104</v>
      </c>
      <c r="D80" s="88" t="n">
        <f aca="false">+D77/M32</f>
        <v>50.3128315221911</v>
      </c>
      <c r="E80" s="3"/>
      <c r="F80" s="3"/>
      <c r="G80" s="87" t="s">
        <v>104</v>
      </c>
      <c r="H80" s="88" t="n">
        <f aca="false">+H77/M32</f>
        <v>49.8991278750066</v>
      </c>
    </row>
    <row r="81" customFormat="false" ht="37.3" hidden="false" customHeight="false" outlineLevel="0" collapsed="false">
      <c r="B81" s="3"/>
      <c r="C81" s="89" t="s">
        <v>105</v>
      </c>
      <c r="D81" s="90" t="n">
        <f aca="false">+D79/M32</f>
        <v>65.4066809788484</v>
      </c>
      <c r="E81" s="3"/>
      <c r="F81" s="3"/>
      <c r="G81" s="89" t="s">
        <v>105</v>
      </c>
      <c r="H81" s="90" t="n">
        <f aca="false">+H79/M32</f>
        <v>64.8688662375086</v>
      </c>
    </row>
    <row r="84" customFormat="false" ht="17.35" hidden="false" customHeight="false" outlineLevel="0" collapsed="false">
      <c r="J84" s="67"/>
      <c r="K84" s="67"/>
      <c r="L84" s="68"/>
      <c r="M84" s="3"/>
    </row>
    <row r="85" customFormat="false" ht="17.35" hidden="false" customHeight="false" outlineLevel="0" collapsed="false">
      <c r="J85" s="67"/>
      <c r="K85" s="67"/>
      <c r="L85" s="68"/>
      <c r="M85" s="3"/>
    </row>
  </sheetData>
  <mergeCells count="16">
    <mergeCell ref="B3:K3"/>
    <mergeCell ref="B32:C32"/>
    <mergeCell ref="B34:J34"/>
    <mergeCell ref="B39:M39"/>
    <mergeCell ref="K40:M40"/>
    <mergeCell ref="K41:M41"/>
    <mergeCell ref="K42:M42"/>
    <mergeCell ref="B44:M44"/>
    <mergeCell ref="K45:M45"/>
    <mergeCell ref="K46:M46"/>
    <mergeCell ref="K47:M47"/>
    <mergeCell ref="K48:M48"/>
    <mergeCell ref="B51:H51"/>
    <mergeCell ref="B62:H62"/>
    <mergeCell ref="B71:D71"/>
    <mergeCell ref="F71:H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23" activePane="bottomLeft" state="frozen"/>
      <selection pane="topLeft" activeCell="A1" activeCellId="0" sqref="A1"/>
      <selection pane="bottomLeft" activeCell="G13" activeCellId="0" sqref="G13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3.51"/>
    <col collapsed="false" customWidth="true" hidden="false" outlineLevel="0" max="4" min="4" style="0" width="19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9.67"/>
    <col collapsed="false" customWidth="true" hidden="false" outlineLevel="0" max="9" min="9" style="0" width="15.16"/>
    <col collapsed="false" customWidth="true" hidden="false" outlineLevel="0" max="10" min="10" style="0" width="16.84"/>
    <col collapsed="false" customWidth="true" hidden="false" outlineLevel="0" max="11" min="11" style="0" width="22.33"/>
    <col collapsed="false" customWidth="true" hidden="false" outlineLevel="0" max="12" min="12" style="0" width="19.67"/>
    <col collapsed="false" customWidth="true" hidden="false" outlineLevel="0" max="13" min="13" style="0" width="15.16"/>
    <col collapsed="false" customWidth="true" hidden="false" outlineLevel="0" max="14" min="14" style="0" width="16.84"/>
    <col collapsed="false" customWidth="true" hidden="false" outlineLevel="0" max="15" min="15" style="0" width="22.33"/>
    <col collapsed="false" customWidth="true" hidden="false" outlineLevel="0" max="16" min="16" style="0" width="19.67"/>
  </cols>
  <sheetData>
    <row r="3" customFormat="false" ht="22.05" hidden="false" customHeight="false" outlineLevel="0" collapsed="false">
      <c r="B3" s="7" t="s">
        <v>373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7.3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10" t="s">
        <v>10</v>
      </c>
      <c r="G4" s="10" t="s">
        <v>232</v>
      </c>
      <c r="H4" s="10" t="s">
        <v>312</v>
      </c>
      <c r="I4" s="10" t="s">
        <v>11</v>
      </c>
      <c r="J4" s="10" t="s">
        <v>13</v>
      </c>
      <c r="K4" s="10" t="s">
        <v>239</v>
      </c>
      <c r="L4" s="10" t="s">
        <v>313</v>
      </c>
      <c r="M4" s="10" t="s">
        <v>243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870</v>
      </c>
      <c r="E5" s="15" t="n">
        <v>2440</v>
      </c>
      <c r="F5" s="15" t="n">
        <v>1</v>
      </c>
      <c r="G5" s="15" t="n">
        <v>300</v>
      </c>
      <c r="H5" s="15" t="n">
        <f aca="false">+E5-G5</f>
        <v>2140</v>
      </c>
      <c r="I5" s="15" t="n">
        <f aca="false">+D5*F5</f>
        <v>870</v>
      </c>
      <c r="J5" s="15" t="n">
        <f aca="false">+E5*F5</f>
        <v>2440</v>
      </c>
      <c r="K5" s="96" t="n">
        <f aca="false">G5*D5/1000000</f>
        <v>0.261</v>
      </c>
      <c r="L5" s="16" t="n">
        <f aca="false">+((D5*H5)/1000000)*F5</f>
        <v>1.8618</v>
      </c>
      <c r="M5" s="16" t="n">
        <f aca="false">+D5*E5/1000000*F5</f>
        <v>2.1228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770</v>
      </c>
      <c r="E6" s="15" t="n">
        <v>2450</v>
      </c>
      <c r="F6" s="15" t="n">
        <v>1</v>
      </c>
      <c r="G6" s="15" t="n">
        <v>300</v>
      </c>
      <c r="H6" s="15" t="n">
        <f aca="false">+E6-G6</f>
        <v>2150</v>
      </c>
      <c r="I6" s="15" t="n">
        <f aca="false">+D6*F6</f>
        <v>770</v>
      </c>
      <c r="J6" s="15" t="n">
        <f aca="false">+E6*F6</f>
        <v>2450</v>
      </c>
      <c r="K6" s="96" t="n">
        <f aca="false">G6*D6/1000000</f>
        <v>0.231</v>
      </c>
      <c r="L6" s="16" t="n">
        <f aca="false">+((D6*H6)/1000000)*F6</f>
        <v>1.6555</v>
      </c>
      <c r="M6" s="16" t="n">
        <f aca="false">+D6*E6/1000000*F6</f>
        <v>1.8865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900</v>
      </c>
      <c r="E7" s="15" t="n">
        <v>2440</v>
      </c>
      <c r="F7" s="15" t="n">
        <v>1</v>
      </c>
      <c r="G7" s="15" t="n">
        <v>300</v>
      </c>
      <c r="H7" s="15" t="n">
        <f aca="false">+E7-G7</f>
        <v>2140</v>
      </c>
      <c r="I7" s="15" t="n">
        <f aca="false">+D7*F7</f>
        <v>900</v>
      </c>
      <c r="J7" s="15" t="n">
        <f aca="false">+E7*F7</f>
        <v>2440</v>
      </c>
      <c r="K7" s="96" t="n">
        <f aca="false">G7*D7/1000000</f>
        <v>0.27</v>
      </c>
      <c r="L7" s="16" t="n">
        <f aca="false">+((D7*H7)/1000000)*F7</f>
        <v>1.926</v>
      </c>
      <c r="M7" s="16" t="n">
        <f aca="false">+D7*E7/1000000*F7</f>
        <v>2.196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 t="n">
        <v>970</v>
      </c>
      <c r="E8" s="15" t="n">
        <v>2380</v>
      </c>
      <c r="F8" s="15" t="n">
        <v>1</v>
      </c>
      <c r="G8" s="15" t="n">
        <v>300</v>
      </c>
      <c r="H8" s="15" t="n">
        <f aca="false">+E8-G8</f>
        <v>2080</v>
      </c>
      <c r="I8" s="15" t="n">
        <f aca="false">+D8*F8</f>
        <v>970</v>
      </c>
      <c r="J8" s="15" t="n">
        <f aca="false">+E8*F8</f>
        <v>2380</v>
      </c>
      <c r="K8" s="96" t="n">
        <f aca="false">G8*D8/1000000</f>
        <v>0.291</v>
      </c>
      <c r="L8" s="16" t="n">
        <f aca="false">+((D8*H8)/1000000)*F8</f>
        <v>2.0176</v>
      </c>
      <c r="M8" s="16" t="n">
        <f aca="false">+D8*E8/1000000*F8</f>
        <v>2.3086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5"/>
      <c r="H9" s="15" t="n">
        <f aca="false">+E9-G9</f>
        <v>0</v>
      </c>
      <c r="I9" s="15" t="n">
        <f aca="false">+D9*F9</f>
        <v>0</v>
      </c>
      <c r="J9" s="15" t="n">
        <f aca="false">+E9*F9</f>
        <v>0</v>
      </c>
      <c r="K9" s="96" t="n">
        <f aca="false">G9*D9/1000000</f>
        <v>0</v>
      </c>
      <c r="L9" s="16" t="n">
        <f aca="false">+((D9*H9)/1000000)*F9</f>
        <v>0</v>
      </c>
      <c r="M9" s="16" t="n">
        <f aca="false">+D9*E9/1000000*F9</f>
        <v>0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/>
      <c r="E10" s="15"/>
      <c r="F10" s="15"/>
      <c r="G10" s="15"/>
      <c r="H10" s="15" t="n">
        <f aca="false">+E10-G10</f>
        <v>0</v>
      </c>
      <c r="I10" s="15" t="n">
        <f aca="false">+D10*F10</f>
        <v>0</v>
      </c>
      <c r="J10" s="15" t="n">
        <f aca="false">+E10*F10</f>
        <v>0</v>
      </c>
      <c r="K10" s="96" t="n">
        <f aca="false">G10*D10/1000000</f>
        <v>0</v>
      </c>
      <c r="L10" s="16" t="n">
        <f aca="false">+((D10*H10)/1000000)*F10</f>
        <v>0</v>
      </c>
      <c r="M10" s="16" t="n">
        <f aca="false">+D10*E10/1000000*F10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/>
      <c r="E11" s="15"/>
      <c r="F11" s="15"/>
      <c r="G11" s="15"/>
      <c r="H11" s="15" t="n">
        <f aca="false">+E11-G11</f>
        <v>0</v>
      </c>
      <c r="I11" s="15" t="n">
        <f aca="false">+D11*F11</f>
        <v>0</v>
      </c>
      <c r="J11" s="15" t="n">
        <f aca="false">+E11*F11</f>
        <v>0</v>
      </c>
      <c r="K11" s="96" t="n">
        <f aca="false">G11*D11/1000000</f>
        <v>0</v>
      </c>
      <c r="L11" s="16" t="n">
        <f aca="false">+((D11*H11)/1000000)*F11</f>
        <v>0</v>
      </c>
      <c r="M11" s="16" t="n">
        <f aca="false">+D11*E11/1000000*F11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/>
      <c r="E12" s="15"/>
      <c r="F12" s="15"/>
      <c r="G12" s="15" t="n">
        <v>0</v>
      </c>
      <c r="H12" s="15" t="n">
        <f aca="false">+E12-G12</f>
        <v>0</v>
      </c>
      <c r="I12" s="15" t="n">
        <f aca="false">+D12*F12</f>
        <v>0</v>
      </c>
      <c r="J12" s="15" t="n">
        <f aca="false">+E12*F12</f>
        <v>0</v>
      </c>
      <c r="K12" s="96" t="n">
        <f aca="false">G12*D12/1000000</f>
        <v>0</v>
      </c>
      <c r="L12" s="16" t="n">
        <f aca="false">+((D12*H12)/1000000)*F12</f>
        <v>0</v>
      </c>
      <c r="M12" s="16" t="n">
        <f aca="false">+D12*E12/1000000*F12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/>
      <c r="E13" s="15"/>
      <c r="F13" s="15"/>
      <c r="G13" s="15"/>
      <c r="H13" s="15" t="n">
        <f aca="false">+E13-G13</f>
        <v>0</v>
      </c>
      <c r="I13" s="15" t="n">
        <f aca="false">+D13*F13</f>
        <v>0</v>
      </c>
      <c r="J13" s="15" t="n">
        <f aca="false">+E13*F13</f>
        <v>0</v>
      </c>
      <c r="K13" s="96" t="n">
        <f aca="false">G13*D13/1000000</f>
        <v>0</v>
      </c>
      <c r="L13" s="16" t="n">
        <f aca="false">+((D13*H13)/1000000)*F13</f>
        <v>0</v>
      </c>
      <c r="M13" s="16" t="n">
        <f aca="false">+D13*E13/1000000*F13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5"/>
      <c r="G14" s="15"/>
      <c r="H14" s="15" t="n">
        <f aca="false">+E14-G14</f>
        <v>0</v>
      </c>
      <c r="I14" s="15" t="n">
        <f aca="false">+D14*F14</f>
        <v>0</v>
      </c>
      <c r="J14" s="15" t="n">
        <f aca="false">+E14*F14</f>
        <v>0</v>
      </c>
      <c r="K14" s="96" t="n">
        <f aca="false">G14*D14/1000000</f>
        <v>0</v>
      </c>
      <c r="L14" s="16" t="n">
        <f aca="false">+((D14*H14)/1000000)*F14</f>
        <v>0</v>
      </c>
      <c r="M14" s="16" t="n">
        <f aca="false">+D14*E14/1000000*F14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5"/>
      <c r="G15" s="15"/>
      <c r="H15" s="15" t="n">
        <f aca="false">+E15-G15</f>
        <v>0</v>
      </c>
      <c r="I15" s="15" t="n">
        <f aca="false">+D15*F15</f>
        <v>0</v>
      </c>
      <c r="J15" s="15" t="n">
        <f aca="false">+E15*F15</f>
        <v>0</v>
      </c>
      <c r="K15" s="96" t="n">
        <f aca="false">G15*D15/1000000</f>
        <v>0</v>
      </c>
      <c r="L15" s="16" t="n">
        <f aca="false">+((D15*H15)/1000000)*F15</f>
        <v>0</v>
      </c>
      <c r="M15" s="16" t="n">
        <f aca="false">+D15*E15/1000000*F15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5"/>
      <c r="G16" s="15"/>
      <c r="H16" s="15" t="n">
        <f aca="false">+E16-G16</f>
        <v>0</v>
      </c>
      <c r="I16" s="15" t="n">
        <f aca="false">+D16*F16</f>
        <v>0</v>
      </c>
      <c r="J16" s="15" t="n">
        <f aca="false">+E16*F16</f>
        <v>0</v>
      </c>
      <c r="K16" s="96" t="n">
        <f aca="false">G16*D16/1000000</f>
        <v>0</v>
      </c>
      <c r="L16" s="16" t="n">
        <f aca="false">+((D16*H16)/1000000)*F16</f>
        <v>0</v>
      </c>
      <c r="M16" s="16" t="n">
        <f aca="false">+D16*E16/1000000*F16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5"/>
      <c r="G17" s="15"/>
      <c r="H17" s="15" t="n">
        <f aca="false">+E17-G17</f>
        <v>0</v>
      </c>
      <c r="I17" s="15" t="n">
        <f aca="false">+D17*F17</f>
        <v>0</v>
      </c>
      <c r="J17" s="15" t="n">
        <f aca="false">+E17*F17</f>
        <v>0</v>
      </c>
      <c r="K17" s="96" t="n">
        <f aca="false">G17*D17/1000000</f>
        <v>0</v>
      </c>
      <c r="L17" s="16" t="n">
        <f aca="false">+((D17*H17)/1000000)*F17</f>
        <v>0</v>
      </c>
      <c r="M17" s="16" t="n">
        <f aca="false">+D17*E17/1000000*F17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5"/>
      <c r="G18" s="15"/>
      <c r="H18" s="15" t="n">
        <f aca="false">+E18-G18</f>
        <v>0</v>
      </c>
      <c r="I18" s="15" t="n">
        <f aca="false">+D18*F18</f>
        <v>0</v>
      </c>
      <c r="J18" s="15" t="n">
        <f aca="false">+E18*F18</f>
        <v>0</v>
      </c>
      <c r="K18" s="96" t="n">
        <f aca="false">G18*D18/1000000</f>
        <v>0</v>
      </c>
      <c r="L18" s="16" t="n">
        <f aca="false">+((D18*H18)/1000000)*F18</f>
        <v>0</v>
      </c>
      <c r="M18" s="16" t="n">
        <f aca="false">+D18*E18/1000000*F18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5"/>
      <c r="G19" s="15"/>
      <c r="H19" s="15" t="n">
        <f aca="false">+E19-G19</f>
        <v>0</v>
      </c>
      <c r="I19" s="15" t="n">
        <f aca="false">+D19*F19</f>
        <v>0</v>
      </c>
      <c r="J19" s="15" t="n">
        <f aca="false">+E19*F19</f>
        <v>0</v>
      </c>
      <c r="K19" s="96" t="n">
        <f aca="false">G19*D19/1000000</f>
        <v>0</v>
      </c>
      <c r="L19" s="16" t="n">
        <f aca="false">+((D19*H19)/1000000)*F19</f>
        <v>0</v>
      </c>
      <c r="M19" s="16" t="n">
        <f aca="false">+D19*E19/1000000*F19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5"/>
      <c r="G20" s="15"/>
      <c r="H20" s="15" t="n">
        <f aca="false">+E20-G20</f>
        <v>0</v>
      </c>
      <c r="I20" s="15" t="n">
        <f aca="false">+D20*F20</f>
        <v>0</v>
      </c>
      <c r="J20" s="15" t="n">
        <f aca="false">+E20*F20</f>
        <v>0</v>
      </c>
      <c r="K20" s="96" t="n">
        <f aca="false">G20*D20/1000000</f>
        <v>0</v>
      </c>
      <c r="L20" s="16" t="n">
        <f aca="false">+((D20*H20)/1000000)*F20</f>
        <v>0</v>
      </c>
      <c r="M20" s="16" t="n">
        <f aca="false">+D20*E20/1000000*F20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5"/>
      <c r="G21" s="15"/>
      <c r="H21" s="15" t="n">
        <f aca="false">+E21-G21</f>
        <v>0</v>
      </c>
      <c r="I21" s="15" t="n">
        <f aca="false">+D21*F21</f>
        <v>0</v>
      </c>
      <c r="J21" s="15" t="n">
        <f aca="false">+E21*F21</f>
        <v>0</v>
      </c>
      <c r="K21" s="96" t="n">
        <f aca="false">G21*D21/1000000</f>
        <v>0</v>
      </c>
      <c r="L21" s="16" t="n">
        <f aca="false">+((D21*H21)/1000000)*F21</f>
        <v>0</v>
      </c>
      <c r="M21" s="16" t="n">
        <f aca="false">+D21*E21/1000000*F21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5"/>
      <c r="G22" s="15"/>
      <c r="H22" s="15" t="n">
        <f aca="false">+E22-G22</f>
        <v>0</v>
      </c>
      <c r="I22" s="15" t="n">
        <f aca="false">+D22*F22</f>
        <v>0</v>
      </c>
      <c r="J22" s="15" t="n">
        <f aca="false">+E22*F22</f>
        <v>0</v>
      </c>
      <c r="K22" s="96" t="n">
        <f aca="false">G22*D22/1000000</f>
        <v>0</v>
      </c>
      <c r="L22" s="16" t="n">
        <f aca="false">+((D22*H22)/1000000)*F22</f>
        <v>0</v>
      </c>
      <c r="M22" s="16" t="n">
        <f aca="false">+D22*E22/1000000*F22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5"/>
      <c r="G23" s="15"/>
      <c r="H23" s="15" t="n">
        <f aca="false">+E23-G23</f>
        <v>0</v>
      </c>
      <c r="I23" s="15" t="n">
        <f aca="false">+D23*F23</f>
        <v>0</v>
      </c>
      <c r="J23" s="15" t="n">
        <f aca="false">+E23*F23</f>
        <v>0</v>
      </c>
      <c r="K23" s="96" t="n">
        <f aca="false">G23*D23/1000000</f>
        <v>0</v>
      </c>
      <c r="L23" s="16" t="n">
        <f aca="false">+((D23*H23)/1000000)*F23</f>
        <v>0</v>
      </c>
      <c r="M23" s="16" t="n">
        <f aca="false">+D23*E23/1000000*F23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5"/>
      <c r="G24" s="15"/>
      <c r="H24" s="15" t="n">
        <f aca="false">+E24-G24</f>
        <v>0</v>
      </c>
      <c r="I24" s="15" t="n">
        <f aca="false">+D24*F24</f>
        <v>0</v>
      </c>
      <c r="J24" s="15" t="n">
        <f aca="false">+E24*F24</f>
        <v>0</v>
      </c>
      <c r="K24" s="96" t="n">
        <f aca="false">G24*D24/1000000</f>
        <v>0</v>
      </c>
      <c r="L24" s="16" t="n">
        <f aca="false">+((D24*H24)/1000000)*F24</f>
        <v>0</v>
      </c>
      <c r="M24" s="16" t="n">
        <f aca="false">+D24*E24/1000000*F24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5"/>
      <c r="G25" s="15"/>
      <c r="H25" s="15" t="n">
        <f aca="false">+E25-G25</f>
        <v>0</v>
      </c>
      <c r="I25" s="15" t="n">
        <f aca="false">+D25*F25</f>
        <v>0</v>
      </c>
      <c r="J25" s="15" t="n">
        <f aca="false">+E25*F25</f>
        <v>0</v>
      </c>
      <c r="K25" s="96" t="n">
        <f aca="false">G25*D25/1000000</f>
        <v>0</v>
      </c>
      <c r="L25" s="16" t="n">
        <f aca="false">+((D25*H25)/1000000)*F25</f>
        <v>0</v>
      </c>
      <c r="M25" s="16" t="n">
        <f aca="false">+D25*E25/1000000*F25</f>
        <v>0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5"/>
      <c r="G26" s="15"/>
      <c r="H26" s="15" t="n">
        <f aca="false">+E26-G26</f>
        <v>0</v>
      </c>
      <c r="I26" s="15" t="n">
        <f aca="false">+D26*F26</f>
        <v>0</v>
      </c>
      <c r="J26" s="15" t="n">
        <f aca="false">+E26*F26</f>
        <v>0</v>
      </c>
      <c r="K26" s="96" t="n">
        <f aca="false">G26*D26/1000000</f>
        <v>0</v>
      </c>
      <c r="L26" s="16" t="n">
        <f aca="false">+((D26*H26)/1000000)*F26</f>
        <v>0</v>
      </c>
      <c r="M26" s="16" t="n">
        <f aca="false">+D26*E26/1000000*F26</f>
        <v>0</v>
      </c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5"/>
      <c r="G27" s="15"/>
      <c r="H27" s="15" t="n">
        <f aca="false">+E27-G27</f>
        <v>0</v>
      </c>
      <c r="I27" s="15" t="n">
        <f aca="false">+D27*F27</f>
        <v>0</v>
      </c>
      <c r="J27" s="15" t="n">
        <f aca="false">+E27*F27</f>
        <v>0</v>
      </c>
      <c r="K27" s="96" t="n">
        <f aca="false">G27*D27/1000000</f>
        <v>0</v>
      </c>
      <c r="L27" s="16" t="n">
        <f aca="false">+((D27*H27)/1000000)*F27</f>
        <v>0</v>
      </c>
      <c r="M27" s="16" t="n">
        <f aca="false">+D27*E27/1000000*F27</f>
        <v>0</v>
      </c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5"/>
      <c r="G28" s="15"/>
      <c r="H28" s="15" t="n">
        <f aca="false">+E28-G28</f>
        <v>0</v>
      </c>
      <c r="I28" s="15" t="n">
        <f aca="false">+D28*F28</f>
        <v>0</v>
      </c>
      <c r="J28" s="15" t="n">
        <f aca="false">+E28*F28</f>
        <v>0</v>
      </c>
      <c r="K28" s="96" t="n">
        <f aca="false">G28*D28/1000000</f>
        <v>0</v>
      </c>
      <c r="L28" s="16" t="n">
        <f aca="false">+((D28*H28)/1000000)*F28</f>
        <v>0</v>
      </c>
      <c r="M28" s="16" t="n">
        <f aca="false">+D28*E28/1000000*F28</f>
        <v>0</v>
      </c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5"/>
      <c r="G29" s="15"/>
      <c r="H29" s="15" t="n">
        <f aca="false">+E29-G29</f>
        <v>0</v>
      </c>
      <c r="I29" s="15" t="n">
        <f aca="false">+D29*F29</f>
        <v>0</v>
      </c>
      <c r="J29" s="15" t="n">
        <f aca="false">+E29*F29</f>
        <v>0</v>
      </c>
      <c r="K29" s="96" t="n">
        <f aca="false">G29*D29/1000000</f>
        <v>0</v>
      </c>
      <c r="L29" s="16" t="n">
        <f aca="false">+((D29*H29)/1000000)*F29</f>
        <v>0</v>
      </c>
      <c r="M29" s="16" t="n">
        <f aca="false">+D29*E29/1000000*F29</f>
        <v>0</v>
      </c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5"/>
      <c r="G30" s="15"/>
      <c r="H30" s="15" t="n">
        <f aca="false">+E30-G30</f>
        <v>0</v>
      </c>
      <c r="I30" s="15"/>
      <c r="J30" s="15"/>
      <c r="K30" s="96" t="n">
        <f aca="false">G30*D30/1000000</f>
        <v>0</v>
      </c>
      <c r="L30" s="16"/>
      <c r="M30" s="16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5"/>
      <c r="G31" s="15"/>
      <c r="H31" s="15" t="n">
        <f aca="false">+E31-G31</f>
        <v>0</v>
      </c>
      <c r="I31" s="15" t="n">
        <f aca="false">+D31*F31</f>
        <v>0</v>
      </c>
      <c r="J31" s="15" t="n">
        <f aca="false">+E31*F31</f>
        <v>0</v>
      </c>
      <c r="K31" s="96" t="n">
        <f aca="false">G31*D31/1000000</f>
        <v>0</v>
      </c>
      <c r="L31" s="16" t="n">
        <f aca="false">+((D31*H31)/1000000)*F31</f>
        <v>0</v>
      </c>
      <c r="M31" s="16" t="n">
        <f aca="false">+D31*E31/1000000*F31</f>
        <v>0</v>
      </c>
    </row>
    <row r="32" customFormat="false" ht="17.35" hidden="false" customHeight="false" outlineLevel="0" collapsed="false">
      <c r="B32" s="31" t="s">
        <v>19</v>
      </c>
      <c r="C32" s="31"/>
      <c r="D32" s="32" t="n">
        <f aca="false">SUM(D5:D31)</f>
        <v>3510</v>
      </c>
      <c r="E32" s="32" t="n">
        <f aca="false">SUM(E5:E31)</f>
        <v>9710</v>
      </c>
      <c r="F32" s="32" t="n">
        <f aca="false">SUM(F5:F31)</f>
        <v>4</v>
      </c>
      <c r="G32" s="33" t="n">
        <f aca="false">SUM(G5:G31)</f>
        <v>1200</v>
      </c>
      <c r="H32" s="32" t="n">
        <f aca="false">SUM(H5:H31)</f>
        <v>8510</v>
      </c>
      <c r="I32" s="32" t="n">
        <f aca="false">SUM(I5:I31)</f>
        <v>3510</v>
      </c>
      <c r="J32" s="32" t="n">
        <f aca="false">SUM(J5:J31)</f>
        <v>9710</v>
      </c>
      <c r="K32" s="35" t="n">
        <f aca="false">SUM(K5:K31)</f>
        <v>1.053</v>
      </c>
      <c r="L32" s="35" t="n">
        <f aca="false">SUM(L5:L31)</f>
        <v>7.4609</v>
      </c>
      <c r="M32" s="36" t="n">
        <f aca="false">SUM(M5:M31)</f>
        <v>8.5139</v>
      </c>
    </row>
    <row r="33" customFormat="false" ht="17.35" hidden="false" customHeight="false" outlineLevel="0" collapsed="false">
      <c r="B33" s="4"/>
      <c r="C33" s="4"/>
      <c r="D33" s="4"/>
      <c r="E33" s="38"/>
      <c r="F33" s="39"/>
      <c r="G33" s="39"/>
      <c r="H33" s="4"/>
      <c r="I33" s="12"/>
      <c r="J33" s="12"/>
      <c r="K33" s="12"/>
      <c r="L33" s="3"/>
      <c r="M33" s="3"/>
      <c r="N33" s="3"/>
    </row>
    <row r="34" customFormat="false" ht="17.35" hidden="false" customHeight="false" outlineLevel="0" collapsed="false">
      <c r="B34" s="40" t="s">
        <v>314</v>
      </c>
      <c r="C34" s="40"/>
      <c r="D34" s="40"/>
      <c r="E34" s="40"/>
      <c r="F34" s="40"/>
      <c r="G34" s="40"/>
      <c r="H34" s="40"/>
      <c r="I34" s="40"/>
      <c r="J34" s="40"/>
      <c r="K34" s="22"/>
      <c r="L34" s="3"/>
      <c r="M34" s="3"/>
      <c r="N34" s="3"/>
    </row>
    <row r="35" customFormat="false" ht="17.35" hidden="false" customHeight="false" outlineLevel="0" collapsed="false"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24</v>
      </c>
      <c r="G35" s="42" t="s">
        <v>25</v>
      </c>
      <c r="H35" s="42" t="s">
        <v>26</v>
      </c>
      <c r="I35" s="42" t="s">
        <v>244</v>
      </c>
      <c r="J35" s="42" t="s">
        <v>28</v>
      </c>
      <c r="K35" s="22"/>
      <c r="L35" s="22"/>
      <c r="M35" s="22"/>
      <c r="N35" s="22"/>
    </row>
    <row r="36" customFormat="false" ht="17.35" hidden="false" customHeight="false" outlineLevel="0" collapsed="false">
      <c r="B36" s="13" t="n">
        <v>1</v>
      </c>
      <c r="C36" s="13" t="n">
        <v>6001</v>
      </c>
      <c r="D36" s="13" t="s">
        <v>351</v>
      </c>
      <c r="E36" s="15" t="n">
        <f aca="false">+I32*1+J32*2</f>
        <v>22930</v>
      </c>
      <c r="F36" s="15" t="n">
        <f aca="false">E36+(E36*10%)</f>
        <v>25223</v>
      </c>
      <c r="G36" s="43" t="n">
        <f aca="false">F36/6400</f>
        <v>3.94109375</v>
      </c>
      <c r="H36" s="43" t="n">
        <f aca="false">ROUNDUP(G36,0)</f>
        <v>4</v>
      </c>
      <c r="I36" s="44" t="n">
        <v>11</v>
      </c>
      <c r="J36" s="44" t="n">
        <f aca="false">+I36*H36</f>
        <v>44</v>
      </c>
      <c r="K36" s="22"/>
      <c r="L36" s="22"/>
      <c r="M36" s="22"/>
      <c r="N36" s="22"/>
    </row>
    <row r="37" customFormat="false" ht="29.85" hidden="false" customHeight="false" outlineLevel="0" collapsed="false">
      <c r="B37" s="46" t="n">
        <v>2</v>
      </c>
      <c r="C37" s="46" t="n">
        <v>6005</v>
      </c>
      <c r="D37" s="47" t="s">
        <v>352</v>
      </c>
      <c r="E37" s="48" t="n">
        <f aca="false">+I32*1+H32*2</f>
        <v>20530</v>
      </c>
      <c r="F37" s="48" t="n">
        <f aca="false">E37+(E37*10%)</f>
        <v>22583</v>
      </c>
      <c r="G37" s="49" t="n">
        <f aca="false">F37/6400</f>
        <v>3.52859375</v>
      </c>
      <c r="H37" s="49" t="n">
        <f aca="false">ROUNDUP(G37,0)</f>
        <v>4</v>
      </c>
      <c r="I37" s="50" t="n">
        <v>5.8</v>
      </c>
      <c r="J37" s="50" t="n">
        <f aca="false">+I37*H37</f>
        <v>23.2</v>
      </c>
      <c r="K37" s="22"/>
      <c r="L37" s="22"/>
      <c r="M37" s="22"/>
      <c r="N37" s="22"/>
    </row>
    <row r="38" customFormat="false" ht="17.35" hidden="false" customHeight="false" outlineLevel="0" collapsed="false">
      <c r="B38" s="13" t="n">
        <v>3</v>
      </c>
      <c r="C38" s="13" t="n">
        <v>6023</v>
      </c>
      <c r="D38" s="13" t="s">
        <v>318</v>
      </c>
      <c r="E38" s="15" t="n">
        <f aca="false">+I32*1</f>
        <v>3510</v>
      </c>
      <c r="F38" s="15" t="n">
        <f aca="false">E38+(E38*10%)</f>
        <v>3861</v>
      </c>
      <c r="G38" s="43" t="n">
        <f aca="false">F38/6400</f>
        <v>0.60328125</v>
      </c>
      <c r="H38" s="43" t="n">
        <f aca="false">ROUNDUP(G38,0)</f>
        <v>1</v>
      </c>
      <c r="I38" s="44" t="n">
        <v>9.1</v>
      </c>
      <c r="J38" s="44" t="n">
        <f aca="false">+I38*H38</f>
        <v>9.1</v>
      </c>
      <c r="K38" s="22"/>
      <c r="L38" s="22"/>
      <c r="M38" s="22"/>
      <c r="N38" s="22"/>
    </row>
    <row r="39" customFormat="false" ht="17.35" hidden="false" customHeight="false" outlineLevel="0" collapsed="false">
      <c r="B39" s="46" t="n">
        <v>4</v>
      </c>
      <c r="C39" s="13" t="n">
        <v>6021</v>
      </c>
      <c r="D39" s="13" t="s">
        <v>319</v>
      </c>
      <c r="E39" s="15" t="n">
        <f aca="false">+I32*1</f>
        <v>3510</v>
      </c>
      <c r="F39" s="15" t="n">
        <f aca="false">E39+(E39*10%)</f>
        <v>3861</v>
      </c>
      <c r="G39" s="43" t="n">
        <f aca="false">F39/6400</f>
        <v>0.60328125</v>
      </c>
      <c r="H39" s="43" t="n">
        <f aca="false">ROUNDUP(G39,0)</f>
        <v>1</v>
      </c>
      <c r="I39" s="44" t="n">
        <v>7.3</v>
      </c>
      <c r="J39" s="44" t="n">
        <f aca="false">+I39*H39</f>
        <v>7.3</v>
      </c>
      <c r="K39" s="22"/>
      <c r="L39" s="22"/>
      <c r="M39" s="22"/>
      <c r="N39" s="22"/>
    </row>
    <row r="40" customFormat="false" ht="17.35" hidden="false" customHeight="false" outlineLevel="0" collapsed="false">
      <c r="B40" s="13" t="n">
        <v>5</v>
      </c>
      <c r="C40" s="13" t="n">
        <v>6003</v>
      </c>
      <c r="D40" s="13" t="s">
        <v>320</v>
      </c>
      <c r="E40" s="15" t="n">
        <f aca="false">+I32*4+H32*2</f>
        <v>31060</v>
      </c>
      <c r="F40" s="15" t="n">
        <f aca="false">E40+(E40*10%)</f>
        <v>34166</v>
      </c>
      <c r="G40" s="43" t="n">
        <f aca="false">F40/6400</f>
        <v>5.3384375</v>
      </c>
      <c r="H40" s="43" t="n">
        <f aca="false">ROUNDUP(G40,0)</f>
        <v>6</v>
      </c>
      <c r="I40" s="44" t="n">
        <v>1.4</v>
      </c>
      <c r="J40" s="44" t="n">
        <f aca="false">+I40*H40</f>
        <v>8.4</v>
      </c>
      <c r="K40" s="22"/>
      <c r="L40" s="22"/>
      <c r="M40" s="22"/>
      <c r="N40" s="22"/>
    </row>
    <row r="41" customFormat="false" ht="17.35" hidden="false" customHeight="false" outlineLevel="0" collapsed="false">
      <c r="B41" s="13"/>
      <c r="C41" s="13" t="n">
        <v>6509</v>
      </c>
      <c r="D41" s="13" t="s">
        <v>353</v>
      </c>
      <c r="E41" s="15" t="n">
        <f aca="false">+(I32/123)*(H32/2)</f>
        <v>121423.170731707</v>
      </c>
      <c r="F41" s="15" t="n">
        <f aca="false">E41+(E41*10%)</f>
        <v>133565.487804878</v>
      </c>
      <c r="G41" s="43" t="n">
        <f aca="false">F41/6400</f>
        <v>20.8696074695122</v>
      </c>
      <c r="H41" s="43" t="n">
        <f aca="false">ROUNDUP(G41,0)</f>
        <v>21</v>
      </c>
      <c r="I41" s="44" t="n">
        <v>0</v>
      </c>
      <c r="J41" s="44" t="n">
        <f aca="false">+I41*H41</f>
        <v>0</v>
      </c>
      <c r="K41" s="22"/>
      <c r="L41" s="22"/>
      <c r="M41" s="22"/>
      <c r="N41" s="22"/>
    </row>
    <row r="42" customFormat="false" ht="17.35" hidden="false" customHeight="false" outlineLevel="0" collapsed="false">
      <c r="B42" s="46" t="n">
        <v>6</v>
      </c>
      <c r="C42" s="13" t="n">
        <v>1338</v>
      </c>
      <c r="D42" s="13" t="s">
        <v>34</v>
      </c>
      <c r="E42" s="15" t="n">
        <f aca="false">(60*2)+(25*4)</f>
        <v>220</v>
      </c>
      <c r="F42" s="15" t="n">
        <f aca="false">E42+(E42*10%)</f>
        <v>242</v>
      </c>
      <c r="G42" s="43" t="n">
        <f aca="false">F42/6400</f>
        <v>0.0378125</v>
      </c>
      <c r="H42" s="43" t="n">
        <f aca="false">ROUNDUP(G42,0)</f>
        <v>1</v>
      </c>
      <c r="I42" s="44" t="n">
        <v>3.3</v>
      </c>
      <c r="J42" s="44" t="n">
        <f aca="false">+H42*I42</f>
        <v>3.3</v>
      </c>
      <c r="K42" s="22"/>
      <c r="L42" s="22"/>
      <c r="M42" s="22"/>
      <c r="N42" s="22"/>
    </row>
    <row r="43" customFormat="false" ht="17.35" hidden="false" customHeight="false" outlineLevel="0" collapsed="false">
      <c r="B43" s="3"/>
      <c r="C43" s="3"/>
      <c r="D43" s="3"/>
      <c r="E43" s="3"/>
      <c r="F43" s="3"/>
      <c r="G43" s="3"/>
      <c r="H43" s="23"/>
      <c r="I43" s="51" t="s">
        <v>19</v>
      </c>
      <c r="J43" s="52" t="n">
        <f aca="false">SUM(J36:J42)</f>
        <v>95.3</v>
      </c>
      <c r="K43" s="22"/>
      <c r="L43" s="3"/>
      <c r="M43" s="25"/>
      <c r="N43" s="25"/>
    </row>
    <row r="44" customFormat="false" ht="17.35" hidden="false" customHeight="false" outlineLevel="0" collapsed="false">
      <c r="B44" s="9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</row>
    <row r="45" customFormat="false" ht="17.35" hidden="false" customHeight="false" outlineLevel="0" collapsed="false">
      <c r="B45" s="9" t="s">
        <v>5</v>
      </c>
      <c r="C45" s="42" t="s">
        <v>21</v>
      </c>
      <c r="D45" s="42" t="s">
        <v>22</v>
      </c>
      <c r="E45" s="42" t="s">
        <v>23</v>
      </c>
      <c r="F45" s="42" t="s">
        <v>36</v>
      </c>
      <c r="G45" s="42" t="s">
        <v>25</v>
      </c>
      <c r="H45" s="42" t="s">
        <v>26</v>
      </c>
      <c r="I45" s="42" t="s">
        <v>244</v>
      </c>
      <c r="J45" s="42" t="s">
        <v>28</v>
      </c>
      <c r="K45" s="9" t="s">
        <v>38</v>
      </c>
      <c r="L45" s="9"/>
      <c r="M45" s="9"/>
      <c r="N45" s="6"/>
    </row>
    <row r="46" customFormat="false" ht="17.35" hidden="false" customHeight="false" outlineLevel="0" collapsed="false">
      <c r="B46" s="47" t="n">
        <v>1</v>
      </c>
      <c r="C46" s="47" t="n">
        <v>6015</v>
      </c>
      <c r="D46" s="47" t="s">
        <v>246</v>
      </c>
      <c r="E46" s="150" t="n">
        <f aca="false">+I32*1</f>
        <v>3510</v>
      </c>
      <c r="F46" s="150" t="n">
        <f aca="false">E46+(E46*10%)</f>
        <v>3861</v>
      </c>
      <c r="G46" s="151" t="n">
        <f aca="false">F46/6400</f>
        <v>0.60328125</v>
      </c>
      <c r="H46" s="151" t="n">
        <f aca="false">ROUNDUP(G46,0)</f>
        <v>1</v>
      </c>
      <c r="I46" s="152" t="n">
        <v>7.6</v>
      </c>
      <c r="J46" s="152" t="n">
        <f aca="false">+H46*I46</f>
        <v>7.6</v>
      </c>
      <c r="K46" s="47"/>
      <c r="L46" s="47"/>
      <c r="M46" s="47"/>
      <c r="N46" s="4"/>
    </row>
    <row r="47" customFormat="false" ht="17.35" hidden="false" customHeight="false" outlineLevel="0" collapsed="false">
      <c r="B47" s="13" t="n">
        <v>2</v>
      </c>
      <c r="C47" s="13" t="n">
        <v>1544</v>
      </c>
      <c r="D47" s="13" t="s">
        <v>43</v>
      </c>
      <c r="E47" s="15" t="n">
        <f aca="false">+(300*2)*F32</f>
        <v>2400</v>
      </c>
      <c r="F47" s="15" t="n">
        <f aca="false">E47+(E47*10%)</f>
        <v>2640</v>
      </c>
      <c r="G47" s="43" t="n">
        <f aca="false">F47/6400</f>
        <v>0.4125</v>
      </c>
      <c r="H47" s="43" t="n">
        <f aca="false">ROUNDUP(G47,0)</f>
        <v>1</v>
      </c>
      <c r="I47" s="44" t="n">
        <v>1.6</v>
      </c>
      <c r="J47" s="44" t="n">
        <f aca="false">+H47*I47</f>
        <v>1.6</v>
      </c>
      <c r="K47" s="13"/>
      <c r="L47" s="13"/>
      <c r="M47" s="13"/>
      <c r="N47" s="4"/>
    </row>
    <row r="48" customFormat="false" ht="17.35" hidden="false" customHeight="false" outlineLevel="0" collapsed="false">
      <c r="B48" s="13" t="n">
        <v>3</v>
      </c>
      <c r="C48" s="13" t="n">
        <v>6515</v>
      </c>
      <c r="D48" s="13" t="s">
        <v>45</v>
      </c>
      <c r="E48" s="15" t="n">
        <f aca="false">+I32*5</f>
        <v>17550</v>
      </c>
      <c r="F48" s="15" t="n">
        <f aca="false">E48+(E48*10%)</f>
        <v>19305</v>
      </c>
      <c r="G48" s="43" t="n">
        <f aca="false">F48/6400</f>
        <v>3.01640625</v>
      </c>
      <c r="H48" s="43" t="n">
        <f aca="false">ROUNDUP(G48,0)</f>
        <v>4</v>
      </c>
      <c r="I48" s="44" t="n">
        <v>1.9</v>
      </c>
      <c r="J48" s="44" t="n">
        <f aca="false">+H48*I48</f>
        <v>7.6</v>
      </c>
      <c r="K48" s="13"/>
      <c r="L48" s="13"/>
      <c r="M48" s="13"/>
      <c r="N48" s="4"/>
    </row>
    <row r="49" customFormat="false" ht="17.35" hidden="false" customHeight="false" outlineLevel="0" collapsed="false">
      <c r="B49" s="3"/>
      <c r="C49" s="3"/>
      <c r="D49" s="3"/>
      <c r="E49" s="3"/>
      <c r="F49" s="3"/>
      <c r="G49" s="3"/>
      <c r="H49" s="11"/>
      <c r="I49" s="57" t="s">
        <v>19</v>
      </c>
      <c r="J49" s="35" t="n">
        <f aca="false">SUM(J46:J48)</f>
        <v>16.8</v>
      </c>
      <c r="K49" s="3"/>
      <c r="L49" s="3"/>
      <c r="M49" s="3"/>
      <c r="N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11"/>
      <c r="I50" s="57" t="s">
        <v>49</v>
      </c>
      <c r="J50" s="35" t="n">
        <f aca="false">+J43+J49</f>
        <v>112.1</v>
      </c>
      <c r="K50" s="3"/>
      <c r="L50" s="3"/>
      <c r="M50" s="3"/>
      <c r="N50" s="3"/>
    </row>
    <row r="51" customFormat="false" ht="17.35" hidden="false" customHeight="false" outlineLevel="0" collapsed="false">
      <c r="B51" s="42" t="s">
        <v>322</v>
      </c>
      <c r="C51" s="42"/>
      <c r="D51" s="42"/>
      <c r="E51" s="42"/>
      <c r="F51" s="42"/>
      <c r="G51" s="42"/>
      <c r="H51" s="42"/>
      <c r="I51" s="3"/>
      <c r="J51" s="3"/>
      <c r="K51" s="3"/>
      <c r="L51" s="3"/>
      <c r="M51" s="3"/>
      <c r="N51" s="3"/>
    </row>
    <row r="52" customFormat="false" ht="17.35" hidden="false" customHeight="false" outlineLevel="0" collapsed="false">
      <c r="B52" s="9" t="s">
        <v>5</v>
      </c>
      <c r="C52" s="9" t="s">
        <v>22</v>
      </c>
      <c r="D52" s="9" t="s">
        <v>51</v>
      </c>
      <c r="E52" s="9" t="s">
        <v>323</v>
      </c>
      <c r="F52" s="9" t="s">
        <v>53</v>
      </c>
      <c r="G52" s="9" t="s">
        <v>54</v>
      </c>
      <c r="H52" s="9" t="s">
        <v>55</v>
      </c>
      <c r="I52" s="3"/>
      <c r="J52" s="3"/>
      <c r="K52" s="3"/>
      <c r="L52" s="3"/>
      <c r="M52" s="3"/>
      <c r="N52" s="3"/>
    </row>
    <row r="53" customFormat="false" ht="17.35" hidden="false" customHeight="false" outlineLevel="0" collapsed="false">
      <c r="B53" s="46" t="n">
        <v>1</v>
      </c>
      <c r="C53" s="13" t="s">
        <v>337</v>
      </c>
      <c r="D53" s="58" t="s">
        <v>325</v>
      </c>
      <c r="E53" s="13" t="n">
        <v>1</v>
      </c>
      <c r="F53" s="20" t="n">
        <f aca="false">+E53*F32</f>
        <v>4</v>
      </c>
      <c r="G53" s="15" t="n">
        <v>40000</v>
      </c>
      <c r="H53" s="15" t="n">
        <f aca="false">+F53*G53</f>
        <v>160000</v>
      </c>
      <c r="I53" s="3"/>
      <c r="J53" s="3"/>
      <c r="K53" s="3"/>
      <c r="L53" s="3"/>
      <c r="M53" s="3"/>
      <c r="N53" s="3"/>
    </row>
    <row r="54" customFormat="false" ht="17.35" hidden="false" customHeight="false" outlineLevel="0" collapsed="false">
      <c r="B54" s="46" t="n">
        <v>2</v>
      </c>
      <c r="C54" s="13" t="s">
        <v>340</v>
      </c>
      <c r="D54" s="58" t="s">
        <v>226</v>
      </c>
      <c r="E54" s="13" t="n">
        <v>1</v>
      </c>
      <c r="F54" s="20" t="n">
        <f aca="false">+E54*F32</f>
        <v>4</v>
      </c>
      <c r="G54" s="15" t="n">
        <v>35000</v>
      </c>
      <c r="H54" s="15" t="n">
        <f aca="false">+F54*G54</f>
        <v>140000</v>
      </c>
      <c r="I54" s="3"/>
      <c r="J54" s="3"/>
      <c r="K54" s="3"/>
      <c r="L54" s="3"/>
      <c r="M54" s="3"/>
      <c r="N54" s="3"/>
    </row>
    <row r="55" customFormat="false" ht="17.35" hidden="false" customHeight="false" outlineLevel="0" collapsed="false">
      <c r="B55" s="46" t="n">
        <v>3</v>
      </c>
      <c r="C55" s="142" t="s">
        <v>341</v>
      </c>
      <c r="D55" s="58" t="s">
        <v>325</v>
      </c>
      <c r="E55" s="46" t="n">
        <v>3</v>
      </c>
      <c r="F55" s="143" t="n">
        <f aca="false">+E55*F32</f>
        <v>12</v>
      </c>
      <c r="G55" s="48" t="n">
        <v>10000</v>
      </c>
      <c r="H55" s="48" t="n">
        <f aca="false">+F55*G55</f>
        <v>120000</v>
      </c>
      <c r="I55" s="3"/>
      <c r="J55" s="3"/>
      <c r="K55" s="3"/>
      <c r="L55" s="3"/>
      <c r="M55" s="3"/>
      <c r="N55" s="3"/>
    </row>
    <row r="56" customFormat="false" ht="17.35" hidden="false" customHeight="false" outlineLevel="0" collapsed="false">
      <c r="B56" s="46" t="n">
        <v>4</v>
      </c>
      <c r="C56" s="13" t="s">
        <v>292</v>
      </c>
      <c r="D56" s="58" t="s">
        <v>277</v>
      </c>
      <c r="E56" s="16" t="n">
        <f aca="false">+((I32*2)+(J32*2)+(H32*2))/1000</f>
        <v>43.46</v>
      </c>
      <c r="F56" s="16" t="n">
        <f aca="false">+E56*F32</f>
        <v>173.84</v>
      </c>
      <c r="G56" s="15" t="n">
        <v>850</v>
      </c>
      <c r="H56" s="15" t="n">
        <f aca="false">+F56*G56</f>
        <v>147764</v>
      </c>
      <c r="I56" s="3"/>
      <c r="J56" s="3"/>
      <c r="K56" s="3"/>
      <c r="L56" s="3"/>
      <c r="M56" s="3"/>
      <c r="N56" s="3"/>
    </row>
    <row r="57" customFormat="false" ht="29.85" hidden="false" customHeight="false" outlineLevel="0" collapsed="false">
      <c r="B57" s="46" t="n">
        <v>5</v>
      </c>
      <c r="C57" s="47" t="s">
        <v>328</v>
      </c>
      <c r="D57" s="58" t="s">
        <v>14</v>
      </c>
      <c r="E57" s="48"/>
      <c r="F57" s="143"/>
      <c r="G57" s="48" t="n">
        <f aca="false">85000/2.97</f>
        <v>28619.5286195286</v>
      </c>
      <c r="H57" s="48"/>
      <c r="I57" s="3"/>
      <c r="J57" s="3"/>
      <c r="K57" s="3"/>
      <c r="L57" s="3"/>
      <c r="M57" s="3"/>
      <c r="N57" s="3"/>
    </row>
    <row r="58" customFormat="false" ht="29.85" hidden="false" customHeight="false" outlineLevel="0" collapsed="false">
      <c r="B58" s="46" t="n">
        <v>6</v>
      </c>
      <c r="C58" s="142" t="s">
        <v>360</v>
      </c>
      <c r="D58" s="58" t="s">
        <v>57</v>
      </c>
      <c r="E58" s="46" t="n">
        <v>6</v>
      </c>
      <c r="F58" s="143" t="n">
        <f aca="false">+E58*F32</f>
        <v>24</v>
      </c>
      <c r="G58" s="48" t="n">
        <v>50</v>
      </c>
      <c r="H58" s="48" t="n">
        <f aca="false">+F58*G58</f>
        <v>1200</v>
      </c>
      <c r="I58" s="3"/>
      <c r="J58" s="3" t="s">
        <v>252</v>
      </c>
      <c r="K58" s="3" t="s">
        <v>253</v>
      </c>
      <c r="L58" s="67" t="n">
        <v>25000</v>
      </c>
      <c r="M58" s="3"/>
      <c r="N58" s="3"/>
    </row>
    <row r="59" customFormat="false" ht="29.85" hidden="false" customHeight="false" outlineLevel="0" collapsed="false">
      <c r="B59" s="46" t="n">
        <v>7</v>
      </c>
      <c r="C59" s="142" t="s">
        <v>361</v>
      </c>
      <c r="D59" s="58" t="s">
        <v>57</v>
      </c>
      <c r="E59" s="46" t="n">
        <v>16</v>
      </c>
      <c r="F59" s="143" t="n">
        <f aca="false">+E59*F32</f>
        <v>64</v>
      </c>
      <c r="G59" s="48" t="n">
        <v>50</v>
      </c>
      <c r="H59" s="48" t="n">
        <f aca="false">+F59*G59</f>
        <v>3200</v>
      </c>
      <c r="I59" s="3"/>
      <c r="J59" s="3" t="s">
        <v>255</v>
      </c>
      <c r="K59" s="3" t="s">
        <v>256</v>
      </c>
      <c r="L59" s="67" t="n">
        <v>4000</v>
      </c>
      <c r="M59" s="3" t="s">
        <v>257</v>
      </c>
      <c r="N59" s="3"/>
    </row>
    <row r="60" customFormat="false" ht="29.85" hidden="false" customHeight="false" outlineLevel="0" collapsed="false">
      <c r="B60" s="46" t="n">
        <v>8</v>
      </c>
      <c r="C60" s="142" t="s">
        <v>362</v>
      </c>
      <c r="D60" s="58" t="s">
        <v>57</v>
      </c>
      <c r="E60" s="143" t="n">
        <v>12</v>
      </c>
      <c r="F60" s="143" t="n">
        <f aca="false">+E60*F32</f>
        <v>48</v>
      </c>
      <c r="G60" s="48" t="n">
        <v>50</v>
      </c>
      <c r="H60" s="48" t="n">
        <f aca="false">+F60*G60</f>
        <v>2400</v>
      </c>
      <c r="I60" s="3"/>
      <c r="J60" s="3" t="s">
        <v>259</v>
      </c>
      <c r="K60" s="3" t="s">
        <v>260</v>
      </c>
      <c r="L60" s="67" t="n">
        <v>110000</v>
      </c>
      <c r="M60" s="3"/>
      <c r="N60" s="3"/>
    </row>
    <row r="61" customFormat="false" ht="29.85" hidden="false" customHeight="false" outlineLevel="0" collapsed="false">
      <c r="B61" s="46" t="n">
        <v>9</v>
      </c>
      <c r="C61" s="59" t="s">
        <v>345</v>
      </c>
      <c r="D61" s="58" t="s">
        <v>62</v>
      </c>
      <c r="E61" s="153" t="n">
        <f aca="false">+(I32*2+H32*2)/1000</f>
        <v>24.04</v>
      </c>
      <c r="F61" s="60" t="n">
        <f aca="false">+E61</f>
        <v>24.04</v>
      </c>
      <c r="G61" s="61" t="n">
        <v>1000</v>
      </c>
      <c r="H61" s="48" t="n">
        <f aca="false">+F61*G61</f>
        <v>24040</v>
      </c>
      <c r="I61" s="3"/>
      <c r="J61" s="3" t="s">
        <v>262</v>
      </c>
      <c r="K61" s="3" t="s">
        <v>256</v>
      </c>
      <c r="L61" s="67" t="n">
        <v>55000</v>
      </c>
      <c r="M61" s="3" t="s">
        <v>263</v>
      </c>
      <c r="N61" s="3"/>
    </row>
    <row r="62" customFormat="false" ht="17.35" hidden="false" customHeight="false" outlineLevel="0" collapsed="false">
      <c r="B62" s="46" t="n">
        <v>10</v>
      </c>
      <c r="C62" s="13" t="s">
        <v>67</v>
      </c>
      <c r="D62" s="58" t="s">
        <v>57</v>
      </c>
      <c r="E62" s="13" t="n">
        <v>6</v>
      </c>
      <c r="F62" s="20" t="n">
        <f aca="false">+E62*F32</f>
        <v>24</v>
      </c>
      <c r="G62" s="15" t="n">
        <v>40</v>
      </c>
      <c r="H62" s="15" t="n">
        <f aca="false">+F62*G62</f>
        <v>960</v>
      </c>
      <c r="I62" s="3"/>
      <c r="J62" s="3" t="s">
        <v>67</v>
      </c>
      <c r="K62" s="3" t="s">
        <v>256</v>
      </c>
      <c r="L62" s="67" t="n">
        <v>4000</v>
      </c>
      <c r="M62" s="3" t="s">
        <v>264</v>
      </c>
      <c r="N62" s="3"/>
    </row>
    <row r="63" customFormat="false" ht="17.35" hidden="false" customHeight="false" outlineLevel="0" collapsed="false">
      <c r="B63" s="46" t="n">
        <v>11</v>
      </c>
      <c r="C63" s="13" t="s">
        <v>346</v>
      </c>
      <c r="D63" s="58" t="s">
        <v>57</v>
      </c>
      <c r="E63" s="13" t="n">
        <v>2</v>
      </c>
      <c r="F63" s="20" t="n">
        <f aca="false">+E63*F32</f>
        <v>8</v>
      </c>
      <c r="G63" s="15" t="n">
        <v>16000</v>
      </c>
      <c r="H63" s="15" t="n">
        <f aca="false">+F63*G63</f>
        <v>128000</v>
      </c>
      <c r="I63" s="3"/>
      <c r="J63" s="3" t="s">
        <v>47</v>
      </c>
      <c r="K63" s="3" t="s">
        <v>266</v>
      </c>
      <c r="L63" s="67" t="n">
        <v>110000</v>
      </c>
      <c r="M63" s="3" t="s">
        <v>267</v>
      </c>
      <c r="N63" s="3"/>
    </row>
    <row r="64" customFormat="false" ht="29.85" hidden="false" customHeight="false" outlineLevel="0" collapsed="false">
      <c r="B64" s="46" t="n">
        <v>12</v>
      </c>
      <c r="C64" s="46" t="s">
        <v>268</v>
      </c>
      <c r="D64" s="58" t="s">
        <v>14</v>
      </c>
      <c r="E64" s="47" t="s">
        <v>332</v>
      </c>
      <c r="F64" s="62" t="n">
        <f aca="false">+L32</f>
        <v>7.4609</v>
      </c>
      <c r="G64" s="48" t="n">
        <f aca="false">55500</f>
        <v>55500</v>
      </c>
      <c r="H64" s="48" t="n">
        <f aca="false">+F64*G64</f>
        <v>414079.95</v>
      </c>
      <c r="I64" s="3"/>
      <c r="J64" s="3" t="s">
        <v>47</v>
      </c>
      <c r="K64" s="3" t="s">
        <v>270</v>
      </c>
      <c r="L64" s="67" t="n">
        <v>150000</v>
      </c>
      <c r="M64" s="3" t="s">
        <v>267</v>
      </c>
      <c r="N64" s="3"/>
    </row>
    <row r="65" customFormat="false" ht="29.85" hidden="false" customHeight="false" outlineLevel="0" collapsed="false">
      <c r="B65" s="3"/>
      <c r="C65" s="3"/>
      <c r="D65" s="3"/>
      <c r="E65" s="3"/>
      <c r="F65" s="3"/>
      <c r="G65" s="64" t="s">
        <v>19</v>
      </c>
      <c r="H65" s="65" t="n">
        <f aca="false">SUM(H56:H64)</f>
        <v>721643.95</v>
      </c>
      <c r="I65" s="3"/>
      <c r="J65" s="146" t="s">
        <v>292</v>
      </c>
      <c r="K65" s="3"/>
      <c r="L65" s="67" t="n">
        <v>150000</v>
      </c>
      <c r="M65" s="3"/>
      <c r="N65" s="3"/>
    </row>
    <row r="66" customFormat="false" ht="17.35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 t="s">
        <v>294</v>
      </c>
      <c r="K66" s="3" t="s">
        <v>295</v>
      </c>
      <c r="L66" s="3" t="n">
        <v>55000</v>
      </c>
      <c r="M66" s="3" t="s">
        <v>263</v>
      </c>
      <c r="N66" s="3"/>
    </row>
    <row r="67" customFormat="false" ht="17.35" hidden="false" customHeight="false" outlineLevel="0" collapsed="false">
      <c r="B67" s="42" t="s">
        <v>271</v>
      </c>
      <c r="C67" s="42"/>
      <c r="D67" s="42"/>
      <c r="E67" s="42"/>
      <c r="F67" s="42"/>
      <c r="G67" s="42"/>
      <c r="H67" s="42"/>
      <c r="I67" s="3"/>
      <c r="J67" s="3" t="s">
        <v>333</v>
      </c>
      <c r="K67" s="3" t="s">
        <v>334</v>
      </c>
      <c r="L67" s="3" t="n">
        <v>85000</v>
      </c>
      <c r="M67" s="3"/>
      <c r="N67" s="3"/>
    </row>
    <row r="68" customFormat="false" ht="17.35" hidden="false" customHeight="false" outlineLevel="0" collapsed="false">
      <c r="B68" s="9" t="s">
        <v>5</v>
      </c>
      <c r="C68" s="9" t="s">
        <v>22</v>
      </c>
      <c r="D68" s="9" t="s">
        <v>51</v>
      </c>
      <c r="E68" s="9" t="s">
        <v>74</v>
      </c>
      <c r="F68" s="9" t="s">
        <v>272</v>
      </c>
      <c r="G68" s="9" t="s">
        <v>54</v>
      </c>
      <c r="H68" s="9" t="s">
        <v>55</v>
      </c>
      <c r="I68" s="3"/>
      <c r="J68" s="3"/>
      <c r="K68" s="3"/>
      <c r="L68" s="3"/>
      <c r="M68" s="3"/>
      <c r="N68" s="3"/>
    </row>
    <row r="69" customFormat="false" ht="17.35" hidden="false" customHeight="false" outlineLevel="0" collapsed="false">
      <c r="B69" s="46" t="n">
        <v>1</v>
      </c>
      <c r="C69" s="46" t="s">
        <v>347</v>
      </c>
      <c r="D69" s="58" t="s">
        <v>57</v>
      </c>
      <c r="E69" s="46" t="n">
        <v>20</v>
      </c>
      <c r="F69" s="143" t="n">
        <f aca="false">+E69*F32</f>
        <v>80</v>
      </c>
      <c r="G69" s="48" t="n">
        <v>50</v>
      </c>
      <c r="H69" s="48" t="n">
        <f aca="false">+F69*G69</f>
        <v>4000</v>
      </c>
      <c r="I69" s="3"/>
      <c r="J69" s="3"/>
      <c r="K69" s="3"/>
      <c r="L69" s="3"/>
      <c r="M69" s="3"/>
      <c r="N69" s="3"/>
    </row>
    <row r="70" customFormat="false" ht="17.35" hidden="false" customHeight="false" outlineLevel="0" collapsed="false">
      <c r="B70" s="46" t="n">
        <v>2</v>
      </c>
      <c r="C70" s="46" t="s">
        <v>278</v>
      </c>
      <c r="D70" s="58" t="s">
        <v>57</v>
      </c>
      <c r="E70" s="46" t="n">
        <v>2</v>
      </c>
      <c r="F70" s="143" t="n">
        <f aca="false">+E70*F32</f>
        <v>8</v>
      </c>
      <c r="G70" s="48" t="n">
        <v>50</v>
      </c>
      <c r="H70" s="48" t="n">
        <f aca="false">+F70*G70</f>
        <v>400</v>
      </c>
      <c r="I70" s="3"/>
      <c r="J70" s="3"/>
      <c r="K70" s="3"/>
      <c r="L70" s="3"/>
      <c r="M70" s="3"/>
      <c r="N70" s="3"/>
    </row>
    <row r="71" customFormat="false" ht="29.85" hidden="false" customHeight="false" outlineLevel="0" collapsed="false">
      <c r="B71" s="46" t="n">
        <v>3</v>
      </c>
      <c r="C71" s="47" t="s">
        <v>349</v>
      </c>
      <c r="D71" s="58" t="s">
        <v>62</v>
      </c>
      <c r="E71" s="62" t="n">
        <f aca="false">+(I32*2)/1000+((0.3*2)*F32)</f>
        <v>9.42</v>
      </c>
      <c r="F71" s="143" t="n">
        <f aca="false">+E71</f>
        <v>9.42</v>
      </c>
      <c r="G71" s="48" t="n">
        <v>55</v>
      </c>
      <c r="H71" s="48" t="n">
        <f aca="false">+F71*G71</f>
        <v>518.1</v>
      </c>
      <c r="I71" s="3"/>
      <c r="J71" s="3"/>
      <c r="K71" s="3"/>
      <c r="L71" s="3"/>
      <c r="M71" s="3"/>
      <c r="N71" s="3"/>
    </row>
    <row r="72" customFormat="false" ht="17.35" hidden="false" customHeight="false" outlineLevel="0" collapsed="false">
      <c r="B72" s="46" t="n">
        <v>4</v>
      </c>
      <c r="C72" s="46" t="s">
        <v>47</v>
      </c>
      <c r="D72" s="58" t="s">
        <v>14</v>
      </c>
      <c r="E72" s="58" t="s">
        <v>307</v>
      </c>
      <c r="F72" s="60" t="n">
        <f aca="false">+G32*D32/1000000</f>
        <v>4.212</v>
      </c>
      <c r="G72" s="69" t="n">
        <v>3700</v>
      </c>
      <c r="H72" s="48" t="n">
        <f aca="false">+F72*G72</f>
        <v>15584.4</v>
      </c>
      <c r="I72" s="3"/>
      <c r="J72" s="3"/>
      <c r="K72" s="3"/>
      <c r="L72" s="3"/>
      <c r="M72" s="3"/>
      <c r="N72" s="3"/>
    </row>
    <row r="73" customFormat="false" ht="19.7" hidden="false" customHeight="false" outlineLevel="0" collapsed="false">
      <c r="B73" s="72"/>
      <c r="C73" s="72"/>
      <c r="D73" s="72"/>
      <c r="E73" s="72"/>
      <c r="F73" s="72"/>
      <c r="G73" s="73" t="s">
        <v>19</v>
      </c>
      <c r="H73" s="74" t="n">
        <f aca="false">SUM(H69:H72)</f>
        <v>20502.5</v>
      </c>
      <c r="I73" s="3"/>
      <c r="J73" s="3"/>
      <c r="K73" s="3"/>
      <c r="L73" s="3"/>
      <c r="M73" s="3"/>
      <c r="N73" s="3"/>
    </row>
    <row r="74" customFormat="false" ht="17.35" hidden="false" customHeight="false" outlineLevel="0" collapsed="false">
      <c r="I74" s="3"/>
      <c r="J74" s="3"/>
      <c r="K74" s="3"/>
      <c r="L74" s="3"/>
      <c r="M74" s="3"/>
      <c r="N74" s="3"/>
    </row>
    <row r="75" customFormat="false" ht="17.35" hidden="false" customHeight="false" outlineLevel="0" collapsed="false">
      <c r="B75" s="72"/>
      <c r="C75" s="72"/>
      <c r="D75" s="72"/>
      <c r="E75" s="72"/>
      <c r="F75" s="72"/>
      <c r="G75" s="3"/>
      <c r="H75" s="3"/>
      <c r="I75" s="3"/>
      <c r="J75" s="3"/>
      <c r="K75" s="3"/>
      <c r="L75" s="3"/>
      <c r="M75" s="3"/>
      <c r="N75" s="3"/>
    </row>
    <row r="76" customFormat="false" ht="24.45" hidden="false" customHeight="false" outlineLevel="0" collapsed="false">
      <c r="B76" s="75" t="s">
        <v>335</v>
      </c>
      <c r="C76" s="75"/>
      <c r="D76" s="75"/>
      <c r="E76" s="76"/>
      <c r="F76" s="75" t="s">
        <v>336</v>
      </c>
      <c r="G76" s="75"/>
      <c r="H76" s="75"/>
      <c r="I76" s="3"/>
    </row>
    <row r="77" customFormat="false" ht="37.3" hidden="false" customHeight="false" outlineLevel="0" collapsed="false">
      <c r="B77" s="77" t="s">
        <v>95</v>
      </c>
      <c r="C77" s="77" t="s">
        <v>96</v>
      </c>
      <c r="D77" s="77" t="s">
        <v>97</v>
      </c>
      <c r="E77" s="3"/>
      <c r="F77" s="77" t="s">
        <v>95</v>
      </c>
      <c r="G77" s="77" t="s">
        <v>96</v>
      </c>
      <c r="H77" s="77" t="s">
        <v>97</v>
      </c>
      <c r="I77" s="3"/>
    </row>
    <row r="78" customFormat="false" ht="22.05" hidden="false" customHeight="false" outlineLevel="0" collapsed="false">
      <c r="B78" s="78" t="n">
        <v>1</v>
      </c>
      <c r="C78" s="79" t="s">
        <v>98</v>
      </c>
      <c r="D78" s="80" t="n">
        <f aca="false">+J43*4.2</f>
        <v>400.26</v>
      </c>
      <c r="E78" s="3"/>
      <c r="F78" s="78" t="n">
        <v>1</v>
      </c>
      <c r="G78" s="79" t="s">
        <v>98</v>
      </c>
      <c r="H78" s="80" t="n">
        <f aca="false">J50*4.2</f>
        <v>470.82</v>
      </c>
      <c r="I78" s="3"/>
    </row>
    <row r="79" customFormat="false" ht="22.05" hidden="false" customHeight="false" outlineLevel="0" collapsed="false">
      <c r="B79" s="78" t="n">
        <v>2</v>
      </c>
      <c r="C79" s="79" t="s">
        <v>99</v>
      </c>
      <c r="D79" s="80" t="n">
        <f aca="false">+H65/3700</f>
        <v>195.038905405405</v>
      </c>
      <c r="E79" s="3"/>
      <c r="F79" s="78" t="n">
        <v>2</v>
      </c>
      <c r="G79" s="79" t="s">
        <v>99</v>
      </c>
      <c r="H79" s="80" t="n">
        <f aca="false">+(H65+H73)/3700</f>
        <v>200.580121621622</v>
      </c>
      <c r="I79" s="3"/>
    </row>
    <row r="80" customFormat="false" ht="22.05" hidden="false" customHeight="false" outlineLevel="0" collapsed="false">
      <c r="B80" s="78" t="n">
        <v>3</v>
      </c>
      <c r="C80" s="79" t="s">
        <v>100</v>
      </c>
      <c r="D80" s="80" t="n">
        <f aca="false">+L32*10</f>
        <v>74.609</v>
      </c>
      <c r="E80" s="3"/>
      <c r="F80" s="78" t="n">
        <v>3</v>
      </c>
      <c r="G80" s="79" t="s">
        <v>100</v>
      </c>
      <c r="H80" s="80" t="n">
        <f aca="false">+M32*10</f>
        <v>85.139</v>
      </c>
      <c r="I80" s="3"/>
    </row>
    <row r="81" customFormat="false" ht="22.05" hidden="false" customHeight="false" outlineLevel="0" collapsed="false">
      <c r="B81" s="78" t="n">
        <v>4</v>
      </c>
      <c r="C81" s="79" t="s">
        <v>101</v>
      </c>
      <c r="D81" s="80" t="n">
        <f aca="false">+L32*0</f>
        <v>0</v>
      </c>
      <c r="E81" s="3"/>
      <c r="F81" s="78" t="n">
        <v>4</v>
      </c>
      <c r="G81" s="79" t="s">
        <v>101</v>
      </c>
      <c r="H81" s="80" t="n">
        <f aca="false">+M32*0</f>
        <v>0</v>
      </c>
      <c r="I81" s="3"/>
    </row>
    <row r="82" customFormat="false" ht="22.05" hidden="false" customHeight="false" outlineLevel="0" collapsed="false">
      <c r="B82" s="3"/>
      <c r="C82" s="81" t="s">
        <v>19</v>
      </c>
      <c r="D82" s="80" t="n">
        <f aca="false">SUM(D78:D81)</f>
        <v>669.907905405405</v>
      </c>
      <c r="E82" s="3"/>
      <c r="F82" s="3"/>
      <c r="G82" s="81" t="s">
        <v>19</v>
      </c>
      <c r="H82" s="80" t="n">
        <f aca="false">SUM(H78:H81)</f>
        <v>756.539121621622</v>
      </c>
      <c r="I82" s="3"/>
    </row>
    <row r="83" customFormat="false" ht="22.05" hidden="false" customHeight="false" outlineLevel="0" collapsed="false">
      <c r="B83" s="3"/>
      <c r="C83" s="81" t="s">
        <v>102</v>
      </c>
      <c r="D83" s="82" t="n">
        <f aca="false">+D82*30%</f>
        <v>200.972371621622</v>
      </c>
      <c r="E83" s="3"/>
      <c r="F83" s="3"/>
      <c r="G83" s="81" t="s">
        <v>102</v>
      </c>
      <c r="H83" s="82" t="n">
        <f aca="false">+H82*30%</f>
        <v>226.961736486486</v>
      </c>
      <c r="I83" s="3"/>
    </row>
    <row r="84" customFormat="false" ht="22.05" hidden="false" customHeight="false" outlineLevel="0" collapsed="false">
      <c r="B84" s="3"/>
      <c r="C84" s="83" t="s">
        <v>103</v>
      </c>
      <c r="D84" s="84" t="n">
        <f aca="false">+D82+D83</f>
        <v>870.880277027027</v>
      </c>
      <c r="E84" s="3"/>
      <c r="F84" s="3"/>
      <c r="G84" s="83" t="s">
        <v>103</v>
      </c>
      <c r="H84" s="84" t="n">
        <f aca="false">+H82+H83</f>
        <v>983.500858108108</v>
      </c>
      <c r="I84" s="3"/>
    </row>
    <row r="85" customFormat="false" ht="22.05" hidden="false" customHeight="false" outlineLevel="0" collapsed="false">
      <c r="B85" s="3"/>
      <c r="C85" s="87" t="s">
        <v>104</v>
      </c>
      <c r="D85" s="88" t="n">
        <f aca="false">+D82/L32</f>
        <v>89.7891548479949</v>
      </c>
      <c r="E85" s="3"/>
      <c r="F85" s="3"/>
      <c r="G85" s="87" t="s">
        <v>104</v>
      </c>
      <c r="H85" s="88" t="n">
        <f aca="false">+H82/L32</f>
        <v>101.400517581206</v>
      </c>
      <c r="I85" s="3"/>
    </row>
    <row r="86" customFormat="false" ht="37.3" hidden="false" customHeight="false" outlineLevel="0" collapsed="false">
      <c r="B86" s="3"/>
      <c r="C86" s="89" t="s">
        <v>105</v>
      </c>
      <c r="D86" s="90" t="n">
        <f aca="false">+D84/L32</f>
        <v>116.725901302393</v>
      </c>
      <c r="E86" s="3"/>
      <c r="F86" s="3"/>
      <c r="G86" s="89" t="s">
        <v>105</v>
      </c>
      <c r="H86" s="90" t="n">
        <f aca="false">+H84/L32</f>
        <v>131.820672855568</v>
      </c>
      <c r="I86" s="3"/>
    </row>
    <row r="87" customFormat="false" ht="17.35" hidden="false" customHeight="false" outlineLevel="0" collapsed="false">
      <c r="I87" s="3"/>
    </row>
    <row r="88" customFormat="false" ht="17.35" hidden="false" customHeight="false" outlineLevel="0" collapsed="false">
      <c r="I88" s="3"/>
    </row>
    <row r="89" customFormat="false" ht="17.35" hidden="false" customHeight="false" outlineLevel="0" collapsed="false">
      <c r="I89" s="3"/>
    </row>
    <row r="90" customFormat="false" ht="17.35" hidden="false" customHeight="false" outlineLevel="0" collapsed="false">
      <c r="I90" s="3"/>
    </row>
  </sheetData>
  <mergeCells count="12">
    <mergeCell ref="B3:M3"/>
    <mergeCell ref="B32:C32"/>
    <mergeCell ref="B34:J34"/>
    <mergeCell ref="B44:M44"/>
    <mergeCell ref="K45:M45"/>
    <mergeCell ref="K46:M46"/>
    <mergeCell ref="K47:M47"/>
    <mergeCell ref="K48:M48"/>
    <mergeCell ref="B51:H51"/>
    <mergeCell ref="B67:H67"/>
    <mergeCell ref="B76:D76"/>
    <mergeCell ref="F76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2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101" activePane="bottomLeft" state="frozen"/>
      <selection pane="topLeft" activeCell="A1" activeCellId="0" sqref="A1"/>
      <selection pane="bottomLeft" activeCell="E118" activeCellId="0" sqref="E118"/>
    </sheetView>
  </sheetViews>
  <sheetFormatPr defaultColWidth="10.8203125" defaultRowHeight="17.35" zeroHeight="false" outlineLevelRow="0" outlineLevelCol="0"/>
  <cols>
    <col collapsed="false" customWidth="true" hidden="false" outlineLevel="0" max="1" min="1" style="3" width="18"/>
    <col collapsed="false" customWidth="true" hidden="false" outlineLevel="0" max="2" min="2" style="3" width="7.84"/>
    <col collapsed="false" customWidth="true" hidden="false" outlineLevel="0" max="3" min="3" style="3" width="32.33"/>
    <col collapsed="false" customWidth="true" hidden="false" outlineLevel="0" max="4" min="4" style="3" width="18.67"/>
    <col collapsed="false" customWidth="true" hidden="false" outlineLevel="0" max="5" min="5" style="3" width="22.67"/>
    <col collapsed="false" customWidth="true" hidden="false" outlineLevel="0" max="6" min="6" style="3" width="16.84"/>
    <col collapsed="false" customWidth="true" hidden="false" outlineLevel="0" max="7" min="7" style="3" width="22.67"/>
    <col collapsed="false" customWidth="true" hidden="false" outlineLevel="0" max="8" min="8" style="3" width="19.67"/>
    <col collapsed="false" customWidth="true" hidden="false" outlineLevel="0" max="9" min="9" style="3" width="15.16"/>
    <col collapsed="false" customWidth="true" hidden="false" outlineLevel="0" max="10" min="10" style="3" width="14.33"/>
    <col collapsed="false" customWidth="true" hidden="false" outlineLevel="0" max="11" min="11" style="3" width="12"/>
    <col collapsed="false" customWidth="true" hidden="false" outlineLevel="0" max="12" min="12" style="3" width="15.83"/>
    <col collapsed="false" customWidth="true" hidden="false" outlineLevel="0" max="13" min="13" style="3" width="19.5"/>
    <col collapsed="false" customWidth="true" hidden="false" outlineLevel="0" max="14" min="14" style="3" width="15.83"/>
    <col collapsed="false" customWidth="true" hidden="false" outlineLevel="0" max="15" min="15" style="3" width="22.33"/>
    <col collapsed="false" customWidth="true" hidden="false" outlineLevel="0" max="16" min="16" style="3" width="19.67"/>
    <col collapsed="false" customWidth="true" hidden="false" outlineLevel="0" max="17" min="17" style="3" width="17.67"/>
    <col collapsed="false" customWidth="true" hidden="false" outlineLevel="0" max="19" min="18" style="3" width="11"/>
    <col collapsed="false" customWidth="true" hidden="false" outlineLevel="0" max="20" min="20" style="3" width="14.82"/>
    <col collapsed="false" customWidth="true" hidden="false" outlineLevel="0" max="21" min="21" style="3" width="11"/>
    <col collapsed="false" customWidth="true" hidden="false" outlineLevel="0" max="22" min="22" style="3" width="12"/>
    <col collapsed="false" customWidth="true" hidden="false" outlineLevel="0" max="24" min="23" style="3" width="11"/>
    <col collapsed="false" customWidth="true" hidden="false" outlineLevel="0" max="25" min="25" style="3" width="17.33"/>
    <col collapsed="false" customWidth="true" hidden="false" outlineLevel="0" max="28" min="26" style="3" width="11"/>
    <col collapsed="false" customWidth="true" hidden="false" outlineLevel="0" max="29" min="29" style="3" width="13.67"/>
    <col collapsed="false" customWidth="true" hidden="false" outlineLevel="0" max="30" min="30" style="3" width="20.83"/>
    <col collapsed="false" customWidth="true" hidden="false" outlineLevel="0" max="35" min="31" style="3" width="11"/>
    <col collapsed="false" customWidth="false" hidden="false" outlineLevel="0" max="1024" min="36" style="3" width="10.83"/>
  </cols>
  <sheetData>
    <row r="1" customFormat="false" ht="17.35" hidden="false" customHeight="false" outlineLevel="0" collapsed="false"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6" hidden="false" customHeight="true" outlineLevel="0" collapsed="false">
      <c r="B2" s="4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4"/>
      <c r="W2" s="4"/>
      <c r="X2" s="4"/>
      <c r="Y2" s="5"/>
      <c r="Z2" s="6"/>
      <c r="AA2" s="6"/>
      <c r="AB2" s="6"/>
      <c r="AC2" s="6"/>
      <c r="AD2" s="6"/>
      <c r="AE2" s="6"/>
      <c r="AF2" s="4"/>
      <c r="AG2" s="4"/>
      <c r="AH2" s="4"/>
      <c r="AI2" s="4"/>
      <c r="AJ2" s="4"/>
      <c r="AK2" s="4"/>
      <c r="AL2" s="4"/>
      <c r="AM2" s="4"/>
    </row>
    <row r="3" customFormat="false" ht="31" hidden="false" customHeight="true" outlineLevel="0" collapsed="false"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5"/>
      <c r="P3" s="6"/>
      <c r="Q3" s="6"/>
      <c r="R3" s="6"/>
      <c r="S3" s="6"/>
      <c r="T3" s="6"/>
      <c r="U3" s="6"/>
      <c r="V3" s="4"/>
      <c r="W3" s="4"/>
      <c r="X3" s="4"/>
      <c r="Y3" s="5"/>
      <c r="Z3" s="6"/>
      <c r="AA3" s="6"/>
      <c r="AB3" s="6"/>
      <c r="AC3" s="6"/>
      <c r="AD3" s="6"/>
      <c r="AE3" s="6"/>
      <c r="AF3" s="4"/>
      <c r="AG3" s="4"/>
      <c r="AH3" s="4"/>
      <c r="AI3" s="4"/>
      <c r="AJ3" s="4"/>
      <c r="AK3" s="4"/>
      <c r="AL3" s="4"/>
      <c r="AM3" s="4"/>
    </row>
    <row r="4" s="8" customFormat="true" ht="29.8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8</v>
      </c>
      <c r="F4" s="10" t="s">
        <v>9</v>
      </c>
      <c r="G4" s="9" t="s">
        <v>10</v>
      </c>
      <c r="H4" s="9" t="s">
        <v>11</v>
      </c>
      <c r="I4" s="10" t="s">
        <v>12</v>
      </c>
      <c r="J4" s="9" t="s">
        <v>13</v>
      </c>
      <c r="K4" s="9" t="s">
        <v>14</v>
      </c>
      <c r="L4" s="10" t="s">
        <v>15</v>
      </c>
      <c r="M4" s="10" t="s">
        <v>16</v>
      </c>
      <c r="N4" s="10" t="s">
        <v>17</v>
      </c>
      <c r="P4" s="11"/>
      <c r="Q4" s="12"/>
      <c r="R4" s="12"/>
      <c r="S4" s="12"/>
      <c r="T4" s="12"/>
      <c r="U4" s="12"/>
      <c r="V4" s="12"/>
      <c r="W4" s="12"/>
      <c r="X4" s="11"/>
      <c r="Y4" s="11"/>
      <c r="Z4" s="11"/>
      <c r="AA4" s="12"/>
      <c r="AB4" s="12"/>
      <c r="AC4" s="12"/>
      <c r="AD4" s="12"/>
      <c r="AE4" s="12"/>
      <c r="AF4" s="12"/>
      <c r="AG4" s="12"/>
      <c r="AH4" s="11"/>
      <c r="AI4" s="11"/>
      <c r="AJ4" s="11"/>
      <c r="AK4" s="11"/>
      <c r="AL4" s="11"/>
      <c r="AM4" s="11"/>
    </row>
    <row r="5" customFormat="false" ht="17.35" hidden="false" customHeight="false" outlineLevel="0" collapsed="false">
      <c r="B5" s="13" t="n">
        <v>3</v>
      </c>
      <c r="C5" s="14" t="s">
        <v>18</v>
      </c>
      <c r="D5" s="15" t="n">
        <v>4100</v>
      </c>
      <c r="E5" s="15" t="n">
        <f aca="false">F5-300</f>
        <v>2100</v>
      </c>
      <c r="F5" s="15" t="n">
        <v>2400</v>
      </c>
      <c r="G5" s="13" t="n">
        <v>9</v>
      </c>
      <c r="H5" s="13" t="n">
        <f aca="false">+D5*G5</f>
        <v>36900</v>
      </c>
      <c r="I5" s="15" t="n">
        <f aca="false">+F5*G5</f>
        <v>21600</v>
      </c>
      <c r="J5" s="13" t="n">
        <f aca="false">+E5*G5</f>
        <v>18900</v>
      </c>
      <c r="K5" s="16" t="n">
        <f aca="false">+D5*E5/1000000</f>
        <v>8.61</v>
      </c>
      <c r="L5" s="16" t="n">
        <f aca="false">+D5*F5/1000000</f>
        <v>9.84</v>
      </c>
      <c r="M5" s="16" t="n">
        <f aca="false">+G5*K5</f>
        <v>77.49</v>
      </c>
      <c r="N5" s="17" t="n">
        <f aca="false">+G5*L5</f>
        <v>88.56</v>
      </c>
      <c r="P5" s="4"/>
      <c r="Q5" s="4"/>
      <c r="R5" s="18"/>
      <c r="S5" s="18"/>
      <c r="T5" s="4"/>
      <c r="U5" s="4"/>
      <c r="V5" s="4"/>
      <c r="W5" s="4"/>
      <c r="X5" s="4"/>
      <c r="Y5" s="4"/>
      <c r="Z5" s="4"/>
      <c r="AA5" s="4"/>
      <c r="AB5" s="18"/>
      <c r="AC5" s="18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7.35" hidden="false" customHeight="false" outlineLevel="0" collapsed="false">
      <c r="B6" s="13" t="n">
        <v>1</v>
      </c>
      <c r="C6" s="14" t="s">
        <v>18</v>
      </c>
      <c r="D6" s="19" t="n">
        <v>3300</v>
      </c>
      <c r="E6" s="19" t="n">
        <f aca="false">F6-300</f>
        <v>2400</v>
      </c>
      <c r="F6" s="19" t="n">
        <v>2700</v>
      </c>
      <c r="G6" s="13" t="n">
        <v>2</v>
      </c>
      <c r="H6" s="19" t="n">
        <f aca="false">+D6*G6</f>
        <v>6600</v>
      </c>
      <c r="I6" s="19" t="n">
        <f aca="false">+F6*G6</f>
        <v>5400</v>
      </c>
      <c r="J6" s="19" t="n">
        <f aca="false">+E6*G6</f>
        <v>4800</v>
      </c>
      <c r="K6" s="16" t="n">
        <f aca="false">+D6*E6/1000000</f>
        <v>7.92</v>
      </c>
      <c r="L6" s="16" t="n">
        <f aca="false">+D6*F6/1000000</f>
        <v>8.91</v>
      </c>
      <c r="M6" s="16" t="n">
        <f aca="false">+G6*K6</f>
        <v>15.84</v>
      </c>
      <c r="N6" s="17" t="n">
        <f aca="false">+G6*L6</f>
        <v>17.82</v>
      </c>
      <c r="P6" s="4"/>
      <c r="Q6" s="4"/>
      <c r="R6" s="18"/>
      <c r="S6" s="18"/>
      <c r="T6" s="4"/>
      <c r="U6" s="4"/>
      <c r="V6" s="4"/>
      <c r="W6" s="4"/>
      <c r="X6" s="4"/>
      <c r="Y6" s="4"/>
      <c r="Z6" s="4"/>
      <c r="AA6" s="4"/>
      <c r="AB6" s="18"/>
      <c r="AC6" s="18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7.35" hidden="false" customHeight="false" outlineLevel="0" collapsed="false">
      <c r="B7" s="20" t="n">
        <f aca="false">+B6+1</f>
        <v>2</v>
      </c>
      <c r="C7" s="14" t="s">
        <v>18</v>
      </c>
      <c r="D7" s="19" t="n">
        <v>3300</v>
      </c>
      <c r="E7" s="19" t="n">
        <f aca="false">F7-300</f>
        <v>2100</v>
      </c>
      <c r="F7" s="19" t="n">
        <v>2400</v>
      </c>
      <c r="G7" s="13" t="n">
        <v>2</v>
      </c>
      <c r="H7" s="19" t="n">
        <f aca="false">+D7*G7</f>
        <v>6600</v>
      </c>
      <c r="I7" s="19" t="n">
        <f aca="false">+F7*G7</f>
        <v>4800</v>
      </c>
      <c r="J7" s="19" t="n">
        <f aca="false">+E7*G7</f>
        <v>4200</v>
      </c>
      <c r="K7" s="16" t="n">
        <f aca="false">+D7*E7/1000000</f>
        <v>6.93</v>
      </c>
      <c r="L7" s="16" t="n">
        <f aca="false">+D7*F7/1000000</f>
        <v>7.92</v>
      </c>
      <c r="M7" s="16" t="n">
        <f aca="false">+G7*K7</f>
        <v>13.86</v>
      </c>
      <c r="N7" s="17" t="n">
        <f aca="false">+G7*L7</f>
        <v>15.84</v>
      </c>
      <c r="P7" s="4"/>
      <c r="Q7" s="4"/>
      <c r="R7" s="18"/>
      <c r="S7" s="18"/>
      <c r="T7" s="4"/>
      <c r="U7" s="4"/>
      <c r="V7" s="4"/>
      <c r="W7" s="4"/>
      <c r="X7" s="4"/>
      <c r="Y7" s="4"/>
      <c r="Z7" s="4"/>
      <c r="AA7" s="4"/>
      <c r="AB7" s="18"/>
      <c r="AC7" s="18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7.35" hidden="false" customHeight="false" outlineLevel="0" collapsed="false">
      <c r="B8" s="20" t="n">
        <f aca="false">+B7+1</f>
        <v>3</v>
      </c>
      <c r="C8" s="14" t="s">
        <v>18</v>
      </c>
      <c r="D8" s="19" t="n">
        <v>1500</v>
      </c>
      <c r="E8" s="19" t="n">
        <f aca="false">F8-300</f>
        <v>2400</v>
      </c>
      <c r="F8" s="19" t="n">
        <v>2700</v>
      </c>
      <c r="G8" s="13" t="n">
        <v>2</v>
      </c>
      <c r="H8" s="19" t="n">
        <f aca="false">+D8*G8</f>
        <v>3000</v>
      </c>
      <c r="I8" s="19" t="n">
        <f aca="false">+F8*G8</f>
        <v>5400</v>
      </c>
      <c r="J8" s="19" t="n">
        <f aca="false">+E8*G8</f>
        <v>4800</v>
      </c>
      <c r="K8" s="16" t="n">
        <f aca="false">+D8*E8/1000000</f>
        <v>3.6</v>
      </c>
      <c r="L8" s="16" t="n">
        <f aca="false">+D8*F8/1000000</f>
        <v>4.05</v>
      </c>
      <c r="M8" s="16" t="n">
        <f aca="false">+G8*K8</f>
        <v>7.2</v>
      </c>
      <c r="N8" s="17" t="n">
        <f aca="false">+G8*L8</f>
        <v>8.1</v>
      </c>
      <c r="P8" s="4"/>
      <c r="Q8" s="4"/>
      <c r="R8" s="18"/>
      <c r="S8" s="18"/>
      <c r="T8" s="4"/>
      <c r="U8" s="4"/>
      <c r="V8" s="4"/>
      <c r="W8" s="4"/>
      <c r="X8" s="4"/>
      <c r="Y8" s="4"/>
      <c r="Z8" s="4"/>
      <c r="AA8" s="4"/>
      <c r="AB8" s="18"/>
      <c r="AC8" s="18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7.35" hidden="false" customHeight="false" outlineLevel="0" collapsed="false">
      <c r="B9" s="13" t="n">
        <v>7</v>
      </c>
      <c r="C9" s="14" t="s">
        <v>18</v>
      </c>
      <c r="D9" s="15"/>
      <c r="E9" s="15" t="n">
        <f aca="false">F9-300</f>
        <v>-300</v>
      </c>
      <c r="F9" s="15"/>
      <c r="G9" s="13"/>
      <c r="H9" s="13" t="n">
        <f aca="false">+D9*G9</f>
        <v>0</v>
      </c>
      <c r="I9" s="15" t="n">
        <f aca="false">+F9*G9</f>
        <v>0</v>
      </c>
      <c r="J9" s="13" t="n">
        <f aca="false">+E9*G9</f>
        <v>-0</v>
      </c>
      <c r="K9" s="16" t="n">
        <f aca="false">+D9*E9/1000000</f>
        <v>-0</v>
      </c>
      <c r="L9" s="16" t="n">
        <f aca="false">+D9*F9/1000000</f>
        <v>0</v>
      </c>
      <c r="M9" s="16" t="n">
        <f aca="false">+G9*K9</f>
        <v>-0</v>
      </c>
      <c r="N9" s="17" t="n">
        <f aca="false">+G9*L9</f>
        <v>0</v>
      </c>
      <c r="P9" s="4"/>
      <c r="Q9" s="4"/>
      <c r="R9" s="18"/>
      <c r="S9" s="18"/>
      <c r="T9" s="4"/>
      <c r="U9" s="4"/>
      <c r="V9" s="4"/>
      <c r="W9" s="4"/>
      <c r="X9" s="4"/>
      <c r="Y9" s="4"/>
      <c r="Z9" s="4"/>
      <c r="AA9" s="4"/>
      <c r="AB9" s="18"/>
      <c r="AC9" s="18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7.35" hidden="false" customHeight="false" outlineLevel="0" collapsed="false">
      <c r="B10" s="13" t="n">
        <v>8</v>
      </c>
      <c r="C10" s="14" t="s">
        <v>18</v>
      </c>
      <c r="D10" s="15"/>
      <c r="E10" s="15" t="n">
        <f aca="false">F10-300</f>
        <v>-300</v>
      </c>
      <c r="F10" s="15"/>
      <c r="G10" s="13"/>
      <c r="H10" s="13" t="n">
        <f aca="false">+D10*G10</f>
        <v>0</v>
      </c>
      <c r="I10" s="15" t="n">
        <f aca="false">+F10*G10</f>
        <v>0</v>
      </c>
      <c r="J10" s="13" t="n">
        <f aca="false">+E10*G10</f>
        <v>-0</v>
      </c>
      <c r="K10" s="16" t="n">
        <f aca="false">+D10*E10/1000000</f>
        <v>-0</v>
      </c>
      <c r="L10" s="16" t="n">
        <f aca="false">+D10*F10/1000000</f>
        <v>0</v>
      </c>
      <c r="M10" s="16" t="n">
        <f aca="false">+G10*K10</f>
        <v>-0</v>
      </c>
      <c r="N10" s="17" t="n">
        <f aca="false">+G10*L10</f>
        <v>0</v>
      </c>
      <c r="P10" s="4"/>
      <c r="Q10" s="4"/>
      <c r="R10" s="18"/>
      <c r="S10" s="18"/>
      <c r="T10" s="4"/>
      <c r="U10" s="4"/>
      <c r="V10" s="4"/>
      <c r="W10" s="4"/>
      <c r="X10" s="4"/>
      <c r="Y10" s="4"/>
      <c r="Z10" s="4"/>
      <c r="AA10" s="4"/>
      <c r="AB10" s="18"/>
      <c r="AC10" s="18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17.35" hidden="false" customHeight="false" outlineLevel="0" collapsed="false">
      <c r="B11" s="13" t="n">
        <v>9</v>
      </c>
      <c r="C11" s="14" t="s">
        <v>18</v>
      </c>
      <c r="D11" s="15"/>
      <c r="E11" s="15" t="n">
        <f aca="false">F11-300</f>
        <v>-300</v>
      </c>
      <c r="F11" s="15"/>
      <c r="G11" s="13"/>
      <c r="H11" s="13" t="n">
        <f aca="false">+D11*G11</f>
        <v>0</v>
      </c>
      <c r="I11" s="15" t="n">
        <f aca="false">+F11*G11</f>
        <v>0</v>
      </c>
      <c r="J11" s="13" t="n">
        <f aca="false">+E11*G11</f>
        <v>-0</v>
      </c>
      <c r="K11" s="16" t="n">
        <f aca="false">+D11*E11/1000000</f>
        <v>-0</v>
      </c>
      <c r="L11" s="16" t="n">
        <f aca="false">+D11*F11/1000000</f>
        <v>0</v>
      </c>
      <c r="M11" s="16" t="n">
        <f aca="false">+G11*K11</f>
        <v>-0</v>
      </c>
      <c r="N11" s="17" t="n">
        <f aca="false">+G11*L11</f>
        <v>0</v>
      </c>
      <c r="P11" s="4"/>
      <c r="Q11" s="4"/>
      <c r="R11" s="18"/>
      <c r="S11" s="18"/>
      <c r="T11" s="4"/>
      <c r="U11" s="4"/>
      <c r="V11" s="4"/>
      <c r="W11" s="4"/>
      <c r="X11" s="4"/>
      <c r="Y11" s="4"/>
      <c r="Z11" s="4"/>
      <c r="AA11" s="4"/>
      <c r="AB11" s="18"/>
      <c r="AC11" s="18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7.35" hidden="false" customHeight="false" outlineLevel="0" collapsed="false">
      <c r="B12" s="13" t="n">
        <v>10</v>
      </c>
      <c r="C12" s="14" t="s">
        <v>18</v>
      </c>
      <c r="D12" s="15"/>
      <c r="E12" s="15" t="n">
        <f aca="false">F12-300</f>
        <v>-300</v>
      </c>
      <c r="F12" s="15"/>
      <c r="G12" s="13"/>
      <c r="H12" s="13" t="n">
        <f aca="false">+D12*G12</f>
        <v>0</v>
      </c>
      <c r="I12" s="15" t="n">
        <f aca="false">+F12*G12</f>
        <v>0</v>
      </c>
      <c r="J12" s="13" t="n">
        <f aca="false">+E12*G12</f>
        <v>-0</v>
      </c>
      <c r="K12" s="16" t="n">
        <f aca="false">+D12*E12/1000000</f>
        <v>-0</v>
      </c>
      <c r="L12" s="16" t="n">
        <f aca="false">+D12*F12/1000000</f>
        <v>0</v>
      </c>
      <c r="M12" s="16" t="n">
        <f aca="false">+G12*K12</f>
        <v>-0</v>
      </c>
      <c r="N12" s="17" t="n">
        <f aca="false">+G12*L12</f>
        <v>0</v>
      </c>
      <c r="P12" s="4"/>
      <c r="Q12" s="4"/>
      <c r="R12" s="18"/>
      <c r="S12" s="18"/>
      <c r="T12" s="4"/>
      <c r="U12" s="4"/>
      <c r="V12" s="4"/>
      <c r="W12" s="4"/>
      <c r="X12" s="4"/>
      <c r="Y12" s="4"/>
      <c r="Z12" s="4"/>
      <c r="AA12" s="4"/>
      <c r="AB12" s="18"/>
      <c r="AC12" s="18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customFormat="false" ht="17.35" hidden="false" customHeight="false" outlineLevel="0" collapsed="false">
      <c r="B13" s="13" t="n">
        <v>11</v>
      </c>
      <c r="C13" s="14" t="s">
        <v>18</v>
      </c>
      <c r="D13" s="15"/>
      <c r="E13" s="15" t="n">
        <f aca="false">F13-300</f>
        <v>-300</v>
      </c>
      <c r="F13" s="15"/>
      <c r="G13" s="13"/>
      <c r="H13" s="13" t="n">
        <f aca="false">+D13*G13</f>
        <v>0</v>
      </c>
      <c r="I13" s="15" t="n">
        <f aca="false">+F13*G13</f>
        <v>0</v>
      </c>
      <c r="J13" s="13" t="n">
        <f aca="false">+E13*G13</f>
        <v>-0</v>
      </c>
      <c r="K13" s="16" t="n">
        <f aca="false">+D13*E13/1000000</f>
        <v>-0</v>
      </c>
      <c r="L13" s="16" t="n">
        <f aca="false">+D13*F13/1000000</f>
        <v>0</v>
      </c>
      <c r="M13" s="16" t="n">
        <f aca="false">+G13*K13</f>
        <v>-0</v>
      </c>
      <c r="N13" s="17" t="n">
        <f aca="false">+G13*L13</f>
        <v>0</v>
      </c>
      <c r="P13" s="4"/>
      <c r="Q13" s="4"/>
      <c r="R13" s="18"/>
      <c r="S13" s="18"/>
      <c r="T13" s="4"/>
      <c r="U13" s="4"/>
      <c r="V13" s="4"/>
      <c r="W13" s="4"/>
      <c r="X13" s="4"/>
      <c r="Y13" s="4"/>
      <c r="Z13" s="4"/>
      <c r="AA13" s="4"/>
      <c r="AB13" s="18"/>
      <c r="AC13" s="18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customFormat="false" ht="17.35" hidden="false" customHeight="false" outlineLevel="0" collapsed="false">
      <c r="B14" s="13" t="n">
        <v>12</v>
      </c>
      <c r="C14" s="14" t="s">
        <v>18</v>
      </c>
      <c r="D14" s="15"/>
      <c r="E14" s="15" t="n">
        <f aca="false">F14-300</f>
        <v>-300</v>
      </c>
      <c r="F14" s="15"/>
      <c r="G14" s="13"/>
      <c r="H14" s="13" t="n">
        <f aca="false">+D14*G14</f>
        <v>0</v>
      </c>
      <c r="I14" s="15" t="n">
        <f aca="false">+F14*G14</f>
        <v>0</v>
      </c>
      <c r="J14" s="13" t="n">
        <f aca="false">+E14*G14</f>
        <v>-0</v>
      </c>
      <c r="K14" s="16" t="n">
        <f aca="false">+D14*E14/1000000</f>
        <v>-0</v>
      </c>
      <c r="L14" s="16" t="n">
        <f aca="false">+D14*F14/1000000</f>
        <v>0</v>
      </c>
      <c r="M14" s="16" t="n">
        <f aca="false">+G14*K14</f>
        <v>-0</v>
      </c>
      <c r="N14" s="17" t="n">
        <f aca="false">+G14*L14</f>
        <v>0</v>
      </c>
      <c r="P14" s="4"/>
      <c r="Q14" s="4"/>
      <c r="R14" s="18"/>
      <c r="S14" s="18"/>
      <c r="T14" s="4"/>
      <c r="U14" s="4"/>
      <c r="V14" s="4"/>
      <c r="W14" s="4"/>
      <c r="X14" s="4"/>
      <c r="Y14" s="4"/>
      <c r="Z14" s="4"/>
      <c r="AA14" s="4"/>
      <c r="AB14" s="18"/>
      <c r="AC14" s="18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customFormat="false" ht="17.35" hidden="false" customHeight="false" outlineLevel="0" collapsed="false">
      <c r="B15" s="13" t="n">
        <v>13</v>
      </c>
      <c r="C15" s="14" t="s">
        <v>18</v>
      </c>
      <c r="D15" s="15"/>
      <c r="E15" s="15" t="n">
        <f aca="false">F15-300</f>
        <v>-300</v>
      </c>
      <c r="F15" s="15"/>
      <c r="G15" s="13"/>
      <c r="H15" s="13" t="n">
        <f aca="false">+D15*G15</f>
        <v>0</v>
      </c>
      <c r="I15" s="15" t="n">
        <f aca="false">+F15*G15</f>
        <v>0</v>
      </c>
      <c r="J15" s="13" t="n">
        <f aca="false">+E15*G15</f>
        <v>-0</v>
      </c>
      <c r="K15" s="16" t="n">
        <f aca="false">+D15*E15/1000000</f>
        <v>-0</v>
      </c>
      <c r="L15" s="16" t="n">
        <f aca="false">+D15*F15/1000000</f>
        <v>0</v>
      </c>
      <c r="M15" s="16" t="n">
        <f aca="false">+G15*K15</f>
        <v>-0</v>
      </c>
      <c r="N15" s="17" t="n">
        <f aca="false">+G15*L15</f>
        <v>0</v>
      </c>
      <c r="P15" s="4"/>
      <c r="Q15" s="4"/>
      <c r="R15" s="18"/>
      <c r="S15" s="18"/>
      <c r="T15" s="4"/>
      <c r="U15" s="4"/>
      <c r="V15" s="4"/>
      <c r="W15" s="4"/>
      <c r="X15" s="4"/>
      <c r="Y15" s="4"/>
      <c r="Z15" s="4"/>
      <c r="AA15" s="4"/>
      <c r="AB15" s="18"/>
      <c r="AC15" s="18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customFormat="false" ht="17.35" hidden="false" customHeight="false" outlineLevel="0" collapsed="false">
      <c r="B16" s="13" t="n">
        <v>14</v>
      </c>
      <c r="C16" s="14" t="s">
        <v>18</v>
      </c>
      <c r="D16" s="15"/>
      <c r="E16" s="15" t="n">
        <f aca="false">F16-300</f>
        <v>-300</v>
      </c>
      <c r="F16" s="15"/>
      <c r="G16" s="13"/>
      <c r="H16" s="13" t="n">
        <f aca="false">+D16*G16</f>
        <v>0</v>
      </c>
      <c r="I16" s="15" t="n">
        <f aca="false">+F16*G16</f>
        <v>0</v>
      </c>
      <c r="J16" s="13" t="n">
        <f aca="false">+E16*G16</f>
        <v>-0</v>
      </c>
      <c r="K16" s="16" t="n">
        <f aca="false">+D16*E16/1000000</f>
        <v>-0</v>
      </c>
      <c r="L16" s="16" t="n">
        <f aca="false">+D16*F16/1000000</f>
        <v>0</v>
      </c>
      <c r="M16" s="16" t="n">
        <f aca="false">+G16*K16</f>
        <v>-0</v>
      </c>
      <c r="N16" s="17" t="n">
        <f aca="false">+G16*L16</f>
        <v>0</v>
      </c>
      <c r="P16" s="4"/>
      <c r="Q16" s="4"/>
      <c r="R16" s="18"/>
      <c r="S16" s="18"/>
      <c r="T16" s="4"/>
      <c r="U16" s="4"/>
      <c r="V16" s="4"/>
      <c r="W16" s="4"/>
      <c r="X16" s="4"/>
      <c r="Y16" s="4"/>
      <c r="Z16" s="4"/>
      <c r="AA16" s="4"/>
      <c r="AB16" s="18"/>
      <c r="AC16" s="18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customFormat="false" ht="17.35" hidden="false" customHeight="false" outlineLevel="0" collapsed="false">
      <c r="B17" s="13" t="n">
        <v>15</v>
      </c>
      <c r="C17" s="14" t="s">
        <v>18</v>
      </c>
      <c r="D17" s="15"/>
      <c r="E17" s="15" t="n">
        <f aca="false">F17-300</f>
        <v>-300</v>
      </c>
      <c r="F17" s="15"/>
      <c r="G17" s="13"/>
      <c r="H17" s="13" t="n">
        <f aca="false">+D17*G17</f>
        <v>0</v>
      </c>
      <c r="I17" s="15" t="n">
        <f aca="false">+F17*G17</f>
        <v>0</v>
      </c>
      <c r="J17" s="13" t="n">
        <f aca="false">+E17*G17</f>
        <v>-0</v>
      </c>
      <c r="K17" s="16" t="n">
        <f aca="false">+D17*E17/1000000</f>
        <v>-0</v>
      </c>
      <c r="L17" s="16" t="n">
        <f aca="false">+D17*F17/1000000</f>
        <v>0</v>
      </c>
      <c r="M17" s="16" t="n">
        <f aca="false">+G17*K17</f>
        <v>-0</v>
      </c>
      <c r="N17" s="17" t="n">
        <f aca="false">+G17*L17</f>
        <v>0</v>
      </c>
      <c r="P17" s="4"/>
      <c r="Q17" s="4"/>
      <c r="R17" s="18"/>
      <c r="S17" s="18"/>
      <c r="T17" s="4"/>
      <c r="U17" s="4"/>
      <c r="V17" s="4"/>
      <c r="W17" s="4"/>
      <c r="X17" s="4"/>
      <c r="Y17" s="4"/>
      <c r="Z17" s="4"/>
      <c r="AA17" s="4"/>
      <c r="AB17" s="18"/>
      <c r="AC17" s="18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7.35" hidden="false" customHeight="false" outlineLevel="0" collapsed="false">
      <c r="B18" s="13" t="n">
        <v>16</v>
      </c>
      <c r="C18" s="14" t="s">
        <v>18</v>
      </c>
      <c r="D18" s="15"/>
      <c r="E18" s="15" t="n">
        <f aca="false">F18-300</f>
        <v>-300</v>
      </c>
      <c r="F18" s="15"/>
      <c r="G18" s="13"/>
      <c r="H18" s="13" t="n">
        <f aca="false">+D18*G18</f>
        <v>0</v>
      </c>
      <c r="I18" s="15" t="n">
        <f aca="false">+F18*G18</f>
        <v>0</v>
      </c>
      <c r="J18" s="13" t="n">
        <f aca="false">+E18*G18</f>
        <v>-0</v>
      </c>
      <c r="K18" s="16" t="n">
        <f aca="false">+D18*E18/1000000</f>
        <v>-0</v>
      </c>
      <c r="L18" s="16" t="n">
        <f aca="false">+D18*F18/1000000</f>
        <v>0</v>
      </c>
      <c r="M18" s="16" t="n">
        <f aca="false">+G18*K18</f>
        <v>-0</v>
      </c>
      <c r="N18" s="17" t="n">
        <f aca="false">+G18*L18</f>
        <v>0</v>
      </c>
      <c r="P18" s="4"/>
      <c r="Q18" s="4"/>
      <c r="R18" s="18"/>
      <c r="S18" s="18"/>
      <c r="T18" s="4"/>
      <c r="U18" s="4"/>
      <c r="V18" s="4"/>
      <c r="W18" s="4"/>
      <c r="X18" s="4"/>
      <c r="Y18" s="4"/>
      <c r="Z18" s="4"/>
      <c r="AA18" s="4"/>
      <c r="AB18" s="18"/>
      <c r="AC18" s="18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customFormat="false" ht="17.35" hidden="false" customHeight="false" outlineLevel="0" collapsed="false">
      <c r="B19" s="13" t="n">
        <v>17</v>
      </c>
      <c r="C19" s="14" t="s">
        <v>18</v>
      </c>
      <c r="D19" s="15"/>
      <c r="E19" s="15" t="n">
        <f aca="false">F19-300</f>
        <v>-300</v>
      </c>
      <c r="F19" s="15"/>
      <c r="G19" s="13"/>
      <c r="H19" s="13" t="n">
        <f aca="false">+D19*G19</f>
        <v>0</v>
      </c>
      <c r="I19" s="15" t="n">
        <f aca="false">+F19*G19</f>
        <v>0</v>
      </c>
      <c r="J19" s="13" t="n">
        <f aca="false">+E19*G19</f>
        <v>-0</v>
      </c>
      <c r="K19" s="16" t="n">
        <f aca="false">+D19*E19/1000000</f>
        <v>-0</v>
      </c>
      <c r="L19" s="16" t="n">
        <f aca="false">+D19*F19/1000000</f>
        <v>0</v>
      </c>
      <c r="M19" s="16" t="n">
        <f aca="false">+G19*K19</f>
        <v>-0</v>
      </c>
      <c r="N19" s="17" t="n">
        <f aca="false">+G19*L19</f>
        <v>0</v>
      </c>
      <c r="P19" s="4"/>
      <c r="Q19" s="4"/>
      <c r="R19" s="18"/>
      <c r="S19" s="18"/>
      <c r="T19" s="4"/>
      <c r="U19" s="4"/>
      <c r="V19" s="4"/>
      <c r="W19" s="4"/>
      <c r="X19" s="4"/>
      <c r="Y19" s="4"/>
      <c r="Z19" s="4"/>
      <c r="AA19" s="4"/>
      <c r="AB19" s="18"/>
      <c r="AC19" s="18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customFormat="false" ht="17.35" hidden="false" customHeight="false" outlineLevel="0" collapsed="false">
      <c r="B20" s="13" t="n">
        <v>18</v>
      </c>
      <c r="C20" s="14" t="s">
        <v>18</v>
      </c>
      <c r="D20" s="15"/>
      <c r="E20" s="15" t="n">
        <f aca="false">F20-300</f>
        <v>-300</v>
      </c>
      <c r="F20" s="15"/>
      <c r="G20" s="13"/>
      <c r="H20" s="13" t="n">
        <f aca="false">+D20*G20</f>
        <v>0</v>
      </c>
      <c r="I20" s="15" t="n">
        <f aca="false">+F20*G20</f>
        <v>0</v>
      </c>
      <c r="J20" s="13" t="n">
        <f aca="false">+E20*G20</f>
        <v>-0</v>
      </c>
      <c r="K20" s="16" t="n">
        <f aca="false">+D20*E20/1000000</f>
        <v>-0</v>
      </c>
      <c r="L20" s="16" t="n">
        <f aca="false">+D20*F20/1000000</f>
        <v>0</v>
      </c>
      <c r="M20" s="16" t="n">
        <f aca="false">+G20*K20</f>
        <v>-0</v>
      </c>
      <c r="N20" s="17" t="n">
        <f aca="false">+G20*L20</f>
        <v>0</v>
      </c>
      <c r="P20" s="4"/>
      <c r="Q20" s="4"/>
      <c r="R20" s="18"/>
      <c r="S20" s="18"/>
      <c r="T20" s="4"/>
      <c r="U20" s="4"/>
      <c r="V20" s="4"/>
      <c r="W20" s="4"/>
      <c r="X20" s="4"/>
      <c r="Y20" s="4"/>
      <c r="Z20" s="4"/>
      <c r="AA20" s="4"/>
      <c r="AB20" s="18"/>
      <c r="AC20" s="18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customFormat="false" ht="17.35" hidden="false" customHeight="false" outlineLevel="0" collapsed="false">
      <c r="B21" s="13" t="n">
        <v>19</v>
      </c>
      <c r="C21" s="14" t="s">
        <v>18</v>
      </c>
      <c r="D21" s="15"/>
      <c r="E21" s="15" t="n">
        <f aca="false">F21-300</f>
        <v>-300</v>
      </c>
      <c r="F21" s="15"/>
      <c r="G21" s="13"/>
      <c r="H21" s="13" t="n">
        <f aca="false">+D21*G21</f>
        <v>0</v>
      </c>
      <c r="I21" s="15" t="n">
        <f aca="false">+F21*G21</f>
        <v>0</v>
      </c>
      <c r="J21" s="13" t="n">
        <f aca="false">+E21*G21</f>
        <v>-0</v>
      </c>
      <c r="K21" s="16" t="n">
        <f aca="false">+D21*E21/1000000</f>
        <v>-0</v>
      </c>
      <c r="L21" s="16" t="n">
        <f aca="false">+D21*F21/1000000</f>
        <v>0</v>
      </c>
      <c r="M21" s="16" t="n">
        <f aca="false">+G21*K21</f>
        <v>-0</v>
      </c>
      <c r="N21" s="17" t="n">
        <f aca="false">+G21*L21</f>
        <v>0</v>
      </c>
      <c r="P21" s="4"/>
      <c r="Q21" s="4"/>
      <c r="R21" s="18"/>
      <c r="S21" s="18"/>
      <c r="T21" s="4"/>
      <c r="U21" s="4"/>
      <c r="V21" s="4"/>
      <c r="W21" s="4"/>
      <c r="X21" s="4"/>
      <c r="Y21" s="4"/>
      <c r="Z21" s="4"/>
      <c r="AA21" s="4"/>
      <c r="AB21" s="18"/>
      <c r="AC21" s="18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customFormat="false" ht="17.35" hidden="false" customHeight="false" outlineLevel="0" collapsed="false">
      <c r="B22" s="13" t="n">
        <v>20</v>
      </c>
      <c r="C22" s="14" t="s">
        <v>18</v>
      </c>
      <c r="D22" s="15"/>
      <c r="E22" s="15" t="n">
        <f aca="false">F22-300</f>
        <v>-300</v>
      </c>
      <c r="F22" s="15"/>
      <c r="G22" s="13"/>
      <c r="H22" s="13" t="n">
        <f aca="false">+D22*G22</f>
        <v>0</v>
      </c>
      <c r="I22" s="15" t="n">
        <f aca="false">+F22*G22</f>
        <v>0</v>
      </c>
      <c r="J22" s="13" t="n">
        <f aca="false">+E22*G22</f>
        <v>-0</v>
      </c>
      <c r="K22" s="16" t="n">
        <f aca="false">+D22*E22/1000000</f>
        <v>-0</v>
      </c>
      <c r="L22" s="16" t="n">
        <f aca="false">+D22*F22/1000000</f>
        <v>0</v>
      </c>
      <c r="M22" s="16" t="n">
        <f aca="false">+G22*K22</f>
        <v>-0</v>
      </c>
      <c r="N22" s="17" t="n">
        <f aca="false">+G22*L22</f>
        <v>0</v>
      </c>
      <c r="P22" s="4"/>
      <c r="Q22" s="4"/>
      <c r="R22" s="18"/>
      <c r="S22" s="18"/>
      <c r="T22" s="4"/>
      <c r="U22" s="4"/>
      <c r="V22" s="4"/>
      <c r="W22" s="4"/>
      <c r="X22" s="4"/>
      <c r="Y22" s="4"/>
      <c r="Z22" s="4"/>
      <c r="AA22" s="4"/>
      <c r="AB22" s="18"/>
      <c r="AC22" s="18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customFormat="false" ht="17.35" hidden="false" customHeight="false" outlineLevel="0" collapsed="false">
      <c r="B23" s="13" t="n">
        <v>21</v>
      </c>
      <c r="C23" s="14" t="s">
        <v>18</v>
      </c>
      <c r="D23" s="15"/>
      <c r="E23" s="15" t="n">
        <f aca="false">F23-300</f>
        <v>-300</v>
      </c>
      <c r="F23" s="15"/>
      <c r="G23" s="13"/>
      <c r="H23" s="13" t="n">
        <f aca="false">+D23*G23</f>
        <v>0</v>
      </c>
      <c r="I23" s="15" t="n">
        <f aca="false">+F23*G23</f>
        <v>0</v>
      </c>
      <c r="J23" s="13" t="n">
        <f aca="false">+E23*G23</f>
        <v>-0</v>
      </c>
      <c r="K23" s="16" t="n">
        <f aca="false">+D23*E23/1000000</f>
        <v>-0</v>
      </c>
      <c r="L23" s="16" t="n">
        <f aca="false">+D23*F23/1000000</f>
        <v>0</v>
      </c>
      <c r="M23" s="16" t="n">
        <f aca="false">+G23*K23</f>
        <v>-0</v>
      </c>
      <c r="N23" s="17" t="n">
        <f aca="false">+G23*L23</f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7.35" hidden="false" customHeight="false" outlineLevel="0" collapsed="false">
      <c r="B24" s="13" t="n">
        <v>22</v>
      </c>
      <c r="C24" s="14" t="s">
        <v>18</v>
      </c>
      <c r="D24" s="15"/>
      <c r="E24" s="15" t="n">
        <f aca="false">F24-300</f>
        <v>-300</v>
      </c>
      <c r="F24" s="15"/>
      <c r="G24" s="13"/>
      <c r="H24" s="13" t="n">
        <f aca="false">+D24*G24</f>
        <v>0</v>
      </c>
      <c r="I24" s="15" t="n">
        <f aca="false">+F24*G24</f>
        <v>0</v>
      </c>
      <c r="J24" s="13" t="n">
        <f aca="false">+E24*G24</f>
        <v>-0</v>
      </c>
      <c r="K24" s="16" t="n">
        <f aca="false">+D24*E24/1000000</f>
        <v>-0</v>
      </c>
      <c r="L24" s="16" t="n">
        <f aca="false">+D24*F24/1000000</f>
        <v>0</v>
      </c>
      <c r="M24" s="16" t="n">
        <f aca="false">+G24*K24</f>
        <v>-0</v>
      </c>
      <c r="N24" s="17" t="n">
        <f aca="false">+G24*L24</f>
        <v>0</v>
      </c>
      <c r="P24" s="4"/>
      <c r="Q24" s="12"/>
      <c r="R24" s="12"/>
      <c r="S24" s="12"/>
      <c r="T24" s="12"/>
      <c r="U24" s="12"/>
      <c r="V24" s="12"/>
      <c r="W24" s="12"/>
      <c r="X24" s="4"/>
      <c r="Y24" s="4"/>
      <c r="Z24" s="4"/>
      <c r="AA24" s="4"/>
      <c r="AB24" s="12"/>
      <c r="AC24" s="12"/>
      <c r="AD24" s="12"/>
      <c r="AE24" s="12"/>
      <c r="AF24" s="12"/>
      <c r="AG24" s="12"/>
      <c r="AH24" s="12"/>
      <c r="AI24" s="4"/>
      <c r="AJ24" s="4"/>
      <c r="AK24" s="4"/>
      <c r="AL24" s="4"/>
      <c r="AM24" s="4"/>
    </row>
    <row r="25" customFormat="false" ht="17.35" hidden="false" customHeight="false" outlineLevel="0" collapsed="false">
      <c r="B25" s="13" t="n">
        <v>23</v>
      </c>
      <c r="C25" s="14" t="s">
        <v>18</v>
      </c>
      <c r="D25" s="15"/>
      <c r="E25" s="15" t="n">
        <f aca="false">F25-300</f>
        <v>-300</v>
      </c>
      <c r="F25" s="15"/>
      <c r="G25" s="13" t="n">
        <v>0</v>
      </c>
      <c r="H25" s="13" t="n">
        <f aca="false">+D25*G25</f>
        <v>0</v>
      </c>
      <c r="I25" s="15" t="n">
        <f aca="false">+F25*G25</f>
        <v>0</v>
      </c>
      <c r="J25" s="13" t="n">
        <f aca="false">+E25*G25</f>
        <v>-0</v>
      </c>
      <c r="K25" s="16" t="n">
        <f aca="false">+D25*E25/1000000</f>
        <v>-0</v>
      </c>
      <c r="L25" s="16" t="n">
        <f aca="false">+D25*F25/1000000</f>
        <v>0</v>
      </c>
      <c r="M25" s="16" t="n">
        <f aca="false">+G25*K25</f>
        <v>-0</v>
      </c>
      <c r="N25" s="17" t="n">
        <f aca="false">+G25*L25</f>
        <v>0</v>
      </c>
      <c r="P25" s="4"/>
      <c r="Q25" s="4"/>
      <c r="R25" s="4"/>
      <c r="S25" s="4"/>
      <c r="T25" s="21"/>
      <c r="U25" s="21"/>
      <c r="V25" s="22"/>
      <c r="W25" s="22"/>
      <c r="X25" s="4"/>
      <c r="Y25" s="4"/>
      <c r="Z25" s="4"/>
      <c r="AA25" s="4"/>
      <c r="AB25" s="4"/>
      <c r="AC25" s="4"/>
      <c r="AD25" s="4"/>
      <c r="AE25" s="21"/>
      <c r="AF25" s="21"/>
      <c r="AG25" s="22"/>
      <c r="AH25" s="22"/>
      <c r="AI25" s="4"/>
      <c r="AJ25" s="4"/>
      <c r="AK25" s="4"/>
      <c r="AL25" s="4"/>
      <c r="AM25" s="4"/>
    </row>
    <row r="26" customFormat="false" ht="17.35" hidden="false" customHeight="false" outlineLevel="0" collapsed="false">
      <c r="B26" s="13" t="n">
        <v>24</v>
      </c>
      <c r="C26" s="14" t="s">
        <v>18</v>
      </c>
      <c r="D26" s="15"/>
      <c r="E26" s="15" t="n">
        <f aca="false">F26-300</f>
        <v>-300</v>
      </c>
      <c r="F26" s="15"/>
      <c r="G26" s="13" t="n">
        <v>0</v>
      </c>
      <c r="H26" s="13" t="n">
        <f aca="false">+D26*G26</f>
        <v>0</v>
      </c>
      <c r="I26" s="15" t="n">
        <f aca="false">+F26*G26</f>
        <v>0</v>
      </c>
      <c r="J26" s="13" t="n">
        <f aca="false">+E26*G26</f>
        <v>-0</v>
      </c>
      <c r="K26" s="16" t="n">
        <f aca="false">+D26*E26/1000000</f>
        <v>-0</v>
      </c>
      <c r="L26" s="16" t="n">
        <f aca="false">+D26*F26/1000000</f>
        <v>0</v>
      </c>
      <c r="M26" s="16" t="n">
        <f aca="false">+G26*K26</f>
        <v>-0</v>
      </c>
      <c r="N26" s="17" t="n">
        <f aca="false">+G26*L26</f>
        <v>0</v>
      </c>
      <c r="O26" s="22"/>
      <c r="P26" s="4"/>
      <c r="Q26" s="4"/>
      <c r="R26" s="4"/>
      <c r="S26" s="4"/>
      <c r="T26" s="4"/>
      <c r="U26" s="4"/>
      <c r="V26" s="21"/>
      <c r="W26" s="21"/>
      <c r="X26" s="22"/>
      <c r="Y26" s="22"/>
      <c r="Z26" s="4"/>
      <c r="AA26" s="4"/>
      <c r="AB26" s="4"/>
      <c r="AC26" s="4"/>
      <c r="AD26" s="4"/>
      <c r="AE26" s="4"/>
      <c r="AF26" s="4"/>
      <c r="AG26" s="21"/>
      <c r="AH26" s="21"/>
      <c r="AI26" s="22"/>
      <c r="AJ26" s="22"/>
      <c r="AK26" s="4"/>
      <c r="AL26" s="4"/>
      <c r="AM26" s="4"/>
    </row>
    <row r="27" customFormat="false" ht="17.35" hidden="false" customHeight="false" outlineLevel="0" collapsed="false">
      <c r="B27" s="13" t="n">
        <v>25</v>
      </c>
      <c r="C27" s="14" t="s">
        <v>18</v>
      </c>
      <c r="D27" s="15"/>
      <c r="E27" s="15" t="n">
        <f aca="false">F27-300</f>
        <v>-300</v>
      </c>
      <c r="F27" s="15"/>
      <c r="G27" s="13" t="n">
        <v>0</v>
      </c>
      <c r="H27" s="13" t="n">
        <f aca="false">+D27*G27</f>
        <v>0</v>
      </c>
      <c r="I27" s="15" t="n">
        <f aca="false">+F27*G27</f>
        <v>0</v>
      </c>
      <c r="J27" s="13" t="n">
        <f aca="false">+E27*G27</f>
        <v>-0</v>
      </c>
      <c r="K27" s="16" t="n">
        <f aca="false">+D27*E27/1000000</f>
        <v>-0</v>
      </c>
      <c r="L27" s="16" t="n">
        <f aca="false">+D27*F27/1000000</f>
        <v>0</v>
      </c>
      <c r="M27" s="16" t="n">
        <f aca="false">+G27*K27</f>
        <v>-0</v>
      </c>
      <c r="N27" s="17" t="n">
        <f aca="false">+G27*L27</f>
        <v>0</v>
      </c>
      <c r="O27" s="22"/>
      <c r="P27" s="4"/>
      <c r="Q27" s="4"/>
      <c r="R27" s="4"/>
      <c r="S27" s="4"/>
      <c r="T27" s="4"/>
      <c r="U27" s="4"/>
      <c r="V27" s="21"/>
      <c r="W27" s="21"/>
      <c r="X27" s="22"/>
      <c r="Y27" s="22"/>
      <c r="Z27" s="4"/>
      <c r="AA27" s="4"/>
      <c r="AB27" s="4"/>
      <c r="AC27" s="4"/>
      <c r="AD27" s="4"/>
      <c r="AE27" s="4"/>
      <c r="AF27" s="4"/>
      <c r="AG27" s="21"/>
      <c r="AH27" s="21"/>
      <c r="AI27" s="22"/>
      <c r="AJ27" s="22"/>
      <c r="AK27" s="4"/>
      <c r="AL27" s="4"/>
      <c r="AM27" s="4"/>
    </row>
    <row r="28" customFormat="false" ht="17.35" hidden="false" customHeight="false" outlineLevel="0" collapsed="false">
      <c r="B28" s="13" t="n">
        <v>26</v>
      </c>
      <c r="C28" s="14" t="s">
        <v>18</v>
      </c>
      <c r="D28" s="15"/>
      <c r="E28" s="15" t="n">
        <f aca="false">F28-300</f>
        <v>-300</v>
      </c>
      <c r="F28" s="15"/>
      <c r="G28" s="13" t="n">
        <v>0</v>
      </c>
      <c r="H28" s="13" t="n">
        <f aca="false">+D28*G28</f>
        <v>0</v>
      </c>
      <c r="I28" s="15" t="n">
        <f aca="false">+F28*G28</f>
        <v>0</v>
      </c>
      <c r="J28" s="13" t="n">
        <f aca="false">+E28*G28</f>
        <v>-0</v>
      </c>
      <c r="K28" s="16" t="n">
        <f aca="false">+D28*E28/1000000</f>
        <v>-0</v>
      </c>
      <c r="L28" s="16" t="n">
        <f aca="false">+D28*F28/1000000</f>
        <v>0</v>
      </c>
      <c r="M28" s="16" t="n">
        <f aca="false">+G28*K28</f>
        <v>-0</v>
      </c>
      <c r="N28" s="17" t="n">
        <f aca="false">+G28*L28</f>
        <v>0</v>
      </c>
      <c r="O28" s="22"/>
      <c r="P28" s="4"/>
      <c r="Q28" s="4"/>
      <c r="R28" s="4"/>
      <c r="S28" s="4"/>
      <c r="T28" s="4"/>
      <c r="U28" s="4"/>
      <c r="V28" s="21"/>
      <c r="W28" s="21"/>
      <c r="X28" s="22"/>
      <c r="Y28" s="21"/>
      <c r="Z28" s="4"/>
      <c r="AA28" s="4"/>
      <c r="AB28" s="4"/>
      <c r="AC28" s="4"/>
      <c r="AD28" s="4"/>
      <c r="AE28" s="4"/>
      <c r="AF28" s="4"/>
      <c r="AG28" s="21"/>
      <c r="AH28" s="21"/>
      <c r="AI28" s="22"/>
      <c r="AJ28" s="21"/>
      <c r="AK28" s="4"/>
      <c r="AL28" s="4"/>
      <c r="AM28" s="4"/>
    </row>
    <row r="29" customFormat="false" ht="17.35" hidden="false" customHeight="false" outlineLevel="0" collapsed="false">
      <c r="B29" s="13" t="n">
        <v>27</v>
      </c>
      <c r="C29" s="14" t="s">
        <v>18</v>
      </c>
      <c r="D29" s="15"/>
      <c r="E29" s="15" t="n">
        <f aca="false">F29-300</f>
        <v>-300</v>
      </c>
      <c r="F29" s="15"/>
      <c r="G29" s="13" t="n">
        <v>0</v>
      </c>
      <c r="H29" s="13" t="n">
        <f aca="false">+D29*G29</f>
        <v>0</v>
      </c>
      <c r="I29" s="15" t="n">
        <f aca="false">+F29*G29</f>
        <v>0</v>
      </c>
      <c r="J29" s="13" t="n">
        <f aca="false">+E29*G29</f>
        <v>-0</v>
      </c>
      <c r="K29" s="16" t="n">
        <f aca="false">+D29*E29/1000000</f>
        <v>-0</v>
      </c>
      <c r="L29" s="16" t="n">
        <f aca="false">+D29*F29/1000000</f>
        <v>0</v>
      </c>
      <c r="M29" s="16" t="n">
        <f aca="false">+G29*K29</f>
        <v>-0</v>
      </c>
      <c r="N29" s="17" t="n">
        <f aca="false">+G29*L29</f>
        <v>0</v>
      </c>
      <c r="O29" s="23"/>
      <c r="P29" s="4"/>
      <c r="Q29" s="4"/>
      <c r="R29" s="4"/>
      <c r="S29" s="4"/>
      <c r="T29" s="4"/>
      <c r="U29" s="4"/>
      <c r="V29" s="21"/>
      <c r="W29" s="21"/>
      <c r="X29" s="22"/>
      <c r="Y29" s="21"/>
      <c r="Z29" s="4"/>
      <c r="AA29" s="4"/>
      <c r="AB29" s="4"/>
      <c r="AC29" s="4"/>
      <c r="AD29" s="4"/>
      <c r="AE29" s="4"/>
      <c r="AF29" s="4"/>
      <c r="AG29" s="21"/>
      <c r="AH29" s="21"/>
      <c r="AI29" s="22"/>
      <c r="AJ29" s="21"/>
      <c r="AK29" s="4"/>
      <c r="AL29" s="4"/>
      <c r="AM29" s="4"/>
    </row>
    <row r="30" customFormat="false" ht="17.35" hidden="false" customHeight="false" outlineLevel="0" collapsed="false">
      <c r="B30" s="13" t="n">
        <v>28</v>
      </c>
      <c r="C30" s="14" t="s">
        <v>18</v>
      </c>
      <c r="D30" s="15"/>
      <c r="E30" s="15" t="n">
        <f aca="false">F30-300</f>
        <v>-300</v>
      </c>
      <c r="F30" s="15"/>
      <c r="G30" s="13" t="n">
        <v>0</v>
      </c>
      <c r="H30" s="13" t="n">
        <f aca="false">+D30*G30</f>
        <v>0</v>
      </c>
      <c r="I30" s="15" t="n">
        <f aca="false">+F30*G30</f>
        <v>0</v>
      </c>
      <c r="J30" s="13" t="n">
        <f aca="false">+E30*G30</f>
        <v>-0</v>
      </c>
      <c r="K30" s="16" t="n">
        <f aca="false">+D30*E30/1000000</f>
        <v>-0</v>
      </c>
      <c r="L30" s="16" t="n">
        <f aca="false">+D30*F30/1000000</f>
        <v>0</v>
      </c>
      <c r="M30" s="16" t="n">
        <f aca="false">+G30*K30</f>
        <v>-0</v>
      </c>
      <c r="N30" s="17" t="n">
        <f aca="false">+G30*L30</f>
        <v>0</v>
      </c>
      <c r="P30" s="4"/>
      <c r="Q30" s="24"/>
      <c r="R30" s="4"/>
      <c r="S30" s="4"/>
      <c r="T30" s="4"/>
      <c r="U30" s="4"/>
      <c r="V30" s="21"/>
      <c r="W30" s="21"/>
      <c r="X30" s="22"/>
      <c r="Y30" s="21"/>
      <c r="Z30" s="4"/>
      <c r="AA30" s="4"/>
      <c r="AB30" s="4"/>
      <c r="AC30" s="4"/>
      <c r="AD30" s="4"/>
      <c r="AE30" s="4"/>
      <c r="AF30" s="4"/>
      <c r="AG30" s="21"/>
      <c r="AH30" s="21"/>
      <c r="AI30" s="22"/>
      <c r="AJ30" s="21"/>
      <c r="AK30" s="4"/>
      <c r="AL30" s="4"/>
      <c r="AM30" s="4"/>
    </row>
    <row r="31" customFormat="false" ht="17.35" hidden="false" customHeight="false" outlineLevel="0" collapsed="false">
      <c r="B31" s="13" t="n">
        <v>29</v>
      </c>
      <c r="C31" s="14" t="s">
        <v>18</v>
      </c>
      <c r="D31" s="15"/>
      <c r="E31" s="15" t="n">
        <f aca="false">F31-300</f>
        <v>-300</v>
      </c>
      <c r="F31" s="15"/>
      <c r="G31" s="13" t="n">
        <v>0</v>
      </c>
      <c r="H31" s="13" t="n">
        <f aca="false">+D31*G31</f>
        <v>0</v>
      </c>
      <c r="I31" s="15" t="n">
        <f aca="false">+F31*G31</f>
        <v>0</v>
      </c>
      <c r="J31" s="13" t="n">
        <f aca="false">+E31*G31</f>
        <v>-0</v>
      </c>
      <c r="K31" s="16" t="n">
        <f aca="false">+D31*E31/1000000</f>
        <v>-0</v>
      </c>
      <c r="L31" s="16" t="n">
        <f aca="false">+D31*F31/1000000</f>
        <v>0</v>
      </c>
      <c r="M31" s="16" t="n">
        <f aca="false">+G31*K31</f>
        <v>-0</v>
      </c>
      <c r="N31" s="17" t="n">
        <f aca="false">+G31*L31</f>
        <v>0</v>
      </c>
      <c r="O31" s="25"/>
      <c r="P31" s="4"/>
      <c r="Q31" s="4"/>
      <c r="R31" s="4"/>
      <c r="S31" s="4"/>
      <c r="T31" s="21"/>
      <c r="U31" s="21"/>
      <c r="V31" s="22"/>
      <c r="W31" s="22"/>
      <c r="X31" s="4"/>
      <c r="Y31" s="4"/>
      <c r="Z31" s="4"/>
      <c r="AA31" s="4"/>
      <c r="AB31" s="4"/>
      <c r="AC31" s="4"/>
      <c r="AD31" s="4"/>
      <c r="AE31" s="21"/>
      <c r="AF31" s="21"/>
      <c r="AG31" s="22"/>
      <c r="AH31" s="22"/>
      <c r="AI31" s="4"/>
      <c r="AJ31" s="4"/>
      <c r="AK31" s="4"/>
      <c r="AL31" s="4"/>
      <c r="AM31" s="4"/>
    </row>
    <row r="32" customFormat="false" ht="17.35" hidden="false" customHeight="false" outlineLevel="0" collapsed="false">
      <c r="B32" s="13" t="n">
        <v>30</v>
      </c>
      <c r="C32" s="14" t="s">
        <v>18</v>
      </c>
      <c r="D32" s="15"/>
      <c r="E32" s="15" t="n">
        <f aca="false">F32-300</f>
        <v>-300</v>
      </c>
      <c r="F32" s="15"/>
      <c r="G32" s="13" t="n">
        <v>0</v>
      </c>
      <c r="H32" s="13" t="n">
        <f aca="false">+D32*G32</f>
        <v>0</v>
      </c>
      <c r="I32" s="15" t="n">
        <f aca="false">+F32*G32</f>
        <v>0</v>
      </c>
      <c r="J32" s="13" t="n">
        <f aca="false">+E32*G32</f>
        <v>-0</v>
      </c>
      <c r="K32" s="16" t="n">
        <f aca="false">+D32*E32/1000000</f>
        <v>-0</v>
      </c>
      <c r="L32" s="16" t="n">
        <f aca="false">+D32*F32/1000000</f>
        <v>0</v>
      </c>
      <c r="M32" s="16" t="n">
        <f aca="false">+G32*K32</f>
        <v>-0</v>
      </c>
      <c r="N32" s="17" t="n">
        <f aca="false">+G32*L32</f>
        <v>0</v>
      </c>
      <c r="O32" s="6"/>
      <c r="P32" s="26"/>
      <c r="Q32" s="26"/>
      <c r="R32" s="4"/>
      <c r="S32" s="4"/>
      <c r="T32" s="4"/>
      <c r="U32" s="21"/>
      <c r="V32" s="22"/>
      <c r="W32" s="4"/>
      <c r="X32" s="4"/>
      <c r="Y32" s="4"/>
      <c r="Z32" s="4"/>
      <c r="AA32" s="4"/>
      <c r="AB32" s="4"/>
      <c r="AC32" s="4"/>
      <c r="AD32" s="4"/>
      <c r="AE32" s="21"/>
      <c r="AF32" s="21"/>
      <c r="AG32" s="22"/>
      <c r="AH32" s="4"/>
      <c r="AI32" s="4"/>
      <c r="AJ32" s="4"/>
      <c r="AK32" s="4"/>
      <c r="AL32" s="4"/>
      <c r="AM32" s="4"/>
    </row>
    <row r="33" customFormat="false" ht="17.35" hidden="false" customHeight="false" outlineLevel="0" collapsed="false">
      <c r="A33" s="4"/>
      <c r="B33" s="13" t="n">
        <v>31</v>
      </c>
      <c r="C33" s="14" t="s">
        <v>18</v>
      </c>
      <c r="D33" s="15"/>
      <c r="E33" s="15" t="n">
        <f aca="false">F33-300</f>
        <v>-300</v>
      </c>
      <c r="F33" s="15"/>
      <c r="G33" s="13" t="n">
        <v>0</v>
      </c>
      <c r="H33" s="13" t="n">
        <f aca="false">+D33*G33</f>
        <v>0</v>
      </c>
      <c r="I33" s="15" t="n">
        <f aca="false">+F33*G33</f>
        <v>0</v>
      </c>
      <c r="J33" s="13" t="n">
        <f aca="false">+E33*G33</f>
        <v>-0</v>
      </c>
      <c r="K33" s="16" t="n">
        <f aca="false">+D33*E33/1000000</f>
        <v>-0</v>
      </c>
      <c r="L33" s="16" t="n">
        <f aca="false">+D33*F33/1000000</f>
        <v>0</v>
      </c>
      <c r="M33" s="16" t="n">
        <f aca="false">+G33*K33</f>
        <v>-0</v>
      </c>
      <c r="N33" s="17" t="n">
        <f aca="false">+G33*L33</f>
        <v>0</v>
      </c>
      <c r="O33" s="6"/>
      <c r="P33" s="12"/>
      <c r="Q33" s="24"/>
      <c r="R33" s="24"/>
      <c r="S33" s="4"/>
      <c r="T33" s="4"/>
      <c r="U33" s="4"/>
      <c r="V33" s="21"/>
      <c r="W33" s="21"/>
      <c r="X33" s="22"/>
      <c r="Y33" s="4"/>
      <c r="Z33" s="4"/>
      <c r="AA33" s="4"/>
      <c r="AB33" s="4"/>
      <c r="AC33" s="26"/>
      <c r="AD33" s="26"/>
      <c r="AE33" s="4"/>
      <c r="AF33" s="4"/>
      <c r="AG33" s="4"/>
      <c r="AH33" s="21"/>
      <c r="AI33" s="22"/>
      <c r="AJ33" s="4"/>
      <c r="AK33" s="4"/>
      <c r="AL33" s="4"/>
      <c r="AM33" s="4"/>
    </row>
    <row r="34" customFormat="false" ht="17.35" hidden="false" customHeight="false" outlineLevel="0" collapsed="false">
      <c r="A34" s="27"/>
      <c r="B34" s="13" t="n">
        <v>32</v>
      </c>
      <c r="C34" s="14" t="s">
        <v>18</v>
      </c>
      <c r="D34" s="15"/>
      <c r="E34" s="15" t="n">
        <f aca="false">F34-300</f>
        <v>-300</v>
      </c>
      <c r="F34" s="15"/>
      <c r="G34" s="13" t="n">
        <v>0</v>
      </c>
      <c r="H34" s="13" t="n">
        <f aca="false">+D34*G34</f>
        <v>0</v>
      </c>
      <c r="I34" s="15" t="n">
        <f aca="false">+F34*G34</f>
        <v>0</v>
      </c>
      <c r="J34" s="13" t="n">
        <f aca="false">+E34*G34</f>
        <v>-0</v>
      </c>
      <c r="K34" s="16" t="n">
        <f aca="false">+D34*E34/1000000</f>
        <v>-0</v>
      </c>
      <c r="L34" s="16" t="n">
        <f aca="false">+D34*F34/1000000</f>
        <v>0</v>
      </c>
      <c r="M34" s="16" t="n">
        <f aca="false">+G34*K34</f>
        <v>-0</v>
      </c>
      <c r="N34" s="17" t="n">
        <f aca="false">+G34*L34</f>
        <v>0</v>
      </c>
      <c r="O34" s="4"/>
      <c r="P34" s="22"/>
      <c r="Q34" s="4"/>
      <c r="R34" s="24"/>
      <c r="S34" s="24"/>
      <c r="T34" s="4"/>
      <c r="U34" s="4"/>
      <c r="V34" s="4"/>
      <c r="W34" s="21"/>
      <c r="X34" s="21"/>
      <c r="Y34" s="22"/>
      <c r="Z34" s="4"/>
      <c r="AA34" s="4"/>
      <c r="AB34" s="4"/>
      <c r="AC34" s="4"/>
      <c r="AD34" s="24"/>
      <c r="AE34" s="4"/>
      <c r="AF34" s="4"/>
      <c r="AG34" s="4"/>
      <c r="AH34" s="21"/>
      <c r="AI34" s="21"/>
      <c r="AJ34" s="22"/>
      <c r="AK34" s="4"/>
      <c r="AL34" s="4"/>
      <c r="AM34" s="4"/>
    </row>
    <row r="35" customFormat="false" ht="17.35" hidden="false" customHeight="false" outlineLevel="0" collapsed="false">
      <c r="A35" s="27"/>
      <c r="B35" s="13" t="n">
        <v>33</v>
      </c>
      <c r="C35" s="14" t="s">
        <v>18</v>
      </c>
      <c r="D35" s="15"/>
      <c r="E35" s="15" t="n">
        <f aca="false">F35-300</f>
        <v>-300</v>
      </c>
      <c r="F35" s="15"/>
      <c r="G35" s="13" t="n">
        <v>0</v>
      </c>
      <c r="H35" s="13" t="n">
        <f aca="false">+D35*G35</f>
        <v>0</v>
      </c>
      <c r="I35" s="15" t="n">
        <f aca="false">+F35*G35</f>
        <v>0</v>
      </c>
      <c r="J35" s="13" t="n">
        <f aca="false">+E35*G35</f>
        <v>-0</v>
      </c>
      <c r="K35" s="16" t="n">
        <f aca="false">+D35*E35/1000000</f>
        <v>-0</v>
      </c>
      <c r="L35" s="16" t="n">
        <f aca="false">+D35*F35/1000000</f>
        <v>0</v>
      </c>
      <c r="M35" s="16" t="n">
        <f aca="false">+G35*K35</f>
        <v>-0</v>
      </c>
      <c r="N35" s="17" t="n">
        <f aca="false">+G35*L35</f>
        <v>0</v>
      </c>
      <c r="O35" s="4"/>
      <c r="P35" s="22"/>
      <c r="Q35" s="4"/>
      <c r="R35" s="4"/>
      <c r="S35" s="24"/>
      <c r="T35" s="4"/>
      <c r="U35" s="4"/>
      <c r="V35" s="4"/>
      <c r="W35" s="21"/>
      <c r="X35" s="21"/>
      <c r="Y35" s="22"/>
      <c r="Z35" s="4"/>
      <c r="AA35" s="4"/>
      <c r="AB35" s="4"/>
      <c r="AC35" s="4"/>
      <c r="AD35" s="24"/>
      <c r="AE35" s="4"/>
      <c r="AF35" s="4"/>
      <c r="AG35" s="4"/>
      <c r="AH35" s="21"/>
      <c r="AI35" s="21"/>
      <c r="AJ35" s="22"/>
      <c r="AK35" s="4"/>
      <c r="AL35" s="4"/>
      <c r="AM35" s="4"/>
    </row>
    <row r="36" customFormat="false" ht="17.35" hidden="false" customHeight="false" outlineLevel="0" collapsed="false">
      <c r="A36" s="27"/>
      <c r="B36" s="13" t="n">
        <v>34</v>
      </c>
      <c r="C36" s="14" t="s">
        <v>18</v>
      </c>
      <c r="D36" s="15"/>
      <c r="E36" s="15" t="n">
        <f aca="false">F36-300</f>
        <v>-300</v>
      </c>
      <c r="F36" s="15"/>
      <c r="G36" s="13" t="n">
        <v>0</v>
      </c>
      <c r="H36" s="13" t="n">
        <f aca="false">+D36*G36</f>
        <v>0</v>
      </c>
      <c r="I36" s="15" t="n">
        <f aca="false">+F36*G36</f>
        <v>0</v>
      </c>
      <c r="J36" s="13" t="n">
        <f aca="false">+E36*G36</f>
        <v>-0</v>
      </c>
      <c r="K36" s="16" t="n">
        <f aca="false">+D36*E36/1000000</f>
        <v>-0</v>
      </c>
      <c r="L36" s="16" t="n">
        <f aca="false">+D36*F36/1000000</f>
        <v>0</v>
      </c>
      <c r="M36" s="16" t="n">
        <f aca="false">+G36*K36</f>
        <v>-0</v>
      </c>
      <c r="N36" s="17" t="n">
        <f aca="false">+G36*L36</f>
        <v>0</v>
      </c>
      <c r="O36" s="4"/>
      <c r="P36" s="22"/>
      <c r="Q36" s="4"/>
      <c r="R36" s="4"/>
      <c r="S36" s="24"/>
      <c r="T36" s="4"/>
      <c r="U36" s="4"/>
      <c r="V36" s="4"/>
      <c r="W36" s="21"/>
      <c r="X36" s="21"/>
      <c r="Y36" s="22"/>
      <c r="Z36" s="4"/>
      <c r="AA36" s="4"/>
      <c r="AB36" s="4"/>
      <c r="AC36" s="4"/>
      <c r="AD36" s="24"/>
      <c r="AE36" s="4"/>
      <c r="AF36" s="4"/>
      <c r="AG36" s="4"/>
      <c r="AH36" s="21"/>
      <c r="AI36" s="21"/>
      <c r="AJ36" s="22"/>
      <c r="AK36" s="4"/>
      <c r="AL36" s="4"/>
      <c r="AM36" s="4"/>
    </row>
    <row r="37" customFormat="false" ht="17.35" hidden="false" customHeight="false" outlineLevel="0" collapsed="false">
      <c r="A37" s="27"/>
      <c r="B37" s="13" t="n">
        <v>35</v>
      </c>
      <c r="C37" s="14" t="s">
        <v>18</v>
      </c>
      <c r="D37" s="15"/>
      <c r="E37" s="15" t="n">
        <f aca="false">F37-300</f>
        <v>-300</v>
      </c>
      <c r="F37" s="15"/>
      <c r="G37" s="13" t="n">
        <v>0</v>
      </c>
      <c r="H37" s="13" t="n">
        <f aca="false">+D37*G37</f>
        <v>0</v>
      </c>
      <c r="I37" s="15" t="n">
        <f aca="false">+F37*G37</f>
        <v>0</v>
      </c>
      <c r="J37" s="13" t="n">
        <f aca="false">+E37*G37</f>
        <v>-0</v>
      </c>
      <c r="K37" s="16" t="n">
        <f aca="false">+D37*E37/1000000</f>
        <v>-0</v>
      </c>
      <c r="L37" s="16" t="n">
        <f aca="false">+D37*F37/1000000</f>
        <v>0</v>
      </c>
      <c r="M37" s="16" t="n">
        <f aca="false">+G37*K37</f>
        <v>-0</v>
      </c>
      <c r="N37" s="17" t="n">
        <f aca="false">+G37*L37</f>
        <v>0</v>
      </c>
      <c r="O37" s="4"/>
      <c r="P37" s="22"/>
      <c r="Q37" s="4"/>
      <c r="R37" s="4"/>
      <c r="S37" s="24"/>
      <c r="T37" s="4"/>
      <c r="U37" s="4"/>
      <c r="V37" s="4"/>
      <c r="W37" s="21"/>
      <c r="X37" s="21"/>
      <c r="Y37" s="28"/>
      <c r="Z37" s="4"/>
      <c r="AA37" s="4"/>
      <c r="AB37" s="4"/>
      <c r="AC37" s="4"/>
      <c r="AD37" s="24"/>
      <c r="AE37" s="4"/>
      <c r="AF37" s="4"/>
      <c r="AG37" s="4"/>
      <c r="AH37" s="21"/>
      <c r="AI37" s="21"/>
      <c r="AJ37" s="22"/>
      <c r="AK37" s="4"/>
      <c r="AL37" s="4"/>
      <c r="AM37" s="4"/>
    </row>
    <row r="38" customFormat="false" ht="17.35" hidden="false" customHeight="false" outlineLevel="0" collapsed="false">
      <c r="A38" s="27"/>
      <c r="B38" s="13" t="n">
        <v>36</v>
      </c>
      <c r="C38" s="14" t="s">
        <v>18</v>
      </c>
      <c r="D38" s="15"/>
      <c r="E38" s="15" t="n">
        <f aca="false">F38-300</f>
        <v>-300</v>
      </c>
      <c r="F38" s="15"/>
      <c r="G38" s="13" t="n">
        <v>0</v>
      </c>
      <c r="H38" s="13" t="n">
        <f aca="false">+D38*G38</f>
        <v>0</v>
      </c>
      <c r="I38" s="15" t="n">
        <f aca="false">+F38*G38</f>
        <v>0</v>
      </c>
      <c r="J38" s="13" t="n">
        <f aca="false">+E38*G38</f>
        <v>-0</v>
      </c>
      <c r="K38" s="16" t="n">
        <f aca="false">+D38*E38/1000000</f>
        <v>-0</v>
      </c>
      <c r="L38" s="16" t="n">
        <f aca="false">+D38*F38/1000000</f>
        <v>0</v>
      </c>
      <c r="M38" s="16" t="n">
        <f aca="false">+G38*K38</f>
        <v>-0</v>
      </c>
      <c r="N38" s="17" t="n">
        <f aca="false">+G38*L38</f>
        <v>0</v>
      </c>
      <c r="O38" s="4"/>
      <c r="P38" s="2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24"/>
      <c r="AD38" s="4"/>
      <c r="AE38" s="4"/>
      <c r="AF38" s="4"/>
      <c r="AG38" s="21"/>
      <c r="AH38" s="21"/>
      <c r="AI38" s="21"/>
      <c r="AJ38" s="22"/>
      <c r="AK38" s="4"/>
      <c r="AL38" s="4"/>
      <c r="AM38" s="4"/>
    </row>
    <row r="39" customFormat="false" ht="17.35" hidden="false" customHeight="false" outlineLevel="0" collapsed="false">
      <c r="B39" s="13" t="n">
        <v>37</v>
      </c>
      <c r="C39" s="14" t="s">
        <v>18</v>
      </c>
      <c r="D39" s="15"/>
      <c r="E39" s="15" t="n">
        <f aca="false">F39-300</f>
        <v>-300</v>
      </c>
      <c r="F39" s="15"/>
      <c r="G39" s="13" t="n">
        <v>0</v>
      </c>
      <c r="H39" s="13" t="n">
        <f aca="false">+D39*G39</f>
        <v>0</v>
      </c>
      <c r="I39" s="15" t="n">
        <f aca="false">+F39*G39</f>
        <v>0</v>
      </c>
      <c r="J39" s="13" t="n">
        <f aca="false">+E39*G39</f>
        <v>-0</v>
      </c>
      <c r="K39" s="16" t="n">
        <f aca="false">+D39*E39/1000000</f>
        <v>-0</v>
      </c>
      <c r="L39" s="16" t="n">
        <f aca="false">+D39*F39/1000000</f>
        <v>0</v>
      </c>
      <c r="M39" s="16" t="n">
        <f aca="false">+G39*K39</f>
        <v>-0</v>
      </c>
      <c r="N39" s="17" t="n">
        <f aca="false">+G39*L39</f>
        <v>0</v>
      </c>
      <c r="O39" s="4"/>
      <c r="P39" s="22"/>
      <c r="Q39" s="4"/>
      <c r="R39" s="4"/>
      <c r="S39" s="12"/>
      <c r="T39" s="12"/>
      <c r="U39" s="12"/>
      <c r="V39" s="29"/>
      <c r="W39" s="4"/>
      <c r="X39" s="4"/>
      <c r="Y39" s="4"/>
      <c r="Z39" s="4"/>
      <c r="AA39" s="24"/>
      <c r="AB39" s="4"/>
      <c r="AC39" s="4"/>
      <c r="AD39" s="4"/>
      <c r="AE39" s="21"/>
      <c r="AF39" s="21"/>
      <c r="AG39" s="21"/>
      <c r="AH39" s="22"/>
      <c r="AI39" s="4"/>
      <c r="AJ39" s="4"/>
      <c r="AK39" s="4"/>
      <c r="AL39" s="4"/>
      <c r="AM39" s="4"/>
    </row>
    <row r="40" customFormat="false" ht="17.35" hidden="false" customHeight="false" outlineLevel="0" collapsed="false">
      <c r="B40" s="13" t="n">
        <v>38</v>
      </c>
      <c r="C40" s="14" t="s">
        <v>18</v>
      </c>
      <c r="D40" s="15"/>
      <c r="E40" s="15" t="n">
        <f aca="false">F40-300</f>
        <v>-300</v>
      </c>
      <c r="F40" s="15"/>
      <c r="G40" s="13" t="n">
        <v>0</v>
      </c>
      <c r="H40" s="13" t="n">
        <f aca="false">+D40*G40</f>
        <v>0</v>
      </c>
      <c r="I40" s="15" t="n">
        <f aca="false">+F40*G40</f>
        <v>0</v>
      </c>
      <c r="J40" s="13" t="n">
        <f aca="false">+E40*G40</f>
        <v>-0</v>
      </c>
      <c r="K40" s="16" t="n">
        <f aca="false">+D40*E40/1000000</f>
        <v>-0</v>
      </c>
      <c r="L40" s="16" t="n">
        <f aca="false">+D40*F40/1000000</f>
        <v>0</v>
      </c>
      <c r="M40" s="16" t="n">
        <f aca="false">+G40*K40</f>
        <v>-0</v>
      </c>
      <c r="N40" s="17" t="n">
        <f aca="false">+G40*L40</f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28"/>
      <c r="AE40" s="4"/>
      <c r="AF40" s="21"/>
      <c r="AG40" s="28"/>
      <c r="AH40" s="4"/>
      <c r="AI40" s="4"/>
      <c r="AJ40" s="4"/>
      <c r="AK40" s="4"/>
      <c r="AL40" s="4"/>
      <c r="AM40" s="4"/>
    </row>
    <row r="41" customFormat="false" ht="17.35" hidden="false" customHeight="false" outlineLevel="0" collapsed="false">
      <c r="B41" s="13" t="n">
        <v>39</v>
      </c>
      <c r="C41" s="14" t="s">
        <v>18</v>
      </c>
      <c r="D41" s="15"/>
      <c r="E41" s="15" t="n">
        <f aca="false">F41-300</f>
        <v>-300</v>
      </c>
      <c r="F41" s="15"/>
      <c r="G41" s="13" t="n">
        <v>0</v>
      </c>
      <c r="H41" s="13" t="n">
        <f aca="false">+D41*G41</f>
        <v>0</v>
      </c>
      <c r="I41" s="15" t="n">
        <f aca="false">+F41*G41</f>
        <v>0</v>
      </c>
      <c r="J41" s="13" t="n">
        <f aca="false">+E41*G41</f>
        <v>-0</v>
      </c>
      <c r="K41" s="16" t="n">
        <f aca="false">+D41*E41/1000000</f>
        <v>-0</v>
      </c>
      <c r="L41" s="16" t="n">
        <f aca="false">+D41*F41/1000000</f>
        <v>0</v>
      </c>
      <c r="M41" s="16" t="n">
        <f aca="false">+G41*K41</f>
        <v>-0</v>
      </c>
      <c r="N41" s="17" t="n">
        <f aca="false">+G41*L41</f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7.35" hidden="false" customHeight="false" outlineLevel="0" collapsed="false">
      <c r="B42" s="13" t="n">
        <v>40</v>
      </c>
      <c r="C42" s="14" t="s">
        <v>18</v>
      </c>
      <c r="D42" s="15"/>
      <c r="E42" s="15" t="n">
        <f aca="false">F42-300</f>
        <v>-300</v>
      </c>
      <c r="F42" s="15"/>
      <c r="G42" s="13" t="n">
        <v>0</v>
      </c>
      <c r="H42" s="13" t="n">
        <f aca="false">+D42*G42</f>
        <v>0</v>
      </c>
      <c r="I42" s="15" t="n">
        <f aca="false">+F42*G42</f>
        <v>0</v>
      </c>
      <c r="J42" s="13" t="n">
        <f aca="false">+E42*G42</f>
        <v>-0</v>
      </c>
      <c r="K42" s="16" t="n">
        <f aca="false">+D42*E42/1000000</f>
        <v>-0</v>
      </c>
      <c r="L42" s="16" t="n">
        <f aca="false">+D42*F42/1000000</f>
        <v>0</v>
      </c>
      <c r="M42" s="16" t="n">
        <f aca="false">+G42*K42</f>
        <v>-0</v>
      </c>
      <c r="N42" s="17" t="n">
        <f aca="false">+G42*L42</f>
        <v>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7.35" hidden="false" customHeight="false" outlineLevel="0" collapsed="false">
      <c r="B43" s="13" t="n">
        <v>41</v>
      </c>
      <c r="C43" s="14" t="s">
        <v>18</v>
      </c>
      <c r="D43" s="15"/>
      <c r="E43" s="15" t="n">
        <f aca="false">F43-300</f>
        <v>-300</v>
      </c>
      <c r="F43" s="15"/>
      <c r="G43" s="13" t="n">
        <v>0</v>
      </c>
      <c r="H43" s="13" t="n">
        <f aca="false">+D43*G43</f>
        <v>0</v>
      </c>
      <c r="I43" s="15" t="n">
        <f aca="false">+F43*G43</f>
        <v>0</v>
      </c>
      <c r="J43" s="13" t="n">
        <f aca="false">+E43*G43</f>
        <v>-0</v>
      </c>
      <c r="K43" s="16" t="n">
        <f aca="false">+D43*E43/1000000</f>
        <v>-0</v>
      </c>
      <c r="L43" s="16" t="n">
        <f aca="false">+D43*F43/1000000</f>
        <v>0</v>
      </c>
      <c r="M43" s="16" t="n">
        <f aca="false">+G43*K43</f>
        <v>-0</v>
      </c>
      <c r="N43" s="17" t="n">
        <f aca="false">+G43*L43</f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2"/>
      <c r="AE43" s="12"/>
      <c r="AF43" s="12"/>
      <c r="AG43" s="29"/>
      <c r="AH43" s="4"/>
      <c r="AI43" s="4"/>
      <c r="AJ43" s="4"/>
      <c r="AK43" s="4"/>
      <c r="AL43" s="4"/>
      <c r="AM43" s="4"/>
    </row>
    <row r="44" customFormat="false" ht="17.35" hidden="false" customHeight="false" outlineLevel="0" collapsed="false">
      <c r="B44" s="13" t="n">
        <v>42</v>
      </c>
      <c r="C44" s="14" t="s">
        <v>18</v>
      </c>
      <c r="D44" s="15"/>
      <c r="E44" s="15" t="n">
        <f aca="false">F44-300</f>
        <v>-300</v>
      </c>
      <c r="F44" s="15"/>
      <c r="G44" s="13" t="n">
        <v>0</v>
      </c>
      <c r="H44" s="13" t="n">
        <f aca="false">+D44*G44</f>
        <v>0</v>
      </c>
      <c r="I44" s="15" t="n">
        <f aca="false">+F44*G44</f>
        <v>0</v>
      </c>
      <c r="J44" s="13" t="n">
        <f aca="false">+E44*G44</f>
        <v>-0</v>
      </c>
      <c r="K44" s="16" t="n">
        <f aca="false">+D44*E44/1000000</f>
        <v>-0</v>
      </c>
      <c r="L44" s="16" t="n">
        <f aca="false">+D44*F44/1000000</f>
        <v>0</v>
      </c>
      <c r="M44" s="16" t="n">
        <f aca="false">+G44*K44</f>
        <v>-0</v>
      </c>
      <c r="N44" s="17" t="n">
        <f aca="false">+G44*L44</f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7.35" hidden="false" customHeight="false" outlineLevel="0" collapsed="false">
      <c r="B45" s="13" t="n">
        <v>43</v>
      </c>
      <c r="C45" s="14" t="s">
        <v>18</v>
      </c>
      <c r="D45" s="15"/>
      <c r="E45" s="15" t="n">
        <f aca="false">F45-300</f>
        <v>-300</v>
      </c>
      <c r="F45" s="15"/>
      <c r="G45" s="13" t="n">
        <v>0</v>
      </c>
      <c r="H45" s="13" t="n">
        <f aca="false">+D45*G45</f>
        <v>0</v>
      </c>
      <c r="I45" s="15" t="n">
        <f aca="false">+F45*G45</f>
        <v>0</v>
      </c>
      <c r="J45" s="13" t="n">
        <f aca="false">+E45*G45</f>
        <v>-0</v>
      </c>
      <c r="K45" s="16" t="n">
        <f aca="false">+D45*E45/1000000</f>
        <v>-0</v>
      </c>
      <c r="L45" s="16" t="n">
        <f aca="false">+D45*F45/1000000</f>
        <v>0</v>
      </c>
      <c r="M45" s="16" t="n">
        <f aca="false">+G45*K45</f>
        <v>-0</v>
      </c>
      <c r="N45" s="17" t="n">
        <f aca="false">+G45*L45</f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7.35" hidden="false" customHeight="false" outlineLevel="0" collapsed="false">
      <c r="B46" s="13" t="n">
        <v>44</v>
      </c>
      <c r="C46" s="14" t="s">
        <v>18</v>
      </c>
      <c r="D46" s="15"/>
      <c r="E46" s="15" t="n">
        <f aca="false">F46-300</f>
        <v>-300</v>
      </c>
      <c r="F46" s="15"/>
      <c r="G46" s="13" t="n">
        <v>0</v>
      </c>
      <c r="H46" s="13" t="n">
        <f aca="false">+D46*G46</f>
        <v>0</v>
      </c>
      <c r="I46" s="15" t="n">
        <f aca="false">+F46*G46</f>
        <v>0</v>
      </c>
      <c r="J46" s="13" t="n">
        <f aca="false">+E46*G46</f>
        <v>-0</v>
      </c>
      <c r="K46" s="16" t="n">
        <f aca="false">+D46*E46/1000000</f>
        <v>-0</v>
      </c>
      <c r="L46" s="16" t="n">
        <f aca="false">+D46*F46/1000000</f>
        <v>0</v>
      </c>
      <c r="M46" s="16" t="n">
        <f aca="false">+G46*K46</f>
        <v>-0</v>
      </c>
      <c r="N46" s="17" t="n">
        <f aca="false">+G46*L46</f>
        <v>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7.35" hidden="false" customHeight="false" outlineLevel="0" collapsed="false">
      <c r="B47" s="13" t="n">
        <v>45</v>
      </c>
      <c r="C47" s="14" t="s">
        <v>18</v>
      </c>
      <c r="D47" s="15"/>
      <c r="E47" s="15" t="n">
        <f aca="false">F47-300</f>
        <v>-300</v>
      </c>
      <c r="F47" s="15"/>
      <c r="G47" s="13" t="n">
        <v>0</v>
      </c>
      <c r="H47" s="13" t="n">
        <f aca="false">+D47*G47</f>
        <v>0</v>
      </c>
      <c r="I47" s="15" t="n">
        <f aca="false">+F47*G47</f>
        <v>0</v>
      </c>
      <c r="J47" s="13" t="n">
        <f aca="false">+E47*G47</f>
        <v>-0</v>
      </c>
      <c r="K47" s="16" t="n">
        <f aca="false">+D47*E47/1000000</f>
        <v>-0</v>
      </c>
      <c r="L47" s="16" t="n">
        <f aca="false">+D47*F47/1000000</f>
        <v>0</v>
      </c>
      <c r="M47" s="16" t="n">
        <f aca="false">+G47*K47</f>
        <v>-0</v>
      </c>
      <c r="N47" s="17" t="n">
        <f aca="false">+G47*L47</f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7.35" hidden="false" customHeight="false" outlineLevel="0" collapsed="false">
      <c r="B48" s="13" t="n">
        <v>46</v>
      </c>
      <c r="C48" s="14" t="s">
        <v>18</v>
      </c>
      <c r="D48" s="15"/>
      <c r="E48" s="15" t="n">
        <f aca="false">F48-300</f>
        <v>-300</v>
      </c>
      <c r="F48" s="15"/>
      <c r="G48" s="13" t="n">
        <v>0</v>
      </c>
      <c r="H48" s="13" t="n">
        <f aca="false">+D48*G48</f>
        <v>0</v>
      </c>
      <c r="I48" s="15" t="n">
        <f aca="false">+F48*G48</f>
        <v>0</v>
      </c>
      <c r="J48" s="13" t="n">
        <f aca="false">+E48*G48</f>
        <v>-0</v>
      </c>
      <c r="K48" s="16" t="n">
        <f aca="false">+D48*E48/1000000</f>
        <v>-0</v>
      </c>
      <c r="L48" s="16" t="n">
        <f aca="false">+D48*F48/1000000</f>
        <v>0</v>
      </c>
      <c r="M48" s="16" t="n">
        <f aca="false">+G48*K48</f>
        <v>-0</v>
      </c>
      <c r="N48" s="17" t="n">
        <f aca="false">+G48*L48</f>
        <v>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7.35" hidden="false" customHeight="false" outlineLevel="0" collapsed="false">
      <c r="B49" s="13" t="n">
        <v>47</v>
      </c>
      <c r="C49" s="14" t="s">
        <v>18</v>
      </c>
      <c r="D49" s="15"/>
      <c r="E49" s="15" t="n">
        <f aca="false">F49-300</f>
        <v>-300</v>
      </c>
      <c r="F49" s="15"/>
      <c r="G49" s="13" t="n">
        <v>0</v>
      </c>
      <c r="H49" s="13" t="n">
        <f aca="false">+D49*G49</f>
        <v>0</v>
      </c>
      <c r="I49" s="15" t="n">
        <f aca="false">+F49*G49</f>
        <v>0</v>
      </c>
      <c r="J49" s="13" t="n">
        <f aca="false">+E49*G49</f>
        <v>-0</v>
      </c>
      <c r="K49" s="16" t="n">
        <f aca="false">+D49*E49/1000000</f>
        <v>-0</v>
      </c>
      <c r="L49" s="16" t="n">
        <f aca="false">+D49*F49/1000000</f>
        <v>0</v>
      </c>
      <c r="M49" s="16" t="n">
        <f aca="false">+G49*K49</f>
        <v>-0</v>
      </c>
      <c r="N49" s="17" t="n">
        <f aca="false">+G49*L49</f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7.35" hidden="false" customHeight="false" outlineLevel="0" collapsed="false">
      <c r="B50" s="13" t="n">
        <v>48</v>
      </c>
      <c r="C50" s="14" t="s">
        <v>18</v>
      </c>
      <c r="D50" s="15"/>
      <c r="E50" s="15" t="n">
        <f aca="false">F50-300</f>
        <v>-300</v>
      </c>
      <c r="F50" s="15"/>
      <c r="G50" s="13" t="n">
        <v>0</v>
      </c>
      <c r="H50" s="13" t="n">
        <f aca="false">+D50*G50</f>
        <v>0</v>
      </c>
      <c r="I50" s="15" t="n">
        <f aca="false">+F50*G50</f>
        <v>0</v>
      </c>
      <c r="J50" s="13" t="n">
        <f aca="false">+E50*G50</f>
        <v>-0</v>
      </c>
      <c r="K50" s="16" t="n">
        <f aca="false">+D50*E50/1000000</f>
        <v>-0</v>
      </c>
      <c r="L50" s="16" t="n">
        <f aca="false">+D50*F50/1000000</f>
        <v>0</v>
      </c>
      <c r="M50" s="16" t="n">
        <f aca="false">+G50*K50</f>
        <v>-0</v>
      </c>
      <c r="N50" s="17" t="n">
        <f aca="false">+G50*L50</f>
        <v>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7.35" hidden="false" customHeight="false" outlineLevel="0" collapsed="false">
      <c r="B51" s="13" t="n">
        <v>49</v>
      </c>
      <c r="C51" s="14" t="s">
        <v>18</v>
      </c>
      <c r="D51" s="15"/>
      <c r="E51" s="15" t="n">
        <f aca="false">F51-300</f>
        <v>-300</v>
      </c>
      <c r="F51" s="15"/>
      <c r="G51" s="13" t="n">
        <v>0</v>
      </c>
      <c r="H51" s="13" t="n">
        <f aca="false">+D51*G51</f>
        <v>0</v>
      </c>
      <c r="I51" s="15" t="n">
        <f aca="false">+F51*G51</f>
        <v>0</v>
      </c>
      <c r="J51" s="13" t="n">
        <f aca="false">+E51*G51</f>
        <v>-0</v>
      </c>
      <c r="K51" s="16" t="n">
        <f aca="false">+D51*E51/1000000</f>
        <v>-0</v>
      </c>
      <c r="L51" s="16" t="n">
        <f aca="false">+D51*F51/1000000</f>
        <v>0</v>
      </c>
      <c r="M51" s="16" t="n">
        <f aca="false">+G51*K51</f>
        <v>-0</v>
      </c>
      <c r="N51" s="17" t="n">
        <f aca="false">+G51*L51</f>
        <v>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7.35" hidden="false" customHeight="false" outlineLevel="0" collapsed="false">
      <c r="B52" s="13" t="n">
        <v>50</v>
      </c>
      <c r="C52" s="14" t="s">
        <v>18</v>
      </c>
      <c r="D52" s="15"/>
      <c r="E52" s="15" t="n">
        <f aca="false">F52-300</f>
        <v>-300</v>
      </c>
      <c r="F52" s="15"/>
      <c r="G52" s="13" t="n">
        <v>0</v>
      </c>
      <c r="H52" s="13" t="n">
        <f aca="false">+D52*G52</f>
        <v>0</v>
      </c>
      <c r="I52" s="15" t="n">
        <f aca="false">+F52*G52</f>
        <v>0</v>
      </c>
      <c r="J52" s="13" t="n">
        <f aca="false">+E52*G52</f>
        <v>-0</v>
      </c>
      <c r="K52" s="16" t="n">
        <f aca="false">+D52*E52/1000000</f>
        <v>-0</v>
      </c>
      <c r="L52" s="16" t="n">
        <f aca="false">+D52*F52/1000000</f>
        <v>0</v>
      </c>
      <c r="M52" s="16" t="n">
        <f aca="false">+G52*K52</f>
        <v>-0</v>
      </c>
      <c r="N52" s="17" t="n">
        <f aca="false">+G52*L52</f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7.35" hidden="false" customHeight="false" outlineLevel="0" collapsed="false">
      <c r="B53" s="13" t="n">
        <v>51</v>
      </c>
      <c r="C53" s="14" t="s">
        <v>18</v>
      </c>
      <c r="D53" s="15"/>
      <c r="E53" s="15" t="n">
        <f aca="false">F53-300</f>
        <v>-300</v>
      </c>
      <c r="F53" s="15"/>
      <c r="G53" s="13" t="n">
        <v>0</v>
      </c>
      <c r="H53" s="13" t="n">
        <f aca="false">+D53*G53</f>
        <v>0</v>
      </c>
      <c r="I53" s="15" t="n">
        <f aca="false">+F53*G53</f>
        <v>0</v>
      </c>
      <c r="J53" s="13" t="n">
        <f aca="false">+E53*G53</f>
        <v>-0</v>
      </c>
      <c r="K53" s="16" t="n">
        <f aca="false">+D53*E53/1000000</f>
        <v>-0</v>
      </c>
      <c r="L53" s="16" t="n">
        <f aca="false">+D53*F53/1000000</f>
        <v>0</v>
      </c>
      <c r="M53" s="16" t="n">
        <f aca="false">+G53*K53</f>
        <v>-0</v>
      </c>
      <c r="N53" s="17" t="n">
        <f aca="false">+G53*L53</f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7.35" hidden="false" customHeight="false" outlineLevel="0" collapsed="false">
      <c r="B54" s="13" t="n">
        <v>52</v>
      </c>
      <c r="C54" s="14" t="s">
        <v>18</v>
      </c>
      <c r="D54" s="15"/>
      <c r="E54" s="15" t="n">
        <f aca="false">F54-300</f>
        <v>-300</v>
      </c>
      <c r="F54" s="15"/>
      <c r="G54" s="13" t="n">
        <v>0</v>
      </c>
      <c r="H54" s="13" t="n">
        <f aca="false">+D54*G54</f>
        <v>0</v>
      </c>
      <c r="I54" s="15" t="n">
        <f aca="false">+F54*G54</f>
        <v>0</v>
      </c>
      <c r="J54" s="13" t="n">
        <f aca="false">+E54*G54</f>
        <v>-0</v>
      </c>
      <c r="K54" s="16" t="n">
        <f aca="false">+D54*E54/1000000</f>
        <v>-0</v>
      </c>
      <c r="L54" s="16" t="n">
        <f aca="false">+D54*F54/1000000</f>
        <v>0</v>
      </c>
      <c r="M54" s="16" t="n">
        <f aca="false">+G54*K54</f>
        <v>-0</v>
      </c>
      <c r="N54" s="17" t="n">
        <f aca="false">+G54*L54</f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7.35" hidden="false" customHeight="false" outlineLevel="0" collapsed="false">
      <c r="B55" s="13" t="n">
        <v>53</v>
      </c>
      <c r="C55" s="14" t="s">
        <v>18</v>
      </c>
      <c r="D55" s="15"/>
      <c r="E55" s="15" t="n">
        <f aca="false">F55-300</f>
        <v>-300</v>
      </c>
      <c r="F55" s="15"/>
      <c r="G55" s="13" t="n">
        <v>0</v>
      </c>
      <c r="H55" s="13" t="n">
        <f aca="false">+D55*G55</f>
        <v>0</v>
      </c>
      <c r="I55" s="15" t="n">
        <f aca="false">+F55*G55</f>
        <v>0</v>
      </c>
      <c r="J55" s="13" t="n">
        <f aca="false">+E55*G55</f>
        <v>-0</v>
      </c>
      <c r="K55" s="16" t="n">
        <f aca="false">+D55*E55/1000000</f>
        <v>-0</v>
      </c>
      <c r="L55" s="16" t="n">
        <f aca="false">+D55*F55/1000000</f>
        <v>0</v>
      </c>
      <c r="M55" s="16" t="n">
        <f aca="false">+G55*K55</f>
        <v>-0</v>
      </c>
      <c r="N55" s="17" t="n">
        <f aca="false">+G55*L55</f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7.35" hidden="false" customHeight="false" outlineLevel="0" collapsed="false">
      <c r="B56" s="13" t="n">
        <v>54</v>
      </c>
      <c r="C56" s="14" t="s">
        <v>18</v>
      </c>
      <c r="D56" s="15"/>
      <c r="E56" s="15" t="n">
        <f aca="false">F56-300</f>
        <v>-300</v>
      </c>
      <c r="F56" s="15"/>
      <c r="G56" s="13" t="n">
        <v>0</v>
      </c>
      <c r="H56" s="13" t="n">
        <f aca="false">+D56*G56</f>
        <v>0</v>
      </c>
      <c r="I56" s="15" t="n">
        <f aca="false">+F56*G56</f>
        <v>0</v>
      </c>
      <c r="J56" s="13" t="n">
        <f aca="false">+E56*G56</f>
        <v>-0</v>
      </c>
      <c r="K56" s="16" t="n">
        <f aca="false">+D56*E56/1000000</f>
        <v>-0</v>
      </c>
      <c r="L56" s="16" t="n">
        <f aca="false">+D56*F56/1000000</f>
        <v>0</v>
      </c>
      <c r="M56" s="16" t="n">
        <f aca="false">+G56*K56</f>
        <v>-0</v>
      </c>
      <c r="N56" s="17" t="n">
        <f aca="false">+G56*L56</f>
        <v>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7.35" hidden="false" customHeight="false" outlineLevel="0" collapsed="false">
      <c r="B57" s="13" t="n">
        <v>55</v>
      </c>
      <c r="C57" s="14" t="s">
        <v>18</v>
      </c>
      <c r="D57" s="15"/>
      <c r="E57" s="15" t="n">
        <f aca="false">F57-300</f>
        <v>-300</v>
      </c>
      <c r="F57" s="15"/>
      <c r="G57" s="13" t="n">
        <v>0</v>
      </c>
      <c r="H57" s="13" t="n">
        <f aca="false">+D57*G57</f>
        <v>0</v>
      </c>
      <c r="I57" s="15" t="n">
        <f aca="false">+F57*G57</f>
        <v>0</v>
      </c>
      <c r="J57" s="13" t="n">
        <f aca="false">+E57*G57</f>
        <v>-0</v>
      </c>
      <c r="K57" s="16" t="n">
        <f aca="false">+D57*E57/1000000</f>
        <v>-0</v>
      </c>
      <c r="L57" s="16" t="n">
        <f aca="false">+D57*F57/1000000</f>
        <v>0</v>
      </c>
      <c r="M57" s="16" t="n">
        <f aca="false">+G57*K57</f>
        <v>-0</v>
      </c>
      <c r="N57" s="17" t="n">
        <f aca="false">+G57*L57</f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7.35" hidden="false" customHeight="false" outlineLevel="0" collapsed="false">
      <c r="B58" s="13" t="n">
        <v>56</v>
      </c>
      <c r="C58" s="14" t="s">
        <v>18</v>
      </c>
      <c r="D58" s="15"/>
      <c r="E58" s="15" t="n">
        <f aca="false">F58-300</f>
        <v>-300</v>
      </c>
      <c r="F58" s="15"/>
      <c r="G58" s="13" t="n">
        <v>0</v>
      </c>
      <c r="H58" s="13" t="n">
        <f aca="false">+D58*G58</f>
        <v>0</v>
      </c>
      <c r="I58" s="15" t="n">
        <f aca="false">+F58*G58</f>
        <v>0</v>
      </c>
      <c r="J58" s="13" t="n">
        <f aca="false">+E58*G58</f>
        <v>-0</v>
      </c>
      <c r="K58" s="16" t="n">
        <f aca="false">+D58*E58/1000000</f>
        <v>-0</v>
      </c>
      <c r="L58" s="16" t="n">
        <f aca="false">+D58*F58/1000000</f>
        <v>0</v>
      </c>
      <c r="M58" s="16" t="n">
        <f aca="false">+G58*K58</f>
        <v>-0</v>
      </c>
      <c r="N58" s="17" t="n">
        <f aca="false">+G58*L58</f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7.35" hidden="false" customHeight="false" outlineLevel="0" collapsed="false">
      <c r="B59" s="13" t="n">
        <v>57</v>
      </c>
      <c r="C59" s="14" t="s">
        <v>18</v>
      </c>
      <c r="D59" s="15"/>
      <c r="E59" s="15" t="n">
        <f aca="false">F59-300</f>
        <v>-300</v>
      </c>
      <c r="F59" s="15"/>
      <c r="G59" s="13" t="n">
        <v>0</v>
      </c>
      <c r="H59" s="13" t="n">
        <f aca="false">+D59*G59</f>
        <v>0</v>
      </c>
      <c r="I59" s="15" t="n">
        <f aca="false">+F59*G59</f>
        <v>0</v>
      </c>
      <c r="J59" s="13" t="n">
        <f aca="false">+E59*G59</f>
        <v>-0</v>
      </c>
      <c r="K59" s="16" t="n">
        <f aca="false">+D59*E59/1000000</f>
        <v>-0</v>
      </c>
      <c r="L59" s="16" t="n">
        <f aca="false">+D59*F59/1000000</f>
        <v>0</v>
      </c>
      <c r="M59" s="16" t="n">
        <f aca="false">+G59*K59</f>
        <v>-0</v>
      </c>
      <c r="N59" s="17" t="n">
        <f aca="false">+G59*L59</f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7.35" hidden="false" customHeight="false" outlineLevel="0" collapsed="false">
      <c r="B60" s="13" t="n">
        <v>58</v>
      </c>
      <c r="C60" s="14" t="s">
        <v>18</v>
      </c>
      <c r="D60" s="15"/>
      <c r="E60" s="15" t="n">
        <f aca="false">F60-300</f>
        <v>-300</v>
      </c>
      <c r="F60" s="15"/>
      <c r="G60" s="13" t="n">
        <v>0</v>
      </c>
      <c r="H60" s="13" t="n">
        <f aca="false">+D60*G60</f>
        <v>0</v>
      </c>
      <c r="I60" s="15" t="n">
        <f aca="false">+F60*G60</f>
        <v>0</v>
      </c>
      <c r="J60" s="13" t="n">
        <f aca="false">+E60*G60</f>
        <v>-0</v>
      </c>
      <c r="K60" s="16" t="n">
        <f aca="false">+D60*E60/1000000</f>
        <v>-0</v>
      </c>
      <c r="L60" s="16" t="n">
        <f aca="false">+D60*F60/1000000</f>
        <v>0</v>
      </c>
      <c r="M60" s="16" t="n">
        <f aca="false">+G60*K60</f>
        <v>-0</v>
      </c>
      <c r="N60" s="17" t="n">
        <f aca="false">+G60*L60</f>
        <v>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7.35" hidden="false" customHeight="false" outlineLevel="0" collapsed="false">
      <c r="B61" s="13" t="n">
        <v>59</v>
      </c>
      <c r="C61" s="14" t="s">
        <v>18</v>
      </c>
      <c r="D61" s="15"/>
      <c r="E61" s="15" t="n">
        <f aca="false">F61-300</f>
        <v>-300</v>
      </c>
      <c r="F61" s="15"/>
      <c r="G61" s="13" t="n">
        <v>0</v>
      </c>
      <c r="H61" s="13" t="n">
        <f aca="false">+D61*G61</f>
        <v>0</v>
      </c>
      <c r="I61" s="15" t="n">
        <f aca="false">+F61*G61</f>
        <v>0</v>
      </c>
      <c r="J61" s="13" t="n">
        <f aca="false">+E61*G61</f>
        <v>-0</v>
      </c>
      <c r="K61" s="16" t="n">
        <f aca="false">+D61*E61/1000000</f>
        <v>-0</v>
      </c>
      <c r="L61" s="16" t="n">
        <f aca="false">+D61*F61/1000000</f>
        <v>0</v>
      </c>
      <c r="M61" s="16" t="n">
        <f aca="false">+G61*K61</f>
        <v>-0</v>
      </c>
      <c r="N61" s="17" t="n">
        <f aca="false">+G61*L61</f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7.35" hidden="false" customHeight="false" outlineLevel="0" collapsed="false">
      <c r="B62" s="13" t="n">
        <v>60</v>
      </c>
      <c r="C62" s="14" t="s">
        <v>18</v>
      </c>
      <c r="D62" s="15"/>
      <c r="E62" s="15" t="n">
        <f aca="false">F62-300</f>
        <v>-300</v>
      </c>
      <c r="F62" s="15"/>
      <c r="G62" s="13" t="n">
        <v>0</v>
      </c>
      <c r="H62" s="13" t="n">
        <f aca="false">+D62*G62</f>
        <v>0</v>
      </c>
      <c r="I62" s="15" t="n">
        <f aca="false">+F62*G62</f>
        <v>0</v>
      </c>
      <c r="J62" s="13" t="n">
        <f aca="false">+E62*G62</f>
        <v>-0</v>
      </c>
      <c r="K62" s="16" t="n">
        <f aca="false">+D62*E62/1000000</f>
        <v>-0</v>
      </c>
      <c r="L62" s="16" t="n">
        <f aca="false">+D62*F62/1000000</f>
        <v>0</v>
      </c>
      <c r="M62" s="16" t="n">
        <f aca="false">+G62*K62</f>
        <v>-0</v>
      </c>
      <c r="N62" s="17" t="n">
        <f aca="false">+G62*L62</f>
        <v>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7.35" hidden="false" customHeight="false" outlineLevel="0" collapsed="false">
      <c r="B63" s="13" t="n">
        <v>61</v>
      </c>
      <c r="C63" s="14" t="s">
        <v>18</v>
      </c>
      <c r="D63" s="15"/>
      <c r="E63" s="15" t="n">
        <f aca="false">F63-300</f>
        <v>-300</v>
      </c>
      <c r="F63" s="15"/>
      <c r="G63" s="13" t="n">
        <v>0</v>
      </c>
      <c r="H63" s="13" t="n">
        <f aca="false">+D63*G63</f>
        <v>0</v>
      </c>
      <c r="I63" s="15" t="n">
        <f aca="false">+F63*G63</f>
        <v>0</v>
      </c>
      <c r="J63" s="13" t="n">
        <f aca="false">+E63*G63</f>
        <v>-0</v>
      </c>
      <c r="K63" s="16" t="n">
        <f aca="false">+D63*E63/1000000</f>
        <v>-0</v>
      </c>
      <c r="L63" s="16" t="n">
        <f aca="false">+D63*F63/1000000</f>
        <v>0</v>
      </c>
      <c r="M63" s="16" t="n">
        <f aca="false">+G63*K63</f>
        <v>-0</v>
      </c>
      <c r="N63" s="17" t="n">
        <f aca="false">+G63*L63</f>
        <v>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7.35" hidden="false" customHeight="false" outlineLevel="0" collapsed="false">
      <c r="B64" s="13" t="n">
        <v>62</v>
      </c>
      <c r="C64" s="14" t="s">
        <v>18</v>
      </c>
      <c r="D64" s="15"/>
      <c r="E64" s="15" t="n">
        <f aca="false">F64-300</f>
        <v>-300</v>
      </c>
      <c r="F64" s="15"/>
      <c r="G64" s="13" t="n">
        <v>0</v>
      </c>
      <c r="H64" s="13" t="n">
        <f aca="false">+D64*G64</f>
        <v>0</v>
      </c>
      <c r="I64" s="15" t="n">
        <f aca="false">+F64*G64</f>
        <v>0</v>
      </c>
      <c r="J64" s="13" t="n">
        <f aca="false">+E64*G64</f>
        <v>-0</v>
      </c>
      <c r="K64" s="16" t="n">
        <f aca="false">+D64*E64/1000000</f>
        <v>-0</v>
      </c>
      <c r="L64" s="16" t="n">
        <f aca="false">+D64*F64/1000000</f>
        <v>0</v>
      </c>
      <c r="M64" s="16" t="n">
        <f aca="false">+G64*K64</f>
        <v>-0</v>
      </c>
      <c r="N64" s="17" t="n">
        <f aca="false">+G64*L64</f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7.35" hidden="false" customHeight="false" outlineLevel="0" collapsed="false">
      <c r="B65" s="13" t="n">
        <v>63</v>
      </c>
      <c r="C65" s="14" t="s">
        <v>18</v>
      </c>
      <c r="D65" s="15"/>
      <c r="E65" s="15" t="n">
        <f aca="false">F65-300</f>
        <v>-300</v>
      </c>
      <c r="F65" s="15"/>
      <c r="G65" s="13" t="n">
        <v>0</v>
      </c>
      <c r="H65" s="13" t="n">
        <f aca="false">+D65*G65</f>
        <v>0</v>
      </c>
      <c r="I65" s="15" t="n">
        <f aca="false">+F65*G65</f>
        <v>0</v>
      </c>
      <c r="J65" s="13" t="n">
        <f aca="false">+E65*G65</f>
        <v>-0</v>
      </c>
      <c r="K65" s="16" t="n">
        <f aca="false">+D65*E65/1000000</f>
        <v>-0</v>
      </c>
      <c r="L65" s="16" t="n">
        <f aca="false">+D65*F65/1000000</f>
        <v>0</v>
      </c>
      <c r="M65" s="16" t="n">
        <f aca="false">+G65*K65</f>
        <v>-0</v>
      </c>
      <c r="N65" s="17" t="n">
        <f aca="false">+G65*L65</f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7.35" hidden="false" customHeight="false" outlineLevel="0" collapsed="false">
      <c r="B66" s="13" t="n">
        <v>64</v>
      </c>
      <c r="C66" s="14" t="s">
        <v>18</v>
      </c>
      <c r="D66" s="15"/>
      <c r="E66" s="15" t="n">
        <f aca="false">F66-300</f>
        <v>-300</v>
      </c>
      <c r="F66" s="15"/>
      <c r="G66" s="13" t="n">
        <v>0</v>
      </c>
      <c r="H66" s="13" t="n">
        <f aca="false">+D66*G66</f>
        <v>0</v>
      </c>
      <c r="I66" s="15" t="n">
        <f aca="false">+F66*G66</f>
        <v>0</v>
      </c>
      <c r="J66" s="13" t="n">
        <f aca="false">+E66*G66</f>
        <v>-0</v>
      </c>
      <c r="K66" s="16" t="n">
        <f aca="false">+D66*E66/1000000</f>
        <v>-0</v>
      </c>
      <c r="L66" s="16" t="n">
        <f aca="false">+D66*F66/1000000</f>
        <v>0</v>
      </c>
      <c r="M66" s="16" t="n">
        <f aca="false">+G66*K66</f>
        <v>-0</v>
      </c>
      <c r="N66" s="17" t="n">
        <f aca="false">+G66*L66</f>
        <v>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7.35" hidden="false" customHeight="false" outlineLevel="0" collapsed="false">
      <c r="B67" s="13" t="n">
        <v>65</v>
      </c>
      <c r="C67" s="14" t="s">
        <v>18</v>
      </c>
      <c r="D67" s="15"/>
      <c r="E67" s="15" t="n">
        <f aca="false">F67-300</f>
        <v>-300</v>
      </c>
      <c r="F67" s="15"/>
      <c r="G67" s="13" t="n">
        <v>0</v>
      </c>
      <c r="H67" s="13" t="n">
        <f aca="false">+D67*G67</f>
        <v>0</v>
      </c>
      <c r="I67" s="15" t="n">
        <f aca="false">+F67*G67</f>
        <v>0</v>
      </c>
      <c r="J67" s="13" t="n">
        <f aca="false">+E67*G67</f>
        <v>-0</v>
      </c>
      <c r="K67" s="16" t="n">
        <f aca="false">+D67*E67/1000000</f>
        <v>-0</v>
      </c>
      <c r="L67" s="16" t="n">
        <f aca="false">+D67*F67/1000000</f>
        <v>0</v>
      </c>
      <c r="M67" s="16" t="n">
        <f aca="false">+G67*K67</f>
        <v>-0</v>
      </c>
      <c r="N67" s="17" t="n">
        <f aca="false">+G67*L67</f>
        <v>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7.35" hidden="false" customHeight="false" outlineLevel="0" collapsed="false">
      <c r="B68" s="13" t="n">
        <v>66</v>
      </c>
      <c r="C68" s="14" t="s">
        <v>18</v>
      </c>
      <c r="D68" s="15"/>
      <c r="E68" s="15" t="n">
        <f aca="false">F68-300</f>
        <v>-300</v>
      </c>
      <c r="F68" s="15"/>
      <c r="G68" s="13" t="n">
        <v>0</v>
      </c>
      <c r="H68" s="13" t="n">
        <f aca="false">+D68*G68</f>
        <v>0</v>
      </c>
      <c r="I68" s="15" t="n">
        <f aca="false">+F68*G68</f>
        <v>0</v>
      </c>
      <c r="J68" s="13" t="n">
        <f aca="false">+E68*G68</f>
        <v>-0</v>
      </c>
      <c r="K68" s="16" t="n">
        <f aca="false">+D68*E68/1000000</f>
        <v>-0</v>
      </c>
      <c r="L68" s="16" t="n">
        <f aca="false">+D68*F68/1000000</f>
        <v>0</v>
      </c>
      <c r="M68" s="16" t="n">
        <f aca="false">+G68*K68</f>
        <v>-0</v>
      </c>
      <c r="N68" s="17" t="n">
        <f aca="false">+G68*L68</f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7.35" hidden="false" customHeight="false" outlineLevel="0" collapsed="false">
      <c r="B69" s="13" t="n">
        <v>67</v>
      </c>
      <c r="C69" s="14" t="s">
        <v>18</v>
      </c>
      <c r="D69" s="15"/>
      <c r="E69" s="15" t="n">
        <f aca="false">F69-300</f>
        <v>-300</v>
      </c>
      <c r="F69" s="15"/>
      <c r="G69" s="13" t="n">
        <v>0</v>
      </c>
      <c r="H69" s="13" t="n">
        <f aca="false">+D69*G69</f>
        <v>0</v>
      </c>
      <c r="I69" s="15" t="n">
        <f aca="false">+F69*G69</f>
        <v>0</v>
      </c>
      <c r="J69" s="13" t="n">
        <f aca="false">+E69*G69</f>
        <v>-0</v>
      </c>
      <c r="K69" s="16" t="n">
        <f aca="false">+D69*E69/1000000</f>
        <v>-0</v>
      </c>
      <c r="L69" s="16" t="n">
        <f aca="false">+D69*F69/1000000</f>
        <v>0</v>
      </c>
      <c r="M69" s="16" t="n">
        <f aca="false">+G69*K69</f>
        <v>-0</v>
      </c>
      <c r="N69" s="17" t="n">
        <f aca="false">+G69*L69</f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7.35" hidden="false" customHeight="false" outlineLevel="0" collapsed="false">
      <c r="B70" s="13" t="n">
        <v>68</v>
      </c>
      <c r="C70" s="14" t="s">
        <v>18</v>
      </c>
      <c r="D70" s="15"/>
      <c r="E70" s="15" t="n">
        <f aca="false">F70-300</f>
        <v>-300</v>
      </c>
      <c r="F70" s="15"/>
      <c r="G70" s="13" t="n">
        <v>0</v>
      </c>
      <c r="H70" s="13" t="n">
        <f aca="false">+D70*G70</f>
        <v>0</v>
      </c>
      <c r="I70" s="15" t="n">
        <f aca="false">+F70*G70</f>
        <v>0</v>
      </c>
      <c r="J70" s="13" t="n">
        <f aca="false">+E70*G70</f>
        <v>-0</v>
      </c>
      <c r="K70" s="16" t="n">
        <f aca="false">+D70*E70/1000000</f>
        <v>-0</v>
      </c>
      <c r="L70" s="16" t="n">
        <f aca="false">+D70*F70/1000000</f>
        <v>0</v>
      </c>
      <c r="M70" s="16" t="n">
        <f aca="false">+G70*K70</f>
        <v>-0</v>
      </c>
      <c r="N70" s="17" t="n">
        <f aca="false">+G70*L70</f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7.35" hidden="false" customHeight="false" outlineLevel="0" collapsed="false">
      <c r="B71" s="13" t="n">
        <v>69</v>
      </c>
      <c r="C71" s="14" t="s">
        <v>18</v>
      </c>
      <c r="D71" s="15"/>
      <c r="E71" s="15" t="n">
        <f aca="false">F71-300</f>
        <v>-300</v>
      </c>
      <c r="F71" s="15"/>
      <c r="G71" s="13" t="n">
        <v>0</v>
      </c>
      <c r="H71" s="13" t="n">
        <f aca="false">+D71*G71</f>
        <v>0</v>
      </c>
      <c r="I71" s="15" t="n">
        <f aca="false">+F71*G71</f>
        <v>0</v>
      </c>
      <c r="J71" s="13" t="n">
        <f aca="false">+E71*G71</f>
        <v>-0</v>
      </c>
      <c r="K71" s="16" t="n">
        <f aca="false">+D71*E71/1000000</f>
        <v>-0</v>
      </c>
      <c r="L71" s="16" t="n">
        <f aca="false">+D71*F71/1000000</f>
        <v>0</v>
      </c>
      <c r="M71" s="16" t="n">
        <f aca="false">+G71*K71</f>
        <v>-0</v>
      </c>
      <c r="N71" s="17" t="n">
        <f aca="false">+G71*L71</f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7.35" hidden="false" customHeight="false" outlineLevel="0" collapsed="false">
      <c r="B72" s="13" t="n">
        <v>70</v>
      </c>
      <c r="C72" s="14" t="s">
        <v>18</v>
      </c>
      <c r="D72" s="15"/>
      <c r="E72" s="15" t="n">
        <f aca="false">F72-300</f>
        <v>-300</v>
      </c>
      <c r="F72" s="15"/>
      <c r="G72" s="13" t="n">
        <v>0</v>
      </c>
      <c r="H72" s="13" t="n">
        <f aca="false">+D72*G72</f>
        <v>0</v>
      </c>
      <c r="I72" s="15" t="n">
        <f aca="false">+F72*G72</f>
        <v>0</v>
      </c>
      <c r="J72" s="13" t="n">
        <f aca="false">+E72*G72</f>
        <v>-0</v>
      </c>
      <c r="K72" s="16" t="n">
        <f aca="false">+D72*E72/1000000</f>
        <v>-0</v>
      </c>
      <c r="L72" s="16" t="n">
        <f aca="false">+D72*F72/1000000</f>
        <v>0</v>
      </c>
      <c r="M72" s="16" t="n">
        <f aca="false">+G72*K72</f>
        <v>-0</v>
      </c>
      <c r="N72" s="17" t="n">
        <f aca="false">+G72*L72</f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7.35" hidden="false" customHeight="false" outlineLevel="0" collapsed="false">
      <c r="B73" s="13" t="n">
        <v>71</v>
      </c>
      <c r="C73" s="14" t="s">
        <v>18</v>
      </c>
      <c r="D73" s="15"/>
      <c r="E73" s="15" t="n">
        <f aca="false">F73-300</f>
        <v>-300</v>
      </c>
      <c r="F73" s="15"/>
      <c r="G73" s="13" t="n">
        <v>0</v>
      </c>
      <c r="H73" s="13" t="n">
        <f aca="false">+D73*G73</f>
        <v>0</v>
      </c>
      <c r="I73" s="15" t="n">
        <f aca="false">+F73*G73</f>
        <v>0</v>
      </c>
      <c r="J73" s="13" t="n">
        <f aca="false">+E73*G73</f>
        <v>-0</v>
      </c>
      <c r="K73" s="16" t="n">
        <f aca="false">+D73*E73/1000000</f>
        <v>-0</v>
      </c>
      <c r="L73" s="16" t="n">
        <f aca="false">+D73*F73/1000000</f>
        <v>0</v>
      </c>
      <c r="M73" s="16" t="n">
        <f aca="false">+G73*K73</f>
        <v>-0</v>
      </c>
      <c r="N73" s="17" t="n">
        <f aca="false">+G73*L73</f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7.35" hidden="false" customHeight="false" outlineLevel="0" collapsed="false">
      <c r="B74" s="13" t="n">
        <v>72</v>
      </c>
      <c r="C74" s="14" t="s">
        <v>18</v>
      </c>
      <c r="D74" s="15"/>
      <c r="E74" s="15" t="n">
        <f aca="false">F74-300</f>
        <v>-300</v>
      </c>
      <c r="F74" s="15"/>
      <c r="G74" s="13" t="n">
        <v>0</v>
      </c>
      <c r="H74" s="13" t="n">
        <f aca="false">+D74*G74</f>
        <v>0</v>
      </c>
      <c r="I74" s="15" t="n">
        <f aca="false">+F74*G74</f>
        <v>0</v>
      </c>
      <c r="J74" s="13" t="n">
        <f aca="false">+E74*G74</f>
        <v>-0</v>
      </c>
      <c r="K74" s="16" t="n">
        <f aca="false">+D74*E74/1000000</f>
        <v>-0</v>
      </c>
      <c r="L74" s="16" t="n">
        <f aca="false">+D74*F74/1000000</f>
        <v>0</v>
      </c>
      <c r="M74" s="16" t="n">
        <f aca="false">+G74*K74</f>
        <v>-0</v>
      </c>
      <c r="N74" s="17" t="n">
        <f aca="false">+G74*L74</f>
        <v>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7.35" hidden="false" customHeight="false" outlineLevel="0" collapsed="false">
      <c r="B75" s="13" t="n">
        <v>73</v>
      </c>
      <c r="C75" s="14" t="s">
        <v>18</v>
      </c>
      <c r="D75" s="15"/>
      <c r="E75" s="15" t="n">
        <f aca="false">F75-300</f>
        <v>-300</v>
      </c>
      <c r="F75" s="15"/>
      <c r="G75" s="13" t="n">
        <v>0</v>
      </c>
      <c r="H75" s="13" t="n">
        <f aca="false">+D75*G75</f>
        <v>0</v>
      </c>
      <c r="I75" s="15" t="n">
        <f aca="false">+F75*G75</f>
        <v>0</v>
      </c>
      <c r="J75" s="13" t="n">
        <f aca="false">+E75*G75</f>
        <v>-0</v>
      </c>
      <c r="K75" s="16" t="n">
        <f aca="false">+D75*E75/1000000</f>
        <v>-0</v>
      </c>
      <c r="L75" s="16" t="n">
        <f aca="false">+D75*F75/1000000</f>
        <v>0</v>
      </c>
      <c r="M75" s="16" t="n">
        <f aca="false">+G75*K75</f>
        <v>-0</v>
      </c>
      <c r="N75" s="17" t="n">
        <f aca="false">+G75*L75</f>
        <v>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7.35" hidden="false" customHeight="false" outlineLevel="0" collapsed="false">
      <c r="B76" s="13" t="n">
        <v>74</v>
      </c>
      <c r="C76" s="14" t="s">
        <v>18</v>
      </c>
      <c r="D76" s="15"/>
      <c r="E76" s="15" t="n">
        <f aca="false">F76-300</f>
        <v>-300</v>
      </c>
      <c r="F76" s="15"/>
      <c r="G76" s="13" t="n">
        <v>0</v>
      </c>
      <c r="H76" s="13" t="n">
        <f aca="false">+D76*G76</f>
        <v>0</v>
      </c>
      <c r="I76" s="15" t="n">
        <f aca="false">+F76*G76</f>
        <v>0</v>
      </c>
      <c r="J76" s="13" t="n">
        <f aca="false">+E76*G76</f>
        <v>-0</v>
      </c>
      <c r="K76" s="16" t="n">
        <f aca="false">+D76*E76/1000000</f>
        <v>-0</v>
      </c>
      <c r="L76" s="16" t="n">
        <f aca="false">+D76*F76/1000000</f>
        <v>0</v>
      </c>
      <c r="M76" s="16" t="n">
        <f aca="false">+G76*K76</f>
        <v>-0</v>
      </c>
      <c r="N76" s="17" t="n">
        <f aca="false">+G76*L76</f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7.35" hidden="false" customHeight="false" outlineLevel="0" collapsed="false">
      <c r="B77" s="13" t="n">
        <v>75</v>
      </c>
      <c r="C77" s="14" t="s">
        <v>18</v>
      </c>
      <c r="D77" s="15"/>
      <c r="E77" s="15" t="n">
        <f aca="false">F77-300</f>
        <v>-300</v>
      </c>
      <c r="F77" s="15"/>
      <c r="G77" s="13" t="n">
        <v>0</v>
      </c>
      <c r="H77" s="13" t="n">
        <f aca="false">+D77*G77</f>
        <v>0</v>
      </c>
      <c r="I77" s="15" t="n">
        <f aca="false">+F77*G77</f>
        <v>0</v>
      </c>
      <c r="J77" s="13" t="n">
        <f aca="false">+E77*G77</f>
        <v>-0</v>
      </c>
      <c r="K77" s="16" t="n">
        <f aca="false">+D77*E77/1000000</f>
        <v>-0</v>
      </c>
      <c r="L77" s="16" t="n">
        <f aca="false">+D77*F77/1000000</f>
        <v>0</v>
      </c>
      <c r="M77" s="16" t="n">
        <f aca="false">+G77*K77</f>
        <v>-0</v>
      </c>
      <c r="N77" s="17" t="n">
        <f aca="false">+G77*L77</f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7.35" hidden="false" customHeight="false" outlineLevel="0" collapsed="false">
      <c r="B78" s="13" t="n">
        <v>76</v>
      </c>
      <c r="C78" s="14" t="s">
        <v>18</v>
      </c>
      <c r="D78" s="15"/>
      <c r="E78" s="15" t="n">
        <f aca="false">F78-300</f>
        <v>-300</v>
      </c>
      <c r="F78" s="15"/>
      <c r="G78" s="13" t="n">
        <v>0</v>
      </c>
      <c r="H78" s="13" t="n">
        <f aca="false">+D78*G78</f>
        <v>0</v>
      </c>
      <c r="I78" s="15" t="n">
        <f aca="false">+F78*G78</f>
        <v>0</v>
      </c>
      <c r="J78" s="13" t="n">
        <f aca="false">+E78*G78</f>
        <v>-0</v>
      </c>
      <c r="K78" s="16" t="n">
        <f aca="false">+D78*E78/1000000</f>
        <v>-0</v>
      </c>
      <c r="L78" s="16" t="n">
        <f aca="false">+D78*F78/1000000</f>
        <v>0</v>
      </c>
      <c r="M78" s="16" t="n">
        <f aca="false">+G78*K78</f>
        <v>-0</v>
      </c>
      <c r="N78" s="17" t="n">
        <f aca="false">+G78*L78</f>
        <v>0</v>
      </c>
    </row>
    <row r="79" customFormat="false" ht="17.35" hidden="false" customHeight="false" outlineLevel="0" collapsed="false">
      <c r="B79" s="13" t="n">
        <v>77</v>
      </c>
      <c r="C79" s="14" t="s">
        <v>18</v>
      </c>
      <c r="D79" s="15"/>
      <c r="E79" s="15" t="n">
        <f aca="false">F79-300</f>
        <v>-300</v>
      </c>
      <c r="F79" s="15"/>
      <c r="G79" s="13" t="n">
        <v>0</v>
      </c>
      <c r="H79" s="13" t="n">
        <f aca="false">+D79*G79</f>
        <v>0</v>
      </c>
      <c r="I79" s="15" t="n">
        <f aca="false">+F79*G79</f>
        <v>0</v>
      </c>
      <c r="J79" s="13" t="n">
        <f aca="false">+E79*G79</f>
        <v>-0</v>
      </c>
      <c r="K79" s="16" t="n">
        <f aca="false">+D79*E79/1000000</f>
        <v>-0</v>
      </c>
      <c r="L79" s="16" t="n">
        <f aca="false">+D79*F79/1000000</f>
        <v>0</v>
      </c>
      <c r="M79" s="16" t="n">
        <f aca="false">+G79*K79</f>
        <v>-0</v>
      </c>
      <c r="N79" s="17" t="n">
        <f aca="false">+G79*L79</f>
        <v>0</v>
      </c>
    </row>
    <row r="80" customFormat="false" ht="17.35" hidden="false" customHeight="false" outlineLevel="0" collapsed="false">
      <c r="B80" s="13" t="n">
        <v>78</v>
      </c>
      <c r="C80" s="14" t="s">
        <v>18</v>
      </c>
      <c r="D80" s="15"/>
      <c r="E80" s="15" t="n">
        <f aca="false">F80-300</f>
        <v>-300</v>
      </c>
      <c r="F80" s="15"/>
      <c r="G80" s="13" t="n">
        <v>0</v>
      </c>
      <c r="H80" s="13" t="n">
        <f aca="false">+D80*G80</f>
        <v>0</v>
      </c>
      <c r="I80" s="15" t="n">
        <f aca="false">+F80*G80</f>
        <v>0</v>
      </c>
      <c r="J80" s="13" t="n">
        <f aca="false">+E80*G80</f>
        <v>-0</v>
      </c>
      <c r="K80" s="16" t="n">
        <f aca="false">+D80*E80/1000000</f>
        <v>-0</v>
      </c>
      <c r="L80" s="16" t="n">
        <f aca="false">+D80*F80/1000000</f>
        <v>0</v>
      </c>
      <c r="M80" s="16" t="n">
        <f aca="false">+G80*K80</f>
        <v>-0</v>
      </c>
      <c r="N80" s="17" t="n">
        <f aca="false">+G80*L80</f>
        <v>0</v>
      </c>
    </row>
    <row r="81" customFormat="false" ht="17.35" hidden="false" customHeight="false" outlineLevel="0" collapsed="false">
      <c r="B81" s="13" t="n">
        <v>79</v>
      </c>
      <c r="C81" s="14" t="s">
        <v>18</v>
      </c>
      <c r="D81" s="15"/>
      <c r="E81" s="15" t="n">
        <f aca="false">F81-300</f>
        <v>-300</v>
      </c>
      <c r="F81" s="15"/>
      <c r="G81" s="13" t="n">
        <v>0</v>
      </c>
      <c r="H81" s="13" t="n">
        <f aca="false">+D81*G81</f>
        <v>0</v>
      </c>
      <c r="I81" s="15" t="n">
        <f aca="false">+F81*G81</f>
        <v>0</v>
      </c>
      <c r="J81" s="13" t="n">
        <f aca="false">+E81*G81</f>
        <v>-0</v>
      </c>
      <c r="K81" s="16" t="n">
        <f aca="false">+D81*E81/1000000</f>
        <v>-0</v>
      </c>
      <c r="L81" s="16" t="n">
        <f aca="false">+D81*F81/1000000</f>
        <v>0</v>
      </c>
      <c r="M81" s="16" t="n">
        <f aca="false">+G81*K81</f>
        <v>-0</v>
      </c>
      <c r="N81" s="17" t="n">
        <f aca="false">+G81*L81</f>
        <v>0</v>
      </c>
    </row>
    <row r="82" customFormat="false" ht="17.35" hidden="false" customHeight="false" outlineLevel="0" collapsed="false">
      <c r="B82" s="13" t="n">
        <v>80</v>
      </c>
      <c r="C82" s="14" t="s">
        <v>18</v>
      </c>
      <c r="D82" s="15"/>
      <c r="E82" s="15" t="n">
        <f aca="false">F82-300</f>
        <v>-300</v>
      </c>
      <c r="F82" s="15"/>
      <c r="G82" s="13" t="n">
        <v>0</v>
      </c>
      <c r="H82" s="13" t="n">
        <f aca="false">+D82*G82</f>
        <v>0</v>
      </c>
      <c r="I82" s="15" t="n">
        <f aca="false">+F82*G82</f>
        <v>0</v>
      </c>
      <c r="J82" s="13" t="n">
        <f aca="false">+E82*G82</f>
        <v>-0</v>
      </c>
      <c r="K82" s="16" t="n">
        <f aca="false">+D82*E82/1000000</f>
        <v>-0</v>
      </c>
      <c r="L82" s="16" t="n">
        <f aca="false">+D82*F82/1000000</f>
        <v>0</v>
      </c>
      <c r="M82" s="16" t="n">
        <f aca="false">+G82*K82</f>
        <v>-0</v>
      </c>
      <c r="N82" s="17" t="n">
        <f aca="false">+G82*L82</f>
        <v>0</v>
      </c>
    </row>
    <row r="83" customFormat="false" ht="17.35" hidden="false" customHeight="false" outlineLevel="0" collapsed="false">
      <c r="B83" s="13" t="n">
        <v>81</v>
      </c>
      <c r="C83" s="14" t="s">
        <v>18</v>
      </c>
      <c r="D83" s="15"/>
      <c r="E83" s="15" t="n">
        <f aca="false">F83-300</f>
        <v>-300</v>
      </c>
      <c r="F83" s="15"/>
      <c r="G83" s="13" t="n">
        <v>0</v>
      </c>
      <c r="H83" s="13" t="n">
        <f aca="false">+D83*G83</f>
        <v>0</v>
      </c>
      <c r="I83" s="15" t="n">
        <f aca="false">+F83*G83</f>
        <v>0</v>
      </c>
      <c r="J83" s="13" t="n">
        <f aca="false">+E83*G83</f>
        <v>-0</v>
      </c>
      <c r="K83" s="16" t="n">
        <f aca="false">+D83*E83/1000000</f>
        <v>-0</v>
      </c>
      <c r="L83" s="16" t="n">
        <f aca="false">+D83*F83/1000000</f>
        <v>0</v>
      </c>
      <c r="M83" s="16" t="n">
        <f aca="false">+G83*K83</f>
        <v>-0</v>
      </c>
      <c r="N83" s="17" t="n">
        <f aca="false">+G83*L83</f>
        <v>0</v>
      </c>
    </row>
    <row r="84" customFormat="false" ht="17.35" hidden="false" customHeight="false" outlineLevel="0" collapsed="false">
      <c r="B84" s="13" t="n">
        <v>82</v>
      </c>
      <c r="C84" s="14" t="s">
        <v>18</v>
      </c>
      <c r="D84" s="15"/>
      <c r="E84" s="15" t="n">
        <f aca="false">F84-300</f>
        <v>-300</v>
      </c>
      <c r="F84" s="15"/>
      <c r="G84" s="13" t="n">
        <v>0</v>
      </c>
      <c r="H84" s="13" t="n">
        <f aca="false">+D84*G84</f>
        <v>0</v>
      </c>
      <c r="I84" s="15" t="n">
        <f aca="false">+F84*G84</f>
        <v>0</v>
      </c>
      <c r="J84" s="13" t="n">
        <f aca="false">+E84*G84</f>
        <v>-0</v>
      </c>
      <c r="K84" s="16" t="n">
        <f aca="false">+D84*E84/1000000</f>
        <v>-0</v>
      </c>
      <c r="L84" s="16" t="n">
        <f aca="false">+D84*F84/1000000</f>
        <v>0</v>
      </c>
      <c r="M84" s="16" t="n">
        <f aca="false">+G84*K84</f>
        <v>-0</v>
      </c>
      <c r="N84" s="17" t="n">
        <f aca="false">+G84*L84</f>
        <v>0</v>
      </c>
    </row>
    <row r="85" customFormat="false" ht="17.35" hidden="false" customHeight="false" outlineLevel="0" collapsed="false">
      <c r="B85" s="13" t="n">
        <v>83</v>
      </c>
      <c r="C85" s="14" t="s">
        <v>18</v>
      </c>
      <c r="D85" s="15"/>
      <c r="E85" s="15" t="n">
        <f aca="false">F85-300</f>
        <v>-300</v>
      </c>
      <c r="F85" s="15"/>
      <c r="G85" s="13" t="n">
        <v>0</v>
      </c>
      <c r="H85" s="13" t="n">
        <f aca="false">+D85*G85</f>
        <v>0</v>
      </c>
      <c r="I85" s="15" t="n">
        <f aca="false">+F85*G85</f>
        <v>0</v>
      </c>
      <c r="J85" s="13" t="n">
        <f aca="false">+E85*G85</f>
        <v>-0</v>
      </c>
      <c r="K85" s="16" t="n">
        <f aca="false">+D85*E85/1000000</f>
        <v>-0</v>
      </c>
      <c r="L85" s="16" t="n">
        <f aca="false">+D85*F85/1000000</f>
        <v>0</v>
      </c>
      <c r="M85" s="16" t="n">
        <f aca="false">+G85*K85</f>
        <v>-0</v>
      </c>
      <c r="N85" s="17" t="n">
        <f aca="false">+G85*L85</f>
        <v>0</v>
      </c>
    </row>
    <row r="86" customFormat="false" ht="17.35" hidden="false" customHeight="false" outlineLevel="0" collapsed="false">
      <c r="B86" s="13" t="n">
        <v>84</v>
      </c>
      <c r="C86" s="14" t="s">
        <v>18</v>
      </c>
      <c r="D86" s="15"/>
      <c r="E86" s="15" t="n">
        <f aca="false">F86-300</f>
        <v>-300</v>
      </c>
      <c r="F86" s="15"/>
      <c r="G86" s="13" t="n">
        <v>0</v>
      </c>
      <c r="H86" s="13" t="n">
        <f aca="false">+D86*G86</f>
        <v>0</v>
      </c>
      <c r="I86" s="15" t="n">
        <f aca="false">+F86*G86</f>
        <v>0</v>
      </c>
      <c r="J86" s="13" t="n">
        <f aca="false">+E86*G86</f>
        <v>-0</v>
      </c>
      <c r="K86" s="16" t="n">
        <f aca="false">+D86*E86/1000000</f>
        <v>-0</v>
      </c>
      <c r="L86" s="16" t="n">
        <f aca="false">+D86*F86/1000000</f>
        <v>0</v>
      </c>
      <c r="M86" s="16" t="n">
        <f aca="false">+G86*K86</f>
        <v>-0</v>
      </c>
      <c r="N86" s="17" t="n">
        <f aca="false">+G86*L86</f>
        <v>0</v>
      </c>
    </row>
    <row r="87" customFormat="false" ht="17.35" hidden="false" customHeight="false" outlineLevel="0" collapsed="false">
      <c r="B87" s="13" t="n">
        <v>85</v>
      </c>
      <c r="C87" s="14" t="s">
        <v>18</v>
      </c>
      <c r="D87" s="15"/>
      <c r="E87" s="15" t="n">
        <f aca="false">F87-300</f>
        <v>-300</v>
      </c>
      <c r="F87" s="15"/>
      <c r="G87" s="13" t="n">
        <v>0</v>
      </c>
      <c r="H87" s="13" t="n">
        <f aca="false">+D87*G87</f>
        <v>0</v>
      </c>
      <c r="I87" s="15" t="n">
        <f aca="false">+F87*G87</f>
        <v>0</v>
      </c>
      <c r="J87" s="13" t="n">
        <f aca="false">+E87*G87</f>
        <v>-0</v>
      </c>
      <c r="K87" s="16" t="n">
        <f aca="false">+D87*E87/1000000</f>
        <v>-0</v>
      </c>
      <c r="L87" s="16" t="n">
        <f aca="false">+D87*F87/1000000</f>
        <v>0</v>
      </c>
      <c r="M87" s="16" t="n">
        <f aca="false">+G87*K87</f>
        <v>-0</v>
      </c>
      <c r="N87" s="17" t="n">
        <f aca="false">+G87*L87</f>
        <v>0</v>
      </c>
    </row>
    <row r="88" customFormat="false" ht="17.35" hidden="false" customHeight="false" outlineLevel="0" collapsed="false">
      <c r="B88" s="13" t="n">
        <v>86</v>
      </c>
      <c r="C88" s="14" t="s">
        <v>18</v>
      </c>
      <c r="D88" s="15"/>
      <c r="E88" s="15" t="n">
        <f aca="false">F88-300</f>
        <v>-300</v>
      </c>
      <c r="F88" s="15"/>
      <c r="G88" s="13" t="n">
        <v>0</v>
      </c>
      <c r="H88" s="13" t="n">
        <f aca="false">+D88*G88</f>
        <v>0</v>
      </c>
      <c r="I88" s="15" t="n">
        <f aca="false">+F88*G88</f>
        <v>0</v>
      </c>
      <c r="J88" s="13" t="n">
        <f aca="false">+E88*G88</f>
        <v>-0</v>
      </c>
      <c r="K88" s="16" t="n">
        <f aca="false">+D88*E88/1000000</f>
        <v>-0</v>
      </c>
      <c r="L88" s="16" t="n">
        <f aca="false">+D88*F88/1000000</f>
        <v>0</v>
      </c>
      <c r="M88" s="16" t="n">
        <f aca="false">+G88*K88</f>
        <v>-0</v>
      </c>
      <c r="N88" s="17" t="n">
        <f aca="false">+G88*L88</f>
        <v>0</v>
      </c>
    </row>
    <row r="89" customFormat="false" ht="17.35" hidden="false" customHeight="false" outlineLevel="0" collapsed="false">
      <c r="B89" s="13" t="n">
        <v>87</v>
      </c>
      <c r="C89" s="14" t="s">
        <v>18</v>
      </c>
      <c r="D89" s="15"/>
      <c r="E89" s="15" t="n">
        <f aca="false">F89-300</f>
        <v>-300</v>
      </c>
      <c r="F89" s="15"/>
      <c r="G89" s="13"/>
      <c r="H89" s="13" t="n">
        <f aca="false">+D89*G89</f>
        <v>0</v>
      </c>
      <c r="I89" s="15" t="n">
        <f aca="false">+F89*G89</f>
        <v>0</v>
      </c>
      <c r="J89" s="13" t="n">
        <f aca="false">+E89*G89</f>
        <v>-0</v>
      </c>
      <c r="K89" s="16" t="n">
        <f aca="false">+D89*E89/1000000</f>
        <v>-0</v>
      </c>
      <c r="L89" s="16" t="n">
        <f aca="false">+D89*F89/1000000</f>
        <v>0</v>
      </c>
      <c r="M89" s="16" t="n">
        <f aca="false">+G89*K89</f>
        <v>-0</v>
      </c>
      <c r="N89" s="17" t="n">
        <f aca="false">+G89*L89</f>
        <v>0</v>
      </c>
    </row>
    <row r="90" customFormat="false" ht="17.35" hidden="false" customHeight="false" outlineLevel="0" collapsed="false">
      <c r="B90" s="13" t="n">
        <v>88</v>
      </c>
      <c r="C90" s="14" t="s">
        <v>18</v>
      </c>
      <c r="D90" s="15"/>
      <c r="E90" s="15" t="n">
        <f aca="false">F90-300</f>
        <v>-300</v>
      </c>
      <c r="F90" s="15"/>
      <c r="G90" s="13"/>
      <c r="H90" s="13" t="n">
        <f aca="false">+D90*G90</f>
        <v>0</v>
      </c>
      <c r="I90" s="15" t="n">
        <f aca="false">+F90*G90</f>
        <v>0</v>
      </c>
      <c r="J90" s="13" t="n">
        <f aca="false">+E90*G90</f>
        <v>-0</v>
      </c>
      <c r="K90" s="16" t="n">
        <f aca="false">+D90*E90/1000000</f>
        <v>-0</v>
      </c>
      <c r="L90" s="16" t="n">
        <f aca="false">+D90*F90/1000000</f>
        <v>0</v>
      </c>
      <c r="M90" s="16" t="n">
        <f aca="false">+G90*K90</f>
        <v>-0</v>
      </c>
      <c r="N90" s="17" t="n">
        <f aca="false">+G90*L90</f>
        <v>0</v>
      </c>
    </row>
    <row r="91" customFormat="false" ht="17.35" hidden="false" customHeight="false" outlineLevel="0" collapsed="false">
      <c r="B91" s="13" t="n">
        <v>89</v>
      </c>
      <c r="C91" s="14" t="s">
        <v>18</v>
      </c>
      <c r="D91" s="15" t="n">
        <v>0</v>
      </c>
      <c r="E91" s="15" t="n">
        <f aca="false">F91-300</f>
        <v>-300</v>
      </c>
      <c r="F91" s="15" t="n">
        <v>0</v>
      </c>
      <c r="G91" s="13"/>
      <c r="H91" s="13" t="n">
        <f aca="false">+D91*G91</f>
        <v>0</v>
      </c>
      <c r="I91" s="15" t="n">
        <f aca="false">+F91*G91</f>
        <v>0</v>
      </c>
      <c r="J91" s="13" t="n">
        <f aca="false">+E91*G91</f>
        <v>-0</v>
      </c>
      <c r="K91" s="16" t="n">
        <f aca="false">+D91*E91/1000000</f>
        <v>-0</v>
      </c>
      <c r="L91" s="16" t="n">
        <f aca="false">+D91*F91/1000000</f>
        <v>0</v>
      </c>
      <c r="M91" s="16" t="n">
        <f aca="false">+G91*K91</f>
        <v>-0</v>
      </c>
      <c r="N91" s="17" t="n">
        <f aca="false">+G91*L91</f>
        <v>0</v>
      </c>
    </row>
    <row r="92" customFormat="false" ht="17.35" hidden="false" customHeight="false" outlineLevel="0" collapsed="false">
      <c r="B92" s="13" t="n">
        <v>90</v>
      </c>
      <c r="C92" s="14" t="s">
        <v>18</v>
      </c>
      <c r="D92" s="15" t="n">
        <v>0</v>
      </c>
      <c r="E92" s="15" t="n">
        <f aca="false">F92-300</f>
        <v>-300</v>
      </c>
      <c r="F92" s="15" t="n">
        <v>0</v>
      </c>
      <c r="G92" s="13"/>
      <c r="H92" s="13" t="n">
        <f aca="false">+D92*G92</f>
        <v>0</v>
      </c>
      <c r="I92" s="15" t="n">
        <f aca="false">+F92*G92</f>
        <v>0</v>
      </c>
      <c r="J92" s="13" t="n">
        <f aca="false">+E92*G92</f>
        <v>-0</v>
      </c>
      <c r="K92" s="16" t="n">
        <f aca="false">+D92*E92/1000000</f>
        <v>-0</v>
      </c>
      <c r="L92" s="16" t="n">
        <f aca="false">+D92*F92/1000000</f>
        <v>0</v>
      </c>
      <c r="M92" s="16" t="n">
        <f aca="false">+G92*K92</f>
        <v>-0</v>
      </c>
      <c r="N92" s="17" t="n">
        <f aca="false">+G92*L92</f>
        <v>0</v>
      </c>
    </row>
    <row r="93" customFormat="false" ht="17.35" hidden="false" customHeight="false" outlineLevel="0" collapsed="false">
      <c r="B93" s="13" t="n">
        <v>91</v>
      </c>
      <c r="C93" s="14" t="s">
        <v>18</v>
      </c>
      <c r="D93" s="15" t="n">
        <v>0</v>
      </c>
      <c r="E93" s="15" t="n">
        <f aca="false">F93-300</f>
        <v>-300</v>
      </c>
      <c r="F93" s="15" t="n">
        <v>0</v>
      </c>
      <c r="G93" s="13"/>
      <c r="H93" s="13" t="n">
        <f aca="false">+D93*G93</f>
        <v>0</v>
      </c>
      <c r="I93" s="15" t="n">
        <f aca="false">+F93*G93</f>
        <v>0</v>
      </c>
      <c r="J93" s="13" t="n">
        <f aca="false">+E93*G93</f>
        <v>-0</v>
      </c>
      <c r="K93" s="16" t="n">
        <f aca="false">+D93*E93/1000000</f>
        <v>-0</v>
      </c>
      <c r="L93" s="16" t="n">
        <f aca="false">+D93*F93/1000000</f>
        <v>0</v>
      </c>
      <c r="M93" s="16" t="n">
        <f aca="false">+G93*K93</f>
        <v>-0</v>
      </c>
      <c r="N93" s="17" t="n">
        <f aca="false">+G93*L93</f>
        <v>0</v>
      </c>
    </row>
    <row r="94" customFormat="false" ht="17.35" hidden="false" customHeight="false" outlineLevel="0" collapsed="false">
      <c r="B94" s="13" t="n">
        <v>92</v>
      </c>
      <c r="C94" s="14" t="s">
        <v>18</v>
      </c>
      <c r="D94" s="15" t="n">
        <v>0</v>
      </c>
      <c r="E94" s="15" t="n">
        <f aca="false">F94-300</f>
        <v>-300</v>
      </c>
      <c r="F94" s="15" t="n">
        <v>0</v>
      </c>
      <c r="G94" s="13"/>
      <c r="H94" s="13" t="n">
        <f aca="false">+D94*G94</f>
        <v>0</v>
      </c>
      <c r="I94" s="15" t="n">
        <f aca="false">+F94*G94</f>
        <v>0</v>
      </c>
      <c r="J94" s="13" t="n">
        <f aca="false">+E94*G94</f>
        <v>-0</v>
      </c>
      <c r="K94" s="16" t="n">
        <f aca="false">+D94*E94/1000000</f>
        <v>-0</v>
      </c>
      <c r="L94" s="16" t="n">
        <f aca="false">+D94*F94/1000000</f>
        <v>0</v>
      </c>
      <c r="M94" s="16" t="n">
        <f aca="false">+G94*K94</f>
        <v>-0</v>
      </c>
      <c r="N94" s="17" t="n">
        <f aca="false">+G94*L94</f>
        <v>0</v>
      </c>
    </row>
    <row r="95" customFormat="false" ht="17.35" hidden="false" customHeight="false" outlineLevel="0" collapsed="false">
      <c r="B95" s="13" t="n">
        <v>93</v>
      </c>
      <c r="C95" s="14" t="s">
        <v>18</v>
      </c>
      <c r="D95" s="15" t="n">
        <v>0</v>
      </c>
      <c r="E95" s="15" t="n">
        <f aca="false">F95-300</f>
        <v>-300</v>
      </c>
      <c r="F95" s="15" t="n">
        <v>0</v>
      </c>
      <c r="G95" s="13"/>
      <c r="H95" s="13" t="n">
        <f aca="false">+D95*G95</f>
        <v>0</v>
      </c>
      <c r="I95" s="15" t="n">
        <f aca="false">+F95*G95</f>
        <v>0</v>
      </c>
      <c r="J95" s="13" t="n">
        <f aca="false">+E95*G95</f>
        <v>-0</v>
      </c>
      <c r="K95" s="16" t="n">
        <f aca="false">+D95*E95/1000000</f>
        <v>-0</v>
      </c>
      <c r="L95" s="16" t="n">
        <f aca="false">+D95*F95/1000000</f>
        <v>0</v>
      </c>
      <c r="M95" s="16" t="n">
        <f aca="false">+G95*K95</f>
        <v>-0</v>
      </c>
      <c r="N95" s="17" t="n">
        <f aca="false">+G95*L95</f>
        <v>0</v>
      </c>
    </row>
    <row r="96" customFormat="false" ht="17.35" hidden="false" customHeight="false" outlineLevel="0" collapsed="false">
      <c r="B96" s="13" t="n">
        <v>94</v>
      </c>
      <c r="C96" s="14" t="s">
        <v>18</v>
      </c>
      <c r="D96" s="15" t="n">
        <v>0</v>
      </c>
      <c r="E96" s="15" t="n">
        <f aca="false">F96-300</f>
        <v>-300</v>
      </c>
      <c r="F96" s="15" t="n">
        <v>0</v>
      </c>
      <c r="G96" s="13"/>
      <c r="H96" s="13" t="n">
        <f aca="false">+D96*G96</f>
        <v>0</v>
      </c>
      <c r="I96" s="15" t="n">
        <f aca="false">+F96*G96</f>
        <v>0</v>
      </c>
      <c r="J96" s="13" t="n">
        <f aca="false">+E96*G96</f>
        <v>-0</v>
      </c>
      <c r="K96" s="16" t="n">
        <f aca="false">+D96*E96/1000000</f>
        <v>-0</v>
      </c>
      <c r="L96" s="16" t="n">
        <f aca="false">+D96*F96/1000000</f>
        <v>0</v>
      </c>
      <c r="M96" s="16" t="n">
        <f aca="false">+G96*K96</f>
        <v>-0</v>
      </c>
      <c r="N96" s="17" t="n">
        <f aca="false">+G96*L96</f>
        <v>0</v>
      </c>
    </row>
    <row r="97" customFormat="false" ht="17.35" hidden="false" customHeight="false" outlineLevel="0" collapsed="false">
      <c r="B97" s="13" t="n">
        <v>95</v>
      </c>
      <c r="C97" s="14" t="s">
        <v>18</v>
      </c>
      <c r="D97" s="15" t="n">
        <v>0</v>
      </c>
      <c r="E97" s="15" t="n">
        <f aca="false">F97-300</f>
        <v>-300</v>
      </c>
      <c r="F97" s="15" t="n">
        <v>0</v>
      </c>
      <c r="G97" s="13"/>
      <c r="H97" s="13" t="n">
        <f aca="false">+D97*G97</f>
        <v>0</v>
      </c>
      <c r="I97" s="15" t="n">
        <f aca="false">+F97*G97</f>
        <v>0</v>
      </c>
      <c r="J97" s="13" t="n">
        <f aca="false">+E97*G97</f>
        <v>-0</v>
      </c>
      <c r="K97" s="16" t="n">
        <f aca="false">+D97*E97/1000000</f>
        <v>-0</v>
      </c>
      <c r="L97" s="16" t="n">
        <f aca="false">+D97*F97/1000000</f>
        <v>0</v>
      </c>
      <c r="M97" s="16" t="n">
        <f aca="false">+G97*K97</f>
        <v>-0</v>
      </c>
      <c r="N97" s="17" t="n">
        <f aca="false">+G97*L97</f>
        <v>0</v>
      </c>
      <c r="P97" s="4"/>
      <c r="Q97" s="4"/>
      <c r="R97" s="4"/>
      <c r="S97" s="4"/>
    </row>
    <row r="98" customFormat="false" ht="17.35" hidden="false" customHeight="false" outlineLevel="0" collapsed="false">
      <c r="B98" s="13" t="n">
        <v>96</v>
      </c>
      <c r="C98" s="14" t="s">
        <v>18</v>
      </c>
      <c r="D98" s="15" t="n">
        <v>0</v>
      </c>
      <c r="E98" s="15" t="n">
        <f aca="false">F98-300</f>
        <v>-300</v>
      </c>
      <c r="F98" s="15" t="n">
        <v>0</v>
      </c>
      <c r="G98" s="13"/>
      <c r="H98" s="13" t="n">
        <f aca="false">+D98*G98</f>
        <v>0</v>
      </c>
      <c r="I98" s="15" t="n">
        <f aca="false">+F98*G98</f>
        <v>0</v>
      </c>
      <c r="J98" s="13" t="n">
        <f aca="false">+E98*G98</f>
        <v>-0</v>
      </c>
      <c r="K98" s="16" t="n">
        <f aca="false">+D98*E98/1000000</f>
        <v>-0</v>
      </c>
      <c r="L98" s="16" t="n">
        <f aca="false">+D98*F98/1000000</f>
        <v>0</v>
      </c>
      <c r="M98" s="16" t="n">
        <f aca="false">+G98*K98</f>
        <v>-0</v>
      </c>
      <c r="N98" s="17" t="n">
        <f aca="false">+G98*L98</f>
        <v>0</v>
      </c>
      <c r="P98" s="4"/>
      <c r="Q98" s="4"/>
      <c r="R98" s="4"/>
      <c r="S98" s="4"/>
    </row>
    <row r="99" customFormat="false" ht="17.35" hidden="false" customHeight="false" outlineLevel="0" collapsed="false">
      <c r="B99" s="13" t="n">
        <v>97</v>
      </c>
      <c r="C99" s="14" t="s">
        <v>18</v>
      </c>
      <c r="D99" s="15" t="n">
        <v>0</v>
      </c>
      <c r="E99" s="15" t="n">
        <f aca="false">F99-300</f>
        <v>-300</v>
      </c>
      <c r="F99" s="15" t="n">
        <v>0</v>
      </c>
      <c r="G99" s="13"/>
      <c r="H99" s="13" t="n">
        <f aca="false">+D99*G99</f>
        <v>0</v>
      </c>
      <c r="I99" s="15" t="n">
        <f aca="false">+F99*G99</f>
        <v>0</v>
      </c>
      <c r="J99" s="13" t="n">
        <f aca="false">+E99*G99</f>
        <v>-0</v>
      </c>
      <c r="K99" s="16" t="n">
        <f aca="false">+D99*E99/1000000</f>
        <v>-0</v>
      </c>
      <c r="L99" s="16" t="n">
        <f aca="false">+D99*F99/1000000</f>
        <v>0</v>
      </c>
      <c r="M99" s="16" t="n">
        <f aca="false">+G99*K99</f>
        <v>-0</v>
      </c>
      <c r="N99" s="17" t="n">
        <f aca="false">+G99*L99</f>
        <v>0</v>
      </c>
      <c r="P99" s="4"/>
      <c r="Q99" s="4"/>
      <c r="R99" s="30"/>
      <c r="S99" s="4"/>
    </row>
    <row r="100" customFormat="false" ht="17.35" hidden="false" customHeight="false" outlineLevel="0" collapsed="false">
      <c r="B100" s="13" t="n">
        <v>98</v>
      </c>
      <c r="C100" s="14" t="s">
        <v>18</v>
      </c>
      <c r="D100" s="15" t="n">
        <v>0</v>
      </c>
      <c r="E100" s="15" t="n">
        <f aca="false">F100-300</f>
        <v>-300</v>
      </c>
      <c r="F100" s="15" t="n">
        <v>0</v>
      </c>
      <c r="G100" s="13"/>
      <c r="H100" s="13" t="n">
        <f aca="false">+D100*G100</f>
        <v>0</v>
      </c>
      <c r="I100" s="15" t="n">
        <f aca="false">+F100*G100</f>
        <v>0</v>
      </c>
      <c r="J100" s="13" t="n">
        <f aca="false">+E100*G100</f>
        <v>-0</v>
      </c>
      <c r="K100" s="16" t="n">
        <f aca="false">+D100*E100/1000000</f>
        <v>-0</v>
      </c>
      <c r="L100" s="16" t="n">
        <f aca="false">+D100*F100/1000000</f>
        <v>0</v>
      </c>
      <c r="M100" s="16" t="n">
        <f aca="false">+G100*K100</f>
        <v>-0</v>
      </c>
      <c r="N100" s="17" t="n">
        <f aca="false">+G100*L100</f>
        <v>0</v>
      </c>
      <c r="P100" s="4"/>
      <c r="Q100" s="4"/>
      <c r="R100" s="30"/>
      <c r="S100" s="4"/>
    </row>
    <row r="101" customFormat="false" ht="17.35" hidden="false" customHeight="false" outlineLevel="0" collapsed="false">
      <c r="B101" s="31" t="s">
        <v>19</v>
      </c>
      <c r="C101" s="31"/>
      <c r="D101" s="32" t="n">
        <f aca="false">SUM(D5:D100)</f>
        <v>12200</v>
      </c>
      <c r="E101" s="33" t="n">
        <f aca="false">SUM(E5:E100)</f>
        <v>-18600</v>
      </c>
      <c r="F101" s="33" t="n">
        <f aca="false">SUM(F5:F100)</f>
        <v>10200</v>
      </c>
      <c r="G101" s="34" t="n">
        <f aca="false">SUM(G5:G100)</f>
        <v>15</v>
      </c>
      <c r="H101" s="32" t="n">
        <f aca="false">SUM(H5:H100)</f>
        <v>53100</v>
      </c>
      <c r="I101" s="32" t="n">
        <f aca="false">SUM(I5:I100)</f>
        <v>37200</v>
      </c>
      <c r="J101" s="32" t="n">
        <f aca="false">SUM(J5:J100)</f>
        <v>32700</v>
      </c>
      <c r="K101" s="35" t="n">
        <f aca="false">SUM(K5:K100)</f>
        <v>27.06</v>
      </c>
      <c r="L101" s="35" t="n">
        <f aca="false">SUM(L5:L100)</f>
        <v>30.72</v>
      </c>
      <c r="M101" s="36" t="n">
        <f aca="false">SUM(M5:M100)</f>
        <v>114.39</v>
      </c>
      <c r="N101" s="37" t="n">
        <f aca="false">SUM(N5:N100)</f>
        <v>130.32</v>
      </c>
      <c r="P101" s="4"/>
      <c r="Q101" s="4"/>
      <c r="R101" s="30"/>
      <c r="S101" s="4"/>
    </row>
    <row r="102" customFormat="false" ht="17.35" hidden="false" customHeight="false" outlineLevel="0" collapsed="false">
      <c r="B102" s="4"/>
      <c r="C102" s="4"/>
      <c r="D102" s="4"/>
      <c r="E102" s="38"/>
      <c r="F102" s="39"/>
      <c r="G102" s="39"/>
      <c r="H102" s="4"/>
      <c r="I102" s="12"/>
      <c r="J102" s="12"/>
      <c r="K102" s="12"/>
      <c r="P102" s="4"/>
      <c r="Q102" s="4"/>
      <c r="R102" s="30"/>
      <c r="S102" s="4"/>
    </row>
    <row r="103" customFormat="false" ht="17.35" hidden="false" customHeight="false" outlineLevel="0" collapsed="false">
      <c r="B103" s="40" t="s">
        <v>20</v>
      </c>
      <c r="C103" s="40"/>
      <c r="D103" s="40"/>
      <c r="E103" s="40"/>
      <c r="F103" s="40"/>
      <c r="G103" s="40"/>
      <c r="H103" s="40"/>
      <c r="I103" s="40"/>
      <c r="J103" s="40"/>
      <c r="K103" s="22"/>
      <c r="P103" s="4"/>
      <c r="Q103" s="11"/>
      <c r="R103" s="41"/>
      <c r="S103" s="4"/>
    </row>
    <row r="104" customFormat="false" ht="17.35" hidden="false" customHeight="false" outlineLevel="0" collapsed="false">
      <c r="B104" s="9" t="s">
        <v>5</v>
      </c>
      <c r="C104" s="42" t="s">
        <v>21</v>
      </c>
      <c r="D104" s="42" t="s">
        <v>22</v>
      </c>
      <c r="E104" s="42" t="s">
        <v>23</v>
      </c>
      <c r="F104" s="42" t="s">
        <v>24</v>
      </c>
      <c r="G104" s="42" t="s">
        <v>25</v>
      </c>
      <c r="H104" s="42" t="s">
        <v>26</v>
      </c>
      <c r="I104" s="42" t="s">
        <v>27</v>
      </c>
      <c r="J104" s="42" t="s">
        <v>28</v>
      </c>
      <c r="K104" s="22"/>
      <c r="L104" s="22"/>
      <c r="M104" s="22"/>
      <c r="N104" s="22"/>
      <c r="P104" s="4"/>
      <c r="Q104" s="4"/>
      <c r="R104" s="4"/>
      <c r="S104" s="4"/>
    </row>
    <row r="105" customFormat="false" ht="17.35" hidden="false" customHeight="false" outlineLevel="0" collapsed="false">
      <c r="B105" s="13" t="n">
        <v>1</v>
      </c>
      <c r="C105" s="13" t="n">
        <v>5017</v>
      </c>
      <c r="D105" s="13" t="s">
        <v>29</v>
      </c>
      <c r="E105" s="15" t="n">
        <f aca="false">+H101*2+J101*2</f>
        <v>171600</v>
      </c>
      <c r="F105" s="15" t="n">
        <f aca="false">E105+(E105*10%)</f>
        <v>188760</v>
      </c>
      <c r="G105" s="43" t="n">
        <f aca="false">F105/6400</f>
        <v>29.49375</v>
      </c>
      <c r="H105" s="43" t="n">
        <f aca="false">ROUNDUP(G105,0)</f>
        <v>30</v>
      </c>
      <c r="I105" s="44" t="n">
        <v>7.4</v>
      </c>
      <c r="J105" s="44" t="n">
        <f aca="false">+I105*H105</f>
        <v>222</v>
      </c>
      <c r="K105" s="22"/>
      <c r="L105" s="22"/>
      <c r="M105" s="22"/>
      <c r="N105" s="22"/>
    </row>
    <row r="106" customFormat="false" ht="17.35" hidden="false" customHeight="false" outlineLevel="0" collapsed="false">
      <c r="B106" s="13" t="n">
        <v>2</v>
      </c>
      <c r="C106" s="13" t="n">
        <v>5019</v>
      </c>
      <c r="D106" s="13" t="s">
        <v>30</v>
      </c>
      <c r="E106" s="15" t="n">
        <f aca="false">+H101*3+J101*6</f>
        <v>355500</v>
      </c>
      <c r="F106" s="15" t="n">
        <f aca="false">E106+(E106*10%)</f>
        <v>391050</v>
      </c>
      <c r="G106" s="43" t="n">
        <f aca="false">F106/6400</f>
        <v>61.1015625</v>
      </c>
      <c r="H106" s="43" t="n">
        <f aca="false">ROUNDUP(G106,0)</f>
        <v>62</v>
      </c>
      <c r="I106" s="44" t="n">
        <v>4.5</v>
      </c>
      <c r="J106" s="44" t="n">
        <f aca="false">+I106*H106</f>
        <v>279</v>
      </c>
      <c r="K106" s="22"/>
      <c r="L106" s="22"/>
      <c r="M106" s="22"/>
      <c r="N106" s="22"/>
      <c r="Q106" s="45"/>
    </row>
    <row r="107" customFormat="false" ht="17.35" hidden="false" customHeight="false" outlineLevel="0" collapsed="false">
      <c r="B107" s="13" t="n">
        <v>3</v>
      </c>
      <c r="C107" s="13" t="n">
        <v>5023</v>
      </c>
      <c r="D107" s="13" t="s">
        <v>31</v>
      </c>
      <c r="E107" s="15" t="n">
        <f aca="false">+J101*3</f>
        <v>98100</v>
      </c>
      <c r="F107" s="15" t="n">
        <f aca="false">E107+(E107*10%)</f>
        <v>107910</v>
      </c>
      <c r="G107" s="43" t="n">
        <f aca="false">F107/6400</f>
        <v>16.8609375</v>
      </c>
      <c r="H107" s="43" t="n">
        <f aca="false">ROUNDUP(G107,0)</f>
        <v>17</v>
      </c>
      <c r="I107" s="44" t="n">
        <v>2.3</v>
      </c>
      <c r="J107" s="44" t="n">
        <f aca="false">+I107*H107</f>
        <v>39.1</v>
      </c>
      <c r="K107" s="23"/>
      <c r="L107" s="23"/>
      <c r="M107" s="23"/>
      <c r="N107" s="23"/>
    </row>
    <row r="108" customFormat="false" ht="17.35" hidden="false" customHeight="false" outlineLevel="0" collapsed="false">
      <c r="B108" s="13" t="n">
        <v>4</v>
      </c>
      <c r="C108" s="13" t="n">
        <v>5025</v>
      </c>
      <c r="D108" s="13" t="s">
        <v>32</v>
      </c>
      <c r="E108" s="15" t="n">
        <f aca="false">+H101*1+J101*2</f>
        <v>118500</v>
      </c>
      <c r="F108" s="15" t="n">
        <f aca="false">E108+(E108*10%)</f>
        <v>130350</v>
      </c>
      <c r="G108" s="43" t="n">
        <f aca="false">F108/6400</f>
        <v>20.3671875</v>
      </c>
      <c r="H108" s="43" t="n">
        <f aca="false">ROUNDUP(G108,0)</f>
        <v>21</v>
      </c>
      <c r="I108" s="44" t="n">
        <v>1</v>
      </c>
      <c r="J108" s="44" t="n">
        <f aca="false">+I108*H108</f>
        <v>21</v>
      </c>
      <c r="K108" s="23"/>
      <c r="L108" s="23"/>
      <c r="M108" s="23"/>
      <c r="N108" s="23"/>
    </row>
    <row r="109" customFormat="false" ht="29.85" hidden="false" customHeight="false" outlineLevel="0" collapsed="false">
      <c r="B109" s="13" t="n">
        <v>5</v>
      </c>
      <c r="C109" s="46" t="n">
        <v>5013</v>
      </c>
      <c r="D109" s="47" t="s">
        <v>33</v>
      </c>
      <c r="E109" s="48" t="n">
        <f aca="false">23*((G101*3)*4)</f>
        <v>4140</v>
      </c>
      <c r="F109" s="48" t="n">
        <f aca="false">E109+(E109*10%)</f>
        <v>4554</v>
      </c>
      <c r="G109" s="49" t="n">
        <f aca="false">F109/6400</f>
        <v>0.7115625</v>
      </c>
      <c r="H109" s="49" t="n">
        <f aca="false">ROUNDUP(G109,0)</f>
        <v>1</v>
      </c>
      <c r="I109" s="50" t="n">
        <v>5.2</v>
      </c>
      <c r="J109" s="50" t="n">
        <f aca="false">+I109*H109</f>
        <v>5.2</v>
      </c>
      <c r="K109" s="23"/>
      <c r="L109" s="23"/>
      <c r="M109" s="23"/>
      <c r="N109" s="23"/>
    </row>
    <row r="110" customFormat="false" ht="17.35" hidden="false" customHeight="false" outlineLevel="0" collapsed="false">
      <c r="B110" s="13" t="n">
        <v>6</v>
      </c>
      <c r="C110" s="13" t="n">
        <v>1338</v>
      </c>
      <c r="D110" s="13" t="s">
        <v>34</v>
      </c>
      <c r="E110" s="15" t="n">
        <f aca="false">48*(G101*8)</f>
        <v>5760</v>
      </c>
      <c r="F110" s="15" t="n">
        <f aca="false">E110+(E110*10%)</f>
        <v>6336</v>
      </c>
      <c r="G110" s="43" t="n">
        <f aca="false">F110/6400</f>
        <v>0.99</v>
      </c>
      <c r="H110" s="43" t="n">
        <f aca="false">ROUNDUP(G110,0)</f>
        <v>1</v>
      </c>
      <c r="I110" s="44" t="n">
        <v>3.3</v>
      </c>
      <c r="J110" s="44" t="n">
        <f aca="false">+I110*H110</f>
        <v>3.3</v>
      </c>
    </row>
    <row r="111" customFormat="false" ht="17.35" hidden="false" customHeight="false" outlineLevel="0" collapsed="false">
      <c r="H111" s="23"/>
      <c r="I111" s="51" t="s">
        <v>19</v>
      </c>
      <c r="J111" s="52" t="n">
        <f aca="false">SUM(J105:J110)</f>
        <v>569.6</v>
      </c>
      <c r="K111" s="22"/>
      <c r="M111" s="25"/>
      <c r="N111" s="25"/>
    </row>
    <row r="112" customFormat="false" ht="17.35" hidden="false" customHeight="false" outlineLevel="0" collapsed="false">
      <c r="B112" s="9" t="s">
        <v>35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6"/>
    </row>
    <row r="113" customFormat="false" ht="17.35" hidden="false" customHeight="false" outlineLevel="0" collapsed="false">
      <c r="B113" s="9" t="s">
        <v>5</v>
      </c>
      <c r="C113" s="42" t="s">
        <v>21</v>
      </c>
      <c r="D113" s="42" t="s">
        <v>22</v>
      </c>
      <c r="E113" s="42" t="s">
        <v>23</v>
      </c>
      <c r="F113" s="42" t="s">
        <v>36</v>
      </c>
      <c r="G113" s="42" t="s">
        <v>25</v>
      </c>
      <c r="H113" s="42" t="s">
        <v>26</v>
      </c>
      <c r="I113" s="42" t="s">
        <v>37</v>
      </c>
      <c r="J113" s="42" t="s">
        <v>28</v>
      </c>
      <c r="K113" s="9" t="s">
        <v>38</v>
      </c>
      <c r="L113" s="9"/>
      <c r="M113" s="9"/>
      <c r="N113" s="6"/>
    </row>
    <row r="114" customFormat="false" ht="17.35" hidden="false" customHeight="false" outlineLevel="0" collapsed="false">
      <c r="B114" s="13" t="n">
        <v>1</v>
      </c>
      <c r="C114" s="13" t="n">
        <v>5029</v>
      </c>
      <c r="D114" s="13" t="s">
        <v>39</v>
      </c>
      <c r="E114" s="15" t="n">
        <f aca="false">+H101*2+300*2*G101</f>
        <v>115200</v>
      </c>
      <c r="F114" s="15" t="n">
        <f aca="false">E114+(E114*10%)</f>
        <v>126720</v>
      </c>
      <c r="G114" s="43" t="n">
        <f aca="false">F114/6400</f>
        <v>19.8</v>
      </c>
      <c r="H114" s="43" t="n">
        <f aca="false">ROUNDUP(G114,0)</f>
        <v>20</v>
      </c>
      <c r="I114" s="44" t="n">
        <v>7.8</v>
      </c>
      <c r="J114" s="44" t="n">
        <f aca="false">+H114*I114</f>
        <v>156</v>
      </c>
      <c r="K114" s="13" t="s">
        <v>40</v>
      </c>
      <c r="L114" s="13"/>
      <c r="M114" s="13"/>
      <c r="N114" s="4"/>
    </row>
    <row r="115" customFormat="false" ht="17.35" hidden="false" customHeight="false" outlineLevel="0" collapsed="false">
      <c r="B115" s="13" t="n">
        <v>2</v>
      </c>
      <c r="C115" s="13" t="n">
        <v>5031</v>
      </c>
      <c r="D115" s="13" t="s">
        <v>41</v>
      </c>
      <c r="E115" s="15" t="n">
        <f aca="false">300*G101</f>
        <v>4500</v>
      </c>
      <c r="F115" s="15" t="n">
        <f aca="false">E115+(E115*10%)</f>
        <v>4950</v>
      </c>
      <c r="G115" s="43" t="n">
        <f aca="false">F115/6400</f>
        <v>0.7734375</v>
      </c>
      <c r="H115" s="43" t="n">
        <f aca="false">ROUNDUP(G115,0)</f>
        <v>1</v>
      </c>
      <c r="I115" s="44" t="n">
        <v>7.9</v>
      </c>
      <c r="J115" s="44" t="n">
        <f aca="false">+H115*I115</f>
        <v>7.9</v>
      </c>
      <c r="K115" s="13" t="s">
        <v>42</v>
      </c>
      <c r="L115" s="13"/>
      <c r="M115" s="13"/>
      <c r="N115" s="4"/>
    </row>
    <row r="116" customFormat="false" ht="17.35" hidden="false" customHeight="false" outlineLevel="0" collapsed="false">
      <c r="B116" s="13" t="n">
        <v>3</v>
      </c>
      <c r="C116" s="13" t="n">
        <v>1544</v>
      </c>
      <c r="D116" s="13" t="s">
        <v>43</v>
      </c>
      <c r="E116" s="15" t="n">
        <f aca="false">300*4*G101</f>
        <v>18000</v>
      </c>
      <c r="F116" s="15" t="n">
        <f aca="false">E116+(E116*10%)</f>
        <v>19800</v>
      </c>
      <c r="G116" s="43" t="n">
        <f aca="false">F116/6400</f>
        <v>3.09375</v>
      </c>
      <c r="H116" s="43" t="n">
        <f aca="false">ROUNDUP(G116,0)</f>
        <v>4</v>
      </c>
      <c r="I116" s="44" t="n">
        <v>1.6</v>
      </c>
      <c r="J116" s="44" t="n">
        <f aca="false">+H116*I116</f>
        <v>6.4</v>
      </c>
      <c r="K116" s="13" t="s">
        <v>44</v>
      </c>
      <c r="L116" s="13"/>
      <c r="M116" s="13"/>
      <c r="N116" s="4"/>
    </row>
    <row r="117" customFormat="false" ht="17.35" hidden="false" customHeight="false" outlineLevel="0" collapsed="false">
      <c r="B117" s="13" t="n">
        <v>4</v>
      </c>
      <c r="C117" s="13" t="n">
        <v>6515</v>
      </c>
      <c r="D117" s="13" t="s">
        <v>45</v>
      </c>
      <c r="E117" s="15" t="n">
        <f aca="false">+H101*5</f>
        <v>265500</v>
      </c>
      <c r="F117" s="15" t="n">
        <f aca="false">E117+(E117*10%)</f>
        <v>292050</v>
      </c>
      <c r="G117" s="43" t="n">
        <f aca="false">F117/6400</f>
        <v>45.6328125</v>
      </c>
      <c r="H117" s="43" t="n">
        <f aca="false">ROUNDUP(G117,0)</f>
        <v>46</v>
      </c>
      <c r="I117" s="44" t="n">
        <v>1.9</v>
      </c>
      <c r="J117" s="44" t="n">
        <f aca="false">+H117*I117</f>
        <v>87.4</v>
      </c>
      <c r="K117" s="13" t="s">
        <v>46</v>
      </c>
      <c r="L117" s="13"/>
      <c r="M117" s="13"/>
      <c r="N117" s="4"/>
    </row>
    <row r="118" customFormat="false" ht="17.35" hidden="false" customHeight="false" outlineLevel="0" collapsed="false">
      <c r="B118" s="13" t="n">
        <v>5</v>
      </c>
      <c r="C118" s="13" t="n">
        <v>3035</v>
      </c>
      <c r="D118" s="13" t="s">
        <v>47</v>
      </c>
      <c r="E118" s="15" t="n">
        <f aca="false">+H101*2+300*4*G101</f>
        <v>124200</v>
      </c>
      <c r="F118" s="15" t="n">
        <f aca="false">E118+(E118*10%)</f>
        <v>136620</v>
      </c>
      <c r="G118" s="43" t="n">
        <f aca="false">F118/6400</f>
        <v>21.346875</v>
      </c>
      <c r="H118" s="43" t="n">
        <f aca="false">ROUNDUP(G118,0)</f>
        <v>22</v>
      </c>
      <c r="I118" s="44" t="n">
        <v>1.35</v>
      </c>
      <c r="J118" s="44" t="n">
        <f aca="false">+H118*I118</f>
        <v>29.7</v>
      </c>
      <c r="K118" s="13" t="s">
        <v>48</v>
      </c>
      <c r="L118" s="13"/>
      <c r="M118" s="13"/>
      <c r="N118" s="4"/>
    </row>
    <row r="119" customFormat="false" ht="17.35" hidden="false" customHeight="false" outlineLevel="0" collapsed="false">
      <c r="B119" s="53"/>
      <c r="C119" s="34" t="s">
        <v>19</v>
      </c>
      <c r="D119" s="32" t="n">
        <f aca="false">SUM(E114:E118)</f>
        <v>527400</v>
      </c>
      <c r="E119" s="32" t="n">
        <f aca="false">SUM(F114:F118)</f>
        <v>580140</v>
      </c>
      <c r="F119" s="54" t="n">
        <f aca="false">E119/6400</f>
        <v>90.646875</v>
      </c>
      <c r="G119" s="55" t="n">
        <f aca="false">SUM(G105:G118)</f>
        <v>220.171875</v>
      </c>
      <c r="H119" s="56" t="n">
        <f aca="false">SUM(H105:H110,H114:H118)</f>
        <v>225</v>
      </c>
      <c r="I119" s="56" t="n">
        <f aca="false">SUM(I105:I110,I114:I118)</f>
        <v>44.25</v>
      </c>
      <c r="J119" s="35" t="n">
        <f aca="false">SUM(J114:J118)</f>
        <v>287.4</v>
      </c>
      <c r="K119" s="53"/>
      <c r="L119" s="53"/>
      <c r="M119" s="53"/>
      <c r="N119" s="4"/>
    </row>
    <row r="120" customFormat="false" ht="17.35" hidden="false" customHeight="false" outlineLevel="0" collapsed="false">
      <c r="H120" s="11"/>
      <c r="I120" s="57" t="s">
        <v>49</v>
      </c>
      <c r="J120" s="35" t="n">
        <f aca="false">+J111+J119</f>
        <v>857</v>
      </c>
    </row>
    <row r="122" customFormat="false" ht="17.35" hidden="false" customHeight="false" outlineLevel="0" collapsed="false">
      <c r="B122" s="42" t="s">
        <v>50</v>
      </c>
      <c r="C122" s="42"/>
      <c r="D122" s="42"/>
      <c r="E122" s="42"/>
      <c r="F122" s="42"/>
      <c r="G122" s="42"/>
      <c r="H122" s="42"/>
    </row>
    <row r="123" customFormat="false" ht="17.35" hidden="false" customHeight="false" outlineLevel="0" collapsed="false">
      <c r="B123" s="9" t="s">
        <v>5</v>
      </c>
      <c r="C123" s="9" t="s">
        <v>22</v>
      </c>
      <c r="D123" s="9" t="s">
        <v>51</v>
      </c>
      <c r="E123" s="9" t="s">
        <v>52</v>
      </c>
      <c r="F123" s="9" t="s">
        <v>53</v>
      </c>
      <c r="G123" s="9" t="s">
        <v>54</v>
      </c>
      <c r="H123" s="9" t="s">
        <v>55</v>
      </c>
    </row>
    <row r="124" customFormat="false" ht="17.35" hidden="false" customHeight="false" outlineLevel="0" collapsed="false">
      <c r="B124" s="13" t="n">
        <v>1</v>
      </c>
      <c r="C124" s="13" t="s">
        <v>56</v>
      </c>
      <c r="D124" s="58" t="s">
        <v>57</v>
      </c>
      <c r="E124" s="13" t="n">
        <v>4</v>
      </c>
      <c r="F124" s="13" t="n">
        <f aca="false">+E124*$G$101</f>
        <v>60</v>
      </c>
      <c r="G124" s="15" t="n">
        <v>4000</v>
      </c>
      <c r="H124" s="15" t="n">
        <f aca="false">+F124*G124</f>
        <v>240000</v>
      </c>
    </row>
    <row r="125" customFormat="false" ht="17.35" hidden="false" customHeight="false" outlineLevel="0" collapsed="false">
      <c r="B125" s="13" t="n">
        <v>2</v>
      </c>
      <c r="C125" s="13" t="s">
        <v>58</v>
      </c>
      <c r="D125" s="58" t="s">
        <v>57</v>
      </c>
      <c r="E125" s="13" t="n">
        <v>1</v>
      </c>
      <c r="F125" s="13" t="n">
        <f aca="false">+E125*$G$101</f>
        <v>15</v>
      </c>
      <c r="G125" s="15" t="n">
        <v>10000</v>
      </c>
      <c r="H125" s="15" t="n">
        <f aca="false">+F125*G125</f>
        <v>150000</v>
      </c>
    </row>
    <row r="126" customFormat="false" ht="17.35" hidden="false" customHeight="false" outlineLevel="0" collapsed="false">
      <c r="B126" s="13" t="n">
        <v>3</v>
      </c>
      <c r="C126" s="13" t="s">
        <v>59</v>
      </c>
      <c r="D126" s="58" t="s">
        <v>57</v>
      </c>
      <c r="E126" s="13" t="n">
        <v>12</v>
      </c>
      <c r="F126" s="13" t="n">
        <f aca="false">+E126*$G$101</f>
        <v>180</v>
      </c>
      <c r="G126" s="15" t="n">
        <v>3500</v>
      </c>
      <c r="H126" s="15" t="n">
        <f aca="false">+F126*G126</f>
        <v>630000</v>
      </c>
    </row>
    <row r="127" customFormat="false" ht="17.35" hidden="false" customHeight="false" outlineLevel="0" collapsed="false">
      <c r="B127" s="13" t="n">
        <v>4</v>
      </c>
      <c r="C127" s="13" t="s">
        <v>60</v>
      </c>
      <c r="D127" s="58" t="s">
        <v>57</v>
      </c>
      <c r="E127" s="13" t="n">
        <v>24</v>
      </c>
      <c r="F127" s="13" t="n">
        <f aca="false">+E127*$G$101</f>
        <v>360</v>
      </c>
      <c r="G127" s="15" t="n">
        <v>400</v>
      </c>
      <c r="H127" s="15" t="n">
        <f aca="false">+F127*G127</f>
        <v>144000</v>
      </c>
    </row>
    <row r="128" customFormat="false" ht="17.35" hidden="false" customHeight="false" outlineLevel="0" collapsed="false">
      <c r="B128" s="13" t="n">
        <v>5</v>
      </c>
      <c r="C128" s="13" t="s">
        <v>61</v>
      </c>
      <c r="D128" s="58" t="s">
        <v>62</v>
      </c>
      <c r="E128" s="13" t="s">
        <v>63</v>
      </c>
      <c r="F128" s="16" t="n">
        <f aca="false">+(H101*3+J101*8)/1000</f>
        <v>420.9</v>
      </c>
      <c r="G128" s="15" t="n">
        <v>335</v>
      </c>
      <c r="H128" s="15" t="n">
        <f aca="false">+F128*G128</f>
        <v>141001.5</v>
      </c>
    </row>
    <row r="129" customFormat="false" ht="44" hidden="false" customHeight="false" outlineLevel="0" collapsed="false">
      <c r="B129" s="46" t="n">
        <v>6</v>
      </c>
      <c r="C129" s="58" t="s">
        <v>64</v>
      </c>
      <c r="D129" s="58" t="s">
        <v>62</v>
      </c>
      <c r="E129" s="59" t="s">
        <v>65</v>
      </c>
      <c r="F129" s="60" t="n">
        <f aca="false">+(H101*6+I101*16)/1000</f>
        <v>913.8</v>
      </c>
      <c r="G129" s="61" t="n">
        <v>1000</v>
      </c>
      <c r="H129" s="48" t="n">
        <f aca="false">+F129*G129</f>
        <v>913800</v>
      </c>
    </row>
    <row r="130" customFormat="false" ht="17.35" hidden="false" customHeight="false" outlineLevel="0" collapsed="false">
      <c r="B130" s="13" t="n">
        <v>7</v>
      </c>
      <c r="C130" s="13" t="s">
        <v>66</v>
      </c>
      <c r="D130" s="58" t="s">
        <v>57</v>
      </c>
      <c r="E130" s="13" t="n">
        <v>12</v>
      </c>
      <c r="F130" s="13" t="n">
        <f aca="false">+E130*$G$101</f>
        <v>180</v>
      </c>
      <c r="G130" s="15" t="n">
        <v>50</v>
      </c>
      <c r="H130" s="15" t="n">
        <f aca="false">+F130*G130</f>
        <v>9000</v>
      </c>
    </row>
    <row r="131" customFormat="false" ht="17.35" hidden="false" customHeight="false" outlineLevel="0" collapsed="false">
      <c r="B131" s="13" t="n">
        <v>8</v>
      </c>
      <c r="C131" s="13" t="s">
        <v>67</v>
      </c>
      <c r="D131" s="58" t="s">
        <v>57</v>
      </c>
      <c r="E131" s="13" t="n">
        <v>12</v>
      </c>
      <c r="F131" s="13" t="n">
        <f aca="false">+E131*$G$101</f>
        <v>180</v>
      </c>
      <c r="G131" s="15" t="n">
        <v>40</v>
      </c>
      <c r="H131" s="15" t="n">
        <f aca="false">+F131*G131</f>
        <v>7200</v>
      </c>
    </row>
    <row r="132" customFormat="false" ht="29.85" hidden="false" customHeight="false" outlineLevel="0" collapsed="false">
      <c r="B132" s="46" t="n">
        <v>9</v>
      </c>
      <c r="C132" s="46" t="s">
        <v>68</v>
      </c>
      <c r="D132" s="58" t="s">
        <v>57</v>
      </c>
      <c r="E132" s="47" t="s">
        <v>69</v>
      </c>
      <c r="F132" s="46" t="n">
        <f aca="false">+N101/1.5</f>
        <v>86.88</v>
      </c>
      <c r="G132" s="48" t="n">
        <v>16000</v>
      </c>
      <c r="H132" s="48" t="n">
        <f aca="false">+F132*G132</f>
        <v>1390080</v>
      </c>
    </row>
    <row r="133" customFormat="false" ht="29.85" hidden="false" customHeight="false" outlineLevel="0" collapsed="false">
      <c r="B133" s="46" t="n">
        <v>10</v>
      </c>
      <c r="C133" s="46" t="s">
        <v>70</v>
      </c>
      <c r="D133" s="58" t="s">
        <v>14</v>
      </c>
      <c r="E133" s="47" t="s">
        <v>71</v>
      </c>
      <c r="F133" s="62" t="n">
        <f aca="false">M101</f>
        <v>114.39</v>
      </c>
      <c r="G133" s="48" t="n">
        <v>48000</v>
      </c>
      <c r="H133" s="48" t="n">
        <f aca="false">+F133*G133</f>
        <v>5490720</v>
      </c>
    </row>
    <row r="134" customFormat="false" ht="17.35" hidden="false" customHeight="false" outlineLevel="0" collapsed="false">
      <c r="B134" s="13" t="n">
        <v>11</v>
      </c>
      <c r="C134" s="13" t="s">
        <v>47</v>
      </c>
      <c r="D134" s="58" t="s">
        <v>14</v>
      </c>
      <c r="E134" s="58" t="s">
        <v>72</v>
      </c>
      <c r="F134" s="13" t="n">
        <f aca="false">+N101*70%</f>
        <v>91.224</v>
      </c>
      <c r="G134" s="63" t="n">
        <v>3060</v>
      </c>
      <c r="H134" s="15" t="n">
        <f aca="false">+F134*G134</f>
        <v>279145.44</v>
      </c>
    </row>
    <row r="135" customFormat="false" ht="19.7" hidden="false" customHeight="false" outlineLevel="0" collapsed="false">
      <c r="G135" s="64" t="s">
        <v>19</v>
      </c>
      <c r="H135" s="65" t="n">
        <f aca="false">SUM(H124:H134)</f>
        <v>9394946.94</v>
      </c>
    </row>
    <row r="137" customFormat="false" ht="17.35" hidden="false" customHeight="false" outlineLevel="0" collapsed="false">
      <c r="B137" s="42" t="s">
        <v>73</v>
      </c>
      <c r="C137" s="42"/>
      <c r="D137" s="42"/>
      <c r="E137" s="42"/>
      <c r="F137" s="42"/>
      <c r="G137" s="42"/>
      <c r="H137" s="42"/>
    </row>
    <row r="138" customFormat="false" ht="17.35" hidden="false" customHeight="false" outlineLevel="0" collapsed="false">
      <c r="B138" s="9" t="s">
        <v>5</v>
      </c>
      <c r="C138" s="9" t="s">
        <v>22</v>
      </c>
      <c r="D138" s="9" t="s">
        <v>51</v>
      </c>
      <c r="E138" s="9" t="s">
        <v>74</v>
      </c>
      <c r="F138" s="9" t="s">
        <v>75</v>
      </c>
      <c r="G138" s="9" t="s">
        <v>54</v>
      </c>
      <c r="H138" s="9" t="s">
        <v>55</v>
      </c>
    </row>
    <row r="139" customFormat="false" ht="17.35" hidden="false" customHeight="false" outlineLevel="0" collapsed="false">
      <c r="B139" s="46" t="n">
        <v>1</v>
      </c>
      <c r="C139" s="46" t="s">
        <v>76</v>
      </c>
      <c r="D139" s="58" t="s">
        <v>57</v>
      </c>
      <c r="E139" s="46" t="n">
        <v>6</v>
      </c>
      <c r="F139" s="46" t="n">
        <f aca="false">+E139*$G$101</f>
        <v>90</v>
      </c>
      <c r="G139" s="48" t="n">
        <v>4000</v>
      </c>
      <c r="H139" s="48" t="n">
        <f aca="false">+F139*G139</f>
        <v>360000</v>
      </c>
    </row>
    <row r="140" customFormat="false" ht="17.35" hidden="false" customHeight="false" outlineLevel="0" collapsed="false">
      <c r="B140" s="46" t="n">
        <v>2</v>
      </c>
      <c r="C140" s="46" t="s">
        <v>77</v>
      </c>
      <c r="D140" s="58" t="s">
        <v>57</v>
      </c>
      <c r="E140" s="46" t="n">
        <v>2</v>
      </c>
      <c r="F140" s="46" t="n">
        <f aca="false">+E140*$G$101</f>
        <v>30</v>
      </c>
      <c r="G140" s="48" t="n">
        <v>10000</v>
      </c>
      <c r="H140" s="48" t="n">
        <f aca="false">+F140*G140</f>
        <v>300000</v>
      </c>
    </row>
    <row r="141" customFormat="false" ht="17.35" hidden="false" customHeight="false" outlineLevel="0" collapsed="false">
      <c r="B141" s="46" t="n">
        <v>4</v>
      </c>
      <c r="C141" s="46" t="s">
        <v>78</v>
      </c>
      <c r="D141" s="58" t="s">
        <v>57</v>
      </c>
      <c r="E141" s="46" t="n">
        <v>12</v>
      </c>
      <c r="F141" s="46" t="n">
        <f aca="false">+E141*$G$101</f>
        <v>180</v>
      </c>
      <c r="G141" s="48" t="n">
        <v>3500</v>
      </c>
      <c r="H141" s="48" t="n">
        <f aca="false">+F141*G141</f>
        <v>630000</v>
      </c>
    </row>
    <row r="142" customFormat="false" ht="62" hidden="false" customHeight="true" outlineLevel="0" collapsed="false">
      <c r="B142" s="46" t="n">
        <v>5</v>
      </c>
      <c r="C142" s="46" t="s">
        <v>79</v>
      </c>
      <c r="D142" s="58" t="s">
        <v>57</v>
      </c>
      <c r="E142" s="46" t="n">
        <v>24</v>
      </c>
      <c r="F142" s="46" t="n">
        <f aca="false">+E142*$G$101</f>
        <v>360</v>
      </c>
      <c r="G142" s="48" t="n">
        <v>400</v>
      </c>
      <c r="H142" s="48" t="n">
        <f aca="false">+F142*G142</f>
        <v>144000</v>
      </c>
    </row>
    <row r="143" customFormat="false" ht="17.35" hidden="false" customHeight="false" outlineLevel="0" collapsed="false">
      <c r="B143" s="46" t="n">
        <v>6</v>
      </c>
      <c r="C143" s="46" t="s">
        <v>80</v>
      </c>
      <c r="D143" s="58" t="s">
        <v>62</v>
      </c>
      <c r="E143" s="58" t="s">
        <v>63</v>
      </c>
      <c r="F143" s="60" t="n">
        <f aca="false">+(H101*3+J101*8)/1000</f>
        <v>420.9</v>
      </c>
      <c r="G143" s="48" t="n">
        <v>335</v>
      </c>
      <c r="H143" s="48" t="n">
        <f aca="false">+F143*G143</f>
        <v>141001.5</v>
      </c>
    </row>
    <row r="144" customFormat="false" ht="29.85" hidden="false" customHeight="false" outlineLevel="0" collapsed="false">
      <c r="B144" s="66" t="n">
        <v>7</v>
      </c>
      <c r="C144" s="58" t="s">
        <v>81</v>
      </c>
      <c r="D144" s="58" t="s">
        <v>62</v>
      </c>
      <c r="E144" s="59" t="s">
        <v>82</v>
      </c>
      <c r="F144" s="60" t="n">
        <f aca="false">+(H101*6+I101*16)/1000</f>
        <v>913.8</v>
      </c>
      <c r="G144" s="61" t="n">
        <v>1000</v>
      </c>
      <c r="H144" s="48" t="n">
        <f aca="false">+F144*G144</f>
        <v>913800</v>
      </c>
    </row>
    <row r="145" customFormat="false" ht="17.35" hidden="false" customHeight="false" outlineLevel="0" collapsed="false">
      <c r="B145" s="46" t="n">
        <v>8</v>
      </c>
      <c r="C145" s="46" t="s">
        <v>83</v>
      </c>
      <c r="D145" s="58" t="s">
        <v>57</v>
      </c>
      <c r="E145" s="46" t="n">
        <v>12</v>
      </c>
      <c r="F145" s="46" t="n">
        <f aca="false">+E145*$G$101</f>
        <v>180</v>
      </c>
      <c r="G145" s="48" t="n">
        <v>50</v>
      </c>
      <c r="H145" s="48" t="n">
        <f aca="false">+F145*G145</f>
        <v>9000</v>
      </c>
      <c r="J145" s="67"/>
      <c r="K145" s="67"/>
      <c r="L145" s="68"/>
    </row>
    <row r="146" customFormat="false" ht="17.35" hidden="false" customHeight="false" outlineLevel="0" collapsed="false">
      <c r="B146" s="46" t="n">
        <v>9</v>
      </c>
      <c r="C146" s="46" t="s">
        <v>84</v>
      </c>
      <c r="D146" s="58" t="s">
        <v>57</v>
      </c>
      <c r="E146" s="46" t="n">
        <v>12</v>
      </c>
      <c r="F146" s="46" t="n">
        <f aca="false">+E146*$G$101</f>
        <v>180</v>
      </c>
      <c r="G146" s="48" t="n">
        <v>40</v>
      </c>
      <c r="H146" s="48" t="n">
        <f aca="false">+F146*G146</f>
        <v>7200</v>
      </c>
      <c r="J146" s="67"/>
      <c r="K146" s="67"/>
      <c r="L146" s="68"/>
    </row>
    <row r="147" customFormat="false" ht="29.85" hidden="false" customHeight="false" outlineLevel="0" collapsed="false">
      <c r="B147" s="46" t="n">
        <v>10</v>
      </c>
      <c r="C147" s="46" t="s">
        <v>85</v>
      </c>
      <c r="D147" s="58" t="s">
        <v>57</v>
      </c>
      <c r="E147" s="47" t="s">
        <v>69</v>
      </c>
      <c r="F147" s="46" t="n">
        <f aca="false">+N101/1.5</f>
        <v>86.88</v>
      </c>
      <c r="G147" s="48" t="n">
        <v>16000</v>
      </c>
      <c r="H147" s="48" t="n">
        <f aca="false">+F147*G147</f>
        <v>1390080</v>
      </c>
      <c r="J147" s="67"/>
      <c r="K147" s="67"/>
      <c r="L147" s="68"/>
    </row>
    <row r="148" customFormat="false" ht="29.85" hidden="false" customHeight="false" outlineLevel="0" collapsed="false">
      <c r="B148" s="46" t="n">
        <v>11</v>
      </c>
      <c r="C148" s="46" t="s">
        <v>70</v>
      </c>
      <c r="D148" s="58" t="s">
        <v>14</v>
      </c>
      <c r="E148" s="47" t="s">
        <v>16</v>
      </c>
      <c r="F148" s="62" t="n">
        <f aca="false">M101</f>
        <v>114.39</v>
      </c>
      <c r="G148" s="48" t="n">
        <v>48000</v>
      </c>
      <c r="H148" s="48" t="n">
        <f aca="false">+F148*G148</f>
        <v>5490720</v>
      </c>
      <c r="J148" s="67"/>
      <c r="K148" s="67"/>
      <c r="L148" s="68"/>
    </row>
    <row r="149" customFormat="false" ht="17.35" hidden="false" customHeight="false" outlineLevel="0" collapsed="false">
      <c r="B149" s="46" t="n">
        <v>12</v>
      </c>
      <c r="C149" s="46" t="s">
        <v>86</v>
      </c>
      <c r="D149" s="58" t="s">
        <v>14</v>
      </c>
      <c r="E149" s="58" t="s">
        <v>72</v>
      </c>
      <c r="F149" s="46" t="n">
        <f aca="false">+N101*70%</f>
        <v>91.224</v>
      </c>
      <c r="G149" s="69" t="n">
        <v>3060</v>
      </c>
      <c r="H149" s="48" t="n">
        <f aca="false">+F149*G149</f>
        <v>279145.44</v>
      </c>
      <c r="J149" s="67"/>
      <c r="K149" s="67"/>
      <c r="L149" s="68"/>
    </row>
    <row r="150" customFormat="false" ht="29.85" hidden="false" customHeight="false" outlineLevel="0" collapsed="false">
      <c r="B150" s="46" t="n">
        <v>13</v>
      </c>
      <c r="C150" s="47" t="s">
        <v>87</v>
      </c>
      <c r="D150" s="58" t="s">
        <v>88</v>
      </c>
      <c r="E150" s="47" t="s">
        <v>89</v>
      </c>
      <c r="F150" s="62" t="n">
        <f aca="false">30*N101</f>
        <v>3909.6</v>
      </c>
      <c r="G150" s="70" t="n">
        <f aca="false">0.015*3700</f>
        <v>55.5</v>
      </c>
      <c r="H150" s="71" t="n">
        <v>0</v>
      </c>
      <c r="J150" s="67"/>
      <c r="K150" s="67"/>
      <c r="L150" s="68"/>
    </row>
    <row r="151" customFormat="false" ht="29.85" hidden="false" customHeight="false" outlineLevel="0" collapsed="false">
      <c r="B151" s="46" t="n">
        <v>14</v>
      </c>
      <c r="C151" s="47" t="s">
        <v>90</v>
      </c>
      <c r="D151" s="58" t="s">
        <v>62</v>
      </c>
      <c r="E151" s="47" t="s">
        <v>91</v>
      </c>
      <c r="F151" s="62" t="n">
        <f aca="false">+((H101*2)+(J101*2))/1000</f>
        <v>171.6</v>
      </c>
      <c r="G151" s="71" t="n">
        <f aca="false">0.33*3700</f>
        <v>1221</v>
      </c>
      <c r="H151" s="71" t="n">
        <v>0</v>
      </c>
      <c r="J151" s="67"/>
      <c r="K151" s="67"/>
      <c r="L151" s="68"/>
    </row>
    <row r="152" customFormat="false" ht="29.85" hidden="false" customHeight="false" outlineLevel="0" collapsed="false">
      <c r="B152" s="46" t="n">
        <v>15</v>
      </c>
      <c r="C152" s="47" t="s">
        <v>92</v>
      </c>
      <c r="D152" s="58" t="s">
        <v>57</v>
      </c>
      <c r="E152" s="58" t="n">
        <v>4</v>
      </c>
      <c r="F152" s="46" t="n">
        <f aca="false">+G101*E152</f>
        <v>60</v>
      </c>
      <c r="G152" s="69" t="n">
        <f aca="false">0.5*3700</f>
        <v>1850</v>
      </c>
      <c r="H152" s="48" t="n">
        <v>0</v>
      </c>
      <c r="J152" s="67"/>
      <c r="K152" s="67"/>
      <c r="L152" s="68"/>
    </row>
    <row r="153" customFormat="false" ht="19.7" hidden="false" customHeight="false" outlineLevel="0" collapsed="false">
      <c r="B153" s="72"/>
      <c r="C153" s="72"/>
      <c r="D153" s="72"/>
      <c r="E153" s="72"/>
      <c r="F153" s="72"/>
      <c r="G153" s="73" t="s">
        <v>19</v>
      </c>
      <c r="H153" s="74" t="n">
        <f aca="false">SUM(H139:H152)</f>
        <v>9664946.94</v>
      </c>
      <c r="J153" s="67"/>
      <c r="K153" s="67"/>
      <c r="L153" s="68"/>
    </row>
    <row r="154" customFormat="false" ht="17.35" hidden="false" customHeight="false" outlineLevel="0" collapsed="false">
      <c r="J154" s="67"/>
      <c r="K154" s="67"/>
      <c r="L154" s="68"/>
    </row>
    <row r="155" customFormat="false" ht="24.45" hidden="false" customHeight="false" outlineLevel="0" collapsed="false">
      <c r="B155" s="75" t="s">
        <v>93</v>
      </c>
      <c r="C155" s="75"/>
      <c r="D155" s="75"/>
      <c r="E155" s="76"/>
      <c r="F155" s="75" t="s">
        <v>94</v>
      </c>
      <c r="G155" s="75"/>
      <c r="H155" s="75"/>
      <c r="J155" s="67"/>
      <c r="K155" s="67"/>
      <c r="L155" s="68"/>
    </row>
    <row r="156" customFormat="false" ht="37.3" hidden="false" customHeight="false" outlineLevel="0" collapsed="false">
      <c r="B156" s="77" t="s">
        <v>95</v>
      </c>
      <c r="C156" s="77" t="s">
        <v>96</v>
      </c>
      <c r="D156" s="77" t="s">
        <v>97</v>
      </c>
      <c r="F156" s="77" t="s">
        <v>95</v>
      </c>
      <c r="G156" s="77" t="s">
        <v>96</v>
      </c>
      <c r="H156" s="77" t="s">
        <v>97</v>
      </c>
      <c r="J156" s="67"/>
      <c r="K156" s="67"/>
      <c r="L156" s="68"/>
    </row>
    <row r="157" customFormat="false" ht="22.05" hidden="false" customHeight="false" outlineLevel="0" collapsed="false">
      <c r="B157" s="78" t="n">
        <v>1</v>
      </c>
      <c r="C157" s="79" t="s">
        <v>98</v>
      </c>
      <c r="D157" s="80" t="n">
        <f aca="false">+J120*4</f>
        <v>3428</v>
      </c>
      <c r="F157" s="78" t="n">
        <v>1</v>
      </c>
      <c r="G157" s="79" t="s">
        <v>98</v>
      </c>
      <c r="H157" s="80" t="n">
        <f aca="false">+J120*4</f>
        <v>3428</v>
      </c>
      <c r="J157" s="67"/>
      <c r="K157" s="67"/>
      <c r="L157" s="68"/>
    </row>
    <row r="158" customFormat="false" ht="22.05" hidden="false" customHeight="false" outlineLevel="0" collapsed="false">
      <c r="B158" s="78" t="n">
        <v>2</v>
      </c>
      <c r="C158" s="79" t="s">
        <v>99</v>
      </c>
      <c r="D158" s="80" t="n">
        <f aca="false">+H135/3650</f>
        <v>2573.95806575342</v>
      </c>
      <c r="F158" s="78" t="n">
        <v>2</v>
      </c>
      <c r="G158" s="79" t="s">
        <v>99</v>
      </c>
      <c r="H158" s="80" t="n">
        <f aca="false">+H153/3650</f>
        <v>2647.93066849315</v>
      </c>
      <c r="J158" s="67"/>
      <c r="K158" s="67"/>
      <c r="L158" s="68"/>
    </row>
    <row r="159" customFormat="false" ht="22.05" hidden="false" customHeight="false" outlineLevel="0" collapsed="false">
      <c r="B159" s="78" t="n">
        <v>3</v>
      </c>
      <c r="C159" s="79" t="s">
        <v>100</v>
      </c>
      <c r="D159" s="80" t="n">
        <f aca="false">+N101*15</f>
        <v>1954.8</v>
      </c>
      <c r="F159" s="78" t="n">
        <v>3</v>
      </c>
      <c r="G159" s="79" t="s">
        <v>100</v>
      </c>
      <c r="H159" s="80" t="n">
        <f aca="false">+N101*15</f>
        <v>1954.8</v>
      </c>
      <c r="J159" s="67"/>
      <c r="K159" s="67"/>
      <c r="L159" s="68"/>
    </row>
    <row r="160" customFormat="false" ht="22.05" hidden="false" customHeight="false" outlineLevel="0" collapsed="false">
      <c r="B160" s="78" t="n">
        <v>4</v>
      </c>
      <c r="C160" s="79" t="s">
        <v>101</v>
      </c>
      <c r="D160" s="80" t="n">
        <v>0</v>
      </c>
      <c r="F160" s="78" t="n">
        <v>4</v>
      </c>
      <c r="G160" s="79" t="s">
        <v>101</v>
      </c>
      <c r="H160" s="80" t="n">
        <f aca="false">+N101*0</f>
        <v>0</v>
      </c>
      <c r="J160" s="67"/>
      <c r="K160" s="67"/>
      <c r="L160" s="68"/>
    </row>
    <row r="161" customFormat="false" ht="22.05" hidden="false" customHeight="false" outlineLevel="0" collapsed="false">
      <c r="C161" s="81" t="s">
        <v>19</v>
      </c>
      <c r="D161" s="80" t="n">
        <f aca="false">SUM(D157:D160)</f>
        <v>7956.75806575343</v>
      </c>
      <c r="G161" s="81" t="s">
        <v>19</v>
      </c>
      <c r="H161" s="80" t="n">
        <f aca="false">SUM(H157:H160)</f>
        <v>8030.73066849315</v>
      </c>
      <c r="J161" s="67"/>
      <c r="K161" s="67"/>
      <c r="L161" s="68"/>
    </row>
    <row r="162" customFormat="false" ht="22.05" hidden="false" customHeight="false" outlineLevel="0" collapsed="false">
      <c r="C162" s="81" t="s">
        <v>102</v>
      </c>
      <c r="D162" s="82" t="n">
        <f aca="false">+D161*30%</f>
        <v>2387.02741972603</v>
      </c>
      <c r="G162" s="81" t="s">
        <v>102</v>
      </c>
      <c r="H162" s="82" t="n">
        <f aca="false">+H161*30%</f>
        <v>2409.21920054795</v>
      </c>
      <c r="J162" s="67"/>
      <c r="K162" s="67"/>
      <c r="L162" s="68"/>
    </row>
    <row r="163" customFormat="false" ht="22.05" hidden="false" customHeight="false" outlineLevel="0" collapsed="false">
      <c r="C163" s="83" t="s">
        <v>103</v>
      </c>
      <c r="D163" s="84" t="n">
        <f aca="false">+D161+D162</f>
        <v>10343.7854854795</v>
      </c>
      <c r="G163" s="83" t="s">
        <v>103</v>
      </c>
      <c r="H163" s="84" t="n">
        <f aca="false">+H161+H162</f>
        <v>10439.9498690411</v>
      </c>
      <c r="J163" s="85"/>
      <c r="K163" s="85"/>
      <c r="L163" s="86"/>
      <c r="M163" s="30"/>
    </row>
    <row r="164" customFormat="false" ht="22.05" hidden="false" customHeight="false" outlineLevel="0" collapsed="false">
      <c r="C164" s="87" t="s">
        <v>104</v>
      </c>
      <c r="D164" s="88" t="n">
        <f aca="false">+D161/N101</f>
        <v>61.0555407132706</v>
      </c>
      <c r="G164" s="87" t="s">
        <v>104</v>
      </c>
      <c r="H164" s="88" t="n">
        <f aca="false">+H161/N101</f>
        <v>61.6231635090021</v>
      </c>
      <c r="J164" s="6"/>
      <c r="K164" s="6"/>
      <c r="L164" s="5"/>
    </row>
    <row r="165" customFormat="false" ht="37.3" hidden="false" customHeight="false" outlineLevel="0" collapsed="false">
      <c r="C165" s="89" t="s">
        <v>105</v>
      </c>
      <c r="D165" s="90" t="n">
        <f aca="false">+D163/N101</f>
        <v>79.3722029272518</v>
      </c>
      <c r="G165" s="89" t="s">
        <v>105</v>
      </c>
      <c r="H165" s="90" t="n">
        <f aca="false">+H163/N101</f>
        <v>80.1101125617027</v>
      </c>
      <c r="J165" s="12"/>
      <c r="K165" s="12"/>
      <c r="L165" s="12"/>
      <c r="M165" s="4"/>
    </row>
    <row r="166" customFormat="false" ht="17.35" hidden="false" customHeight="false" outlineLevel="0" collapsed="false">
      <c r="D166" s="3" t="n">
        <f aca="false">SUM(D157:D158)</f>
        <v>6001.95806575342</v>
      </c>
      <c r="J166" s="4"/>
      <c r="K166" s="4"/>
      <c r="L166" s="4"/>
      <c r="M166" s="4"/>
    </row>
    <row r="167" customFormat="false" ht="17.35" hidden="false" customHeight="false" outlineLevel="0" collapsed="false">
      <c r="J167" s="4"/>
      <c r="K167" s="4"/>
      <c r="L167" s="4"/>
      <c r="M167" s="4"/>
    </row>
    <row r="168" customFormat="false" ht="17.35" hidden="false" customHeight="false" outlineLevel="0" collapsed="false">
      <c r="I168" s="45"/>
      <c r="J168" s="4"/>
      <c r="K168" s="4"/>
      <c r="L168" s="4"/>
      <c r="M168" s="4"/>
    </row>
    <row r="169" customFormat="false" ht="17.35" hidden="false" customHeight="false" outlineLevel="0" collapsed="false">
      <c r="J169" s="4"/>
      <c r="K169" s="4"/>
      <c r="L169" s="4"/>
      <c r="M169" s="4"/>
    </row>
    <row r="170" customFormat="false" ht="17.35" hidden="false" customHeight="false" outlineLevel="0" collapsed="false">
      <c r="J170" s="4"/>
      <c r="K170" s="4"/>
      <c r="L170" s="4"/>
      <c r="M170" s="4"/>
    </row>
    <row r="171" customFormat="false" ht="17.35" hidden="false" customHeight="false" outlineLevel="0" collapsed="false">
      <c r="H171" s="67"/>
      <c r="J171" s="4"/>
      <c r="K171" s="4"/>
      <c r="L171" s="4"/>
      <c r="M171" s="4"/>
    </row>
    <row r="172" customFormat="false" ht="17.3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customFormat="false" ht="17.3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customFormat="false" ht="17.3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6"/>
      <c r="J174" s="4"/>
      <c r="K174" s="4"/>
      <c r="L174" s="4"/>
      <c r="M174" s="4"/>
    </row>
    <row r="175" customFormat="false" ht="17.3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6"/>
      <c r="J175" s="4"/>
      <c r="K175" s="4"/>
      <c r="L175" s="4"/>
      <c r="M175" s="4"/>
    </row>
    <row r="176" customFormat="false" ht="17.3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12"/>
      <c r="J176" s="4"/>
      <c r="K176" s="4"/>
      <c r="L176" s="4"/>
      <c r="M176" s="4"/>
    </row>
    <row r="177" customFormat="false" ht="17.35" hidden="false" customHeight="false" outlineLevel="0" collapsed="false">
      <c r="A177" s="4"/>
      <c r="B177" s="4"/>
      <c r="C177" s="6"/>
      <c r="D177" s="6"/>
      <c r="E177" s="6"/>
      <c r="F177" s="6"/>
      <c r="G177" s="4"/>
      <c r="H177" s="4"/>
      <c r="I177" s="4"/>
      <c r="J177" s="4"/>
      <c r="K177" s="4"/>
      <c r="L177" s="4"/>
      <c r="M177" s="4"/>
    </row>
    <row r="178" customFormat="false" ht="17.35" hidden="false" customHeight="false" outlineLevel="0" collapsed="false">
      <c r="A178" s="4"/>
      <c r="B178" s="4"/>
      <c r="C178" s="6"/>
      <c r="D178" s="6"/>
      <c r="E178" s="6"/>
      <c r="F178" s="6"/>
      <c r="G178" s="6"/>
      <c r="H178" s="6"/>
      <c r="I178" s="4"/>
      <c r="J178" s="4"/>
      <c r="K178" s="4"/>
      <c r="L178" s="4"/>
      <c r="M178" s="4"/>
    </row>
    <row r="179" customFormat="false" ht="17.35" hidden="false" customHeight="false" outlineLevel="0" collapsed="false">
      <c r="A179" s="4"/>
      <c r="B179" s="4"/>
      <c r="C179" s="12"/>
      <c r="D179" s="12"/>
      <c r="E179" s="12"/>
      <c r="F179" s="12"/>
      <c r="G179" s="6"/>
      <c r="H179" s="6"/>
      <c r="I179" s="4"/>
      <c r="J179" s="4"/>
      <c r="K179" s="4"/>
      <c r="L179" s="4"/>
      <c r="M179" s="4"/>
    </row>
    <row r="180" customFormat="false" ht="17.35" hidden="false" customHeight="false" outlineLevel="0" collapsed="false">
      <c r="A180" s="4"/>
      <c r="B180" s="4"/>
      <c r="C180" s="4"/>
      <c r="D180" s="18"/>
      <c r="E180" s="18"/>
      <c r="F180" s="4"/>
      <c r="G180" s="12"/>
      <c r="H180" s="12"/>
      <c r="I180" s="4"/>
      <c r="J180" s="4"/>
      <c r="K180" s="4"/>
      <c r="L180" s="4"/>
      <c r="M180" s="4"/>
    </row>
    <row r="181" customFormat="false" ht="17.35" hidden="false" customHeight="false" outlineLevel="0" collapsed="false">
      <c r="A181" s="4"/>
      <c r="B181" s="4"/>
      <c r="C181" s="4"/>
      <c r="D181" s="18"/>
      <c r="E181" s="18"/>
      <c r="F181" s="4"/>
      <c r="G181" s="4"/>
      <c r="H181" s="4"/>
      <c r="I181" s="4"/>
      <c r="J181" s="4"/>
      <c r="K181" s="4"/>
      <c r="L181" s="4"/>
      <c r="M181" s="4"/>
    </row>
    <row r="182" customFormat="false" ht="17.35" hidden="false" customHeight="false" outlineLevel="0" collapsed="false">
      <c r="A182" s="4"/>
      <c r="B182" s="4"/>
      <c r="C182" s="4"/>
      <c r="D182" s="18"/>
      <c r="E182" s="18"/>
      <c r="F182" s="4"/>
      <c r="G182" s="4"/>
      <c r="H182" s="4"/>
      <c r="I182" s="4"/>
      <c r="J182" s="4"/>
      <c r="K182" s="4"/>
      <c r="L182" s="4"/>
      <c r="M182" s="4"/>
    </row>
    <row r="183" customFormat="false" ht="17.35" hidden="false" customHeight="false" outlineLevel="0" collapsed="false">
      <c r="A183" s="4"/>
      <c r="B183" s="4"/>
      <c r="C183" s="4"/>
      <c r="D183" s="18"/>
      <c r="E183" s="18"/>
      <c r="F183" s="4"/>
      <c r="G183" s="4"/>
      <c r="H183" s="4"/>
      <c r="I183" s="4"/>
      <c r="J183" s="4"/>
      <c r="K183" s="4"/>
      <c r="L183" s="4"/>
      <c r="M183" s="4"/>
    </row>
    <row r="184" customFormat="false" ht="17.35" hidden="false" customHeight="false" outlineLevel="0" collapsed="false">
      <c r="A184" s="4"/>
      <c r="B184" s="4"/>
      <c r="C184" s="4"/>
      <c r="D184" s="18"/>
      <c r="E184" s="18"/>
      <c r="F184" s="4"/>
      <c r="G184" s="4"/>
      <c r="H184" s="4"/>
      <c r="I184" s="4"/>
      <c r="J184" s="4"/>
      <c r="K184" s="4"/>
      <c r="L184" s="4"/>
      <c r="M184" s="4"/>
    </row>
    <row r="185" customFormat="false" ht="17.35" hidden="false" customHeight="false" outlineLevel="0" collapsed="false">
      <c r="A185" s="4"/>
      <c r="B185" s="4"/>
      <c r="C185" s="4"/>
      <c r="D185" s="18"/>
      <c r="E185" s="18"/>
      <c r="F185" s="4"/>
      <c r="G185" s="4"/>
      <c r="H185" s="4"/>
      <c r="I185" s="4"/>
      <c r="J185" s="4"/>
      <c r="K185" s="4"/>
      <c r="L185" s="4"/>
      <c r="M185" s="4"/>
    </row>
    <row r="186" customFormat="false" ht="17.35" hidden="false" customHeight="false" outlineLevel="0" collapsed="false">
      <c r="A186" s="4"/>
      <c r="B186" s="4"/>
      <c r="C186" s="4"/>
      <c r="D186" s="18"/>
      <c r="E186" s="18"/>
      <c r="F186" s="4"/>
      <c r="G186" s="4"/>
      <c r="H186" s="4"/>
      <c r="I186" s="4"/>
      <c r="J186" s="67"/>
      <c r="K186" s="67"/>
      <c r="L186" s="22"/>
      <c r="M186" s="4"/>
    </row>
    <row r="187" customFormat="false" ht="17.35" hidden="false" customHeight="false" outlineLevel="0" collapsed="false">
      <c r="A187" s="4"/>
      <c r="B187" s="4"/>
      <c r="C187" s="4"/>
      <c r="D187" s="18"/>
      <c r="E187" s="18"/>
      <c r="F187" s="4"/>
      <c r="G187" s="4"/>
      <c r="H187" s="4"/>
      <c r="I187" s="4"/>
      <c r="J187" s="12"/>
      <c r="K187" s="12"/>
      <c r="L187" s="12"/>
      <c r="M187" s="4"/>
    </row>
    <row r="188" customFormat="false" ht="17.35" hidden="false" customHeight="false" outlineLevel="0" collapsed="false">
      <c r="A188" s="4"/>
      <c r="B188" s="4"/>
      <c r="C188" s="4"/>
      <c r="D188" s="18"/>
      <c r="E188" s="18"/>
      <c r="F188" s="4"/>
      <c r="G188" s="4"/>
      <c r="H188" s="4"/>
      <c r="I188" s="4"/>
      <c r="J188" s="22"/>
      <c r="K188" s="22"/>
      <c r="L188" s="22"/>
      <c r="M188" s="4"/>
    </row>
    <row r="189" customFormat="false" ht="17.35" hidden="false" customHeight="false" outlineLevel="0" collapsed="false">
      <c r="A189" s="4"/>
      <c r="B189" s="4"/>
      <c r="C189" s="4"/>
      <c r="D189" s="18"/>
      <c r="E189" s="18"/>
      <c r="F189" s="4"/>
      <c r="G189" s="4"/>
      <c r="H189" s="4"/>
      <c r="I189" s="4"/>
      <c r="J189" s="22"/>
      <c r="K189" s="22"/>
      <c r="L189" s="22"/>
      <c r="M189" s="4"/>
    </row>
    <row r="190" customFormat="false" ht="17.35" hidden="false" customHeight="false" outlineLevel="0" collapsed="false">
      <c r="A190" s="4"/>
      <c r="B190" s="4"/>
      <c r="C190" s="4"/>
      <c r="D190" s="18"/>
      <c r="E190" s="18"/>
      <c r="F190" s="4"/>
      <c r="G190" s="4"/>
      <c r="H190" s="4"/>
      <c r="I190" s="4"/>
      <c r="J190" s="22"/>
      <c r="K190" s="22"/>
      <c r="L190" s="22"/>
      <c r="M190" s="4"/>
    </row>
    <row r="191" customFormat="false" ht="17.35" hidden="false" customHeight="false" outlineLevel="0" collapsed="false">
      <c r="A191" s="4"/>
      <c r="B191" s="4"/>
      <c r="C191" s="4"/>
      <c r="D191" s="18"/>
      <c r="E191" s="18"/>
      <c r="F191" s="4"/>
      <c r="G191" s="4"/>
      <c r="H191" s="4"/>
      <c r="I191" s="4"/>
      <c r="J191" s="22"/>
      <c r="K191" s="22"/>
      <c r="L191" s="22"/>
      <c r="M191" s="4"/>
    </row>
    <row r="192" customFormat="false" ht="17.35" hidden="false" customHeight="false" outlineLevel="0" collapsed="false">
      <c r="A192" s="4"/>
      <c r="B192" s="4"/>
      <c r="C192" s="4"/>
      <c r="D192" s="18"/>
      <c r="E192" s="18"/>
      <c r="F192" s="4"/>
      <c r="G192" s="4"/>
      <c r="H192" s="4"/>
      <c r="I192" s="4"/>
      <c r="J192" s="4"/>
      <c r="K192" s="4"/>
      <c r="L192" s="22"/>
      <c r="M192" s="4"/>
    </row>
    <row r="193" customFormat="false" ht="17.35" hidden="false" customHeight="false" outlineLevel="0" collapsed="false">
      <c r="A193" s="4"/>
      <c r="B193" s="4"/>
      <c r="C193" s="4"/>
      <c r="D193" s="18"/>
      <c r="E193" s="18"/>
      <c r="F193" s="4"/>
      <c r="G193" s="4"/>
      <c r="H193" s="4"/>
      <c r="I193" s="4"/>
      <c r="J193" s="4"/>
      <c r="K193" s="4"/>
      <c r="L193" s="4"/>
      <c r="M193" s="4"/>
    </row>
    <row r="194" customFormat="false" ht="17.35" hidden="false" customHeight="false" outlineLevel="0" collapsed="false">
      <c r="A194" s="4"/>
      <c r="B194" s="4"/>
      <c r="C194" s="4"/>
      <c r="D194" s="18"/>
      <c r="E194" s="18"/>
      <c r="F194" s="4"/>
      <c r="G194" s="4"/>
      <c r="H194" s="4"/>
      <c r="I194" s="4"/>
      <c r="J194" s="22"/>
      <c r="K194" s="22"/>
      <c r="L194" s="22"/>
      <c r="M194" s="4"/>
    </row>
    <row r="195" customFormat="false" ht="17.35" hidden="false" customHeight="false" outlineLevel="0" collapsed="false">
      <c r="A195" s="4"/>
      <c r="B195" s="4"/>
      <c r="C195" s="4"/>
      <c r="D195" s="18"/>
      <c r="E195" s="18"/>
      <c r="F195" s="4"/>
      <c r="G195" s="4"/>
      <c r="H195" s="4"/>
      <c r="I195" s="4"/>
      <c r="J195" s="22"/>
      <c r="K195" s="22"/>
      <c r="L195" s="24"/>
      <c r="M195" s="4"/>
    </row>
    <row r="196" customFormat="false" ht="17.35" hidden="false" customHeight="false" outlineLevel="0" collapsed="false">
      <c r="A196" s="4"/>
      <c r="B196" s="4"/>
      <c r="C196" s="4"/>
      <c r="D196" s="18"/>
      <c r="E196" s="18"/>
      <c r="F196" s="4"/>
      <c r="G196" s="4"/>
      <c r="H196" s="4"/>
      <c r="I196" s="4"/>
      <c r="J196" s="22"/>
      <c r="K196" s="22"/>
      <c r="L196" s="24"/>
      <c r="M196" s="4"/>
    </row>
    <row r="197" customFormat="false" ht="17.35" hidden="false" customHeight="false" outlineLevel="0" collapsed="false">
      <c r="A197" s="4"/>
      <c r="B197" s="4"/>
      <c r="C197" s="4"/>
      <c r="D197" s="18"/>
      <c r="E197" s="18"/>
      <c r="F197" s="4"/>
      <c r="G197" s="4"/>
      <c r="H197" s="4"/>
      <c r="I197" s="12"/>
      <c r="J197" s="22"/>
      <c r="K197" s="22"/>
      <c r="L197" s="24"/>
      <c r="M197" s="4"/>
    </row>
    <row r="198" customFormat="false" ht="17.35" hidden="false" customHeight="false" outlineLevel="0" collapsed="false">
      <c r="A198" s="4"/>
      <c r="B198" s="4"/>
      <c r="C198" s="4"/>
      <c r="D198" s="18"/>
      <c r="E198" s="18"/>
      <c r="F198" s="4"/>
      <c r="G198" s="4"/>
      <c r="H198" s="4"/>
      <c r="I198" s="12"/>
      <c r="J198" s="22"/>
      <c r="K198" s="22"/>
      <c r="L198" s="24"/>
      <c r="M198" s="4"/>
    </row>
    <row r="199" customFormat="false" ht="17.35" hidden="false" customHeight="false" outlineLevel="0" collapsed="false">
      <c r="A199" s="4"/>
      <c r="B199" s="4"/>
      <c r="C199" s="4"/>
      <c r="D199" s="18"/>
      <c r="E199" s="18"/>
      <c r="F199" s="4"/>
      <c r="G199" s="4"/>
      <c r="H199" s="4"/>
      <c r="I199" s="22"/>
      <c r="J199" s="22"/>
      <c r="K199" s="22"/>
      <c r="L199" s="24"/>
      <c r="M199" s="4"/>
    </row>
    <row r="200" customFormat="false" ht="17.3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22"/>
      <c r="J200" s="91"/>
      <c r="K200" s="91"/>
      <c r="L200" s="4"/>
      <c r="M200" s="4"/>
    </row>
    <row r="201" customFormat="false" ht="17.35" hidden="false" customHeight="false" outlineLevel="0" collapsed="false">
      <c r="A201" s="4"/>
      <c r="B201" s="4"/>
      <c r="C201" s="12"/>
      <c r="D201" s="12"/>
      <c r="E201" s="12"/>
      <c r="F201" s="12"/>
      <c r="G201" s="12"/>
      <c r="H201" s="12"/>
      <c r="I201" s="22"/>
      <c r="J201" s="4"/>
      <c r="K201" s="4"/>
      <c r="L201" s="4"/>
      <c r="M201" s="4"/>
    </row>
    <row r="202" customFormat="false" ht="17.35" hidden="false" customHeight="false" outlineLevel="0" collapsed="false">
      <c r="A202" s="4"/>
      <c r="B202" s="4"/>
      <c r="C202" s="4"/>
      <c r="D202" s="92"/>
      <c r="E202" s="4"/>
      <c r="F202" s="21"/>
      <c r="G202" s="12"/>
      <c r="H202" s="12"/>
      <c r="I202" s="22"/>
      <c r="J202" s="4"/>
      <c r="K202" s="4"/>
      <c r="L202" s="4"/>
      <c r="M202" s="4"/>
    </row>
    <row r="203" customFormat="false" ht="17.35" hidden="false" customHeight="false" outlineLevel="0" collapsed="false">
      <c r="A203" s="4"/>
      <c r="B203" s="4"/>
      <c r="C203" s="4"/>
      <c r="D203" s="93"/>
      <c r="E203" s="4"/>
      <c r="F203" s="21"/>
      <c r="G203" s="21"/>
      <c r="H203" s="22"/>
      <c r="I203" s="4"/>
      <c r="J203" s="4"/>
      <c r="K203" s="4"/>
      <c r="L203" s="4"/>
      <c r="M203" s="4"/>
    </row>
    <row r="204" customFormat="false" ht="17.35" hidden="false" customHeight="false" outlineLevel="0" collapsed="false">
      <c r="A204" s="4"/>
      <c r="B204" s="4"/>
      <c r="C204" s="4"/>
      <c r="D204" s="4"/>
      <c r="E204" s="4"/>
      <c r="F204" s="21"/>
      <c r="G204" s="21"/>
      <c r="H204" s="22"/>
      <c r="I204" s="4"/>
      <c r="J204" s="4"/>
      <c r="K204" s="4"/>
      <c r="L204" s="4"/>
      <c r="M204" s="4"/>
    </row>
    <row r="205" customFormat="false" ht="17.35" hidden="false" customHeight="false" outlineLevel="0" collapsed="false">
      <c r="A205" s="4"/>
      <c r="B205" s="4"/>
      <c r="C205" s="4"/>
      <c r="D205" s="92"/>
      <c r="E205" s="4"/>
      <c r="F205" s="21"/>
      <c r="G205" s="21"/>
      <c r="H205" s="22"/>
      <c r="I205" s="22"/>
      <c r="J205" s="4"/>
      <c r="K205" s="4"/>
      <c r="L205" s="4"/>
      <c r="M205" s="4"/>
    </row>
    <row r="206" customFormat="false" ht="17.35" hidden="false" customHeight="false" outlineLevel="0" collapsed="false">
      <c r="A206" s="4"/>
      <c r="B206" s="4"/>
      <c r="C206" s="4"/>
      <c r="D206" s="4"/>
      <c r="E206" s="4"/>
      <c r="F206" s="4"/>
      <c r="G206" s="21"/>
      <c r="H206" s="22"/>
      <c r="I206" s="22"/>
      <c r="J206" s="4"/>
      <c r="K206" s="4"/>
      <c r="L206" s="4"/>
      <c r="M206" s="4"/>
    </row>
    <row r="207" customFormat="false" ht="17.3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22"/>
      <c r="J207" s="4"/>
      <c r="K207" s="4"/>
      <c r="L207" s="4"/>
      <c r="M207" s="4"/>
    </row>
    <row r="208" customFormat="false" ht="17.35" hidden="false" customHeight="false" outlineLevel="0" collapsed="false">
      <c r="A208" s="4"/>
      <c r="B208" s="4"/>
      <c r="C208" s="4"/>
      <c r="D208" s="4"/>
      <c r="E208" s="4"/>
      <c r="F208" s="21"/>
      <c r="G208" s="4"/>
      <c r="H208" s="4"/>
      <c r="I208" s="22"/>
      <c r="J208" s="4"/>
      <c r="K208" s="4"/>
      <c r="L208" s="4"/>
      <c r="M208" s="4"/>
    </row>
    <row r="209" customFormat="false" ht="17.35" hidden="false" customHeight="false" outlineLevel="0" collapsed="false">
      <c r="A209" s="4"/>
      <c r="B209" s="4"/>
      <c r="C209" s="4"/>
      <c r="D209" s="4"/>
      <c r="E209" s="4"/>
      <c r="F209" s="21"/>
      <c r="G209" s="21"/>
      <c r="H209" s="22"/>
      <c r="I209" s="22"/>
      <c r="J209" s="4"/>
      <c r="K209" s="4"/>
      <c r="L209" s="4"/>
      <c r="M209" s="4"/>
    </row>
    <row r="210" customFormat="false" ht="17.35" hidden="false" customHeight="false" outlineLevel="0" collapsed="false">
      <c r="A210" s="4"/>
      <c r="B210" s="4"/>
      <c r="C210" s="4"/>
      <c r="D210" s="4"/>
      <c r="E210" s="4"/>
      <c r="F210" s="4"/>
      <c r="G210" s="21"/>
      <c r="H210" s="22"/>
      <c r="I210" s="22"/>
      <c r="J210" s="4"/>
      <c r="K210" s="4"/>
      <c r="L210" s="4"/>
      <c r="M210" s="4"/>
    </row>
    <row r="211" customFormat="false" ht="17.35" hidden="false" customHeight="false" outlineLevel="0" collapsed="false">
      <c r="A211" s="4"/>
      <c r="B211" s="4"/>
      <c r="C211" s="4"/>
      <c r="D211" s="4"/>
      <c r="E211" s="4"/>
      <c r="F211" s="21"/>
      <c r="G211" s="21"/>
      <c r="H211" s="22"/>
      <c r="I211" s="91"/>
      <c r="J211" s="4"/>
      <c r="K211" s="4"/>
      <c r="L211" s="4"/>
      <c r="M211" s="4"/>
    </row>
    <row r="212" customFormat="false" ht="17.35" hidden="false" customHeight="false" outlineLevel="0" collapsed="false">
      <c r="A212" s="4"/>
      <c r="B212" s="4"/>
      <c r="C212" s="4"/>
      <c r="D212" s="4"/>
      <c r="E212" s="4"/>
      <c r="F212" s="21"/>
      <c r="G212" s="21"/>
      <c r="H212" s="22"/>
      <c r="I212" s="4"/>
      <c r="J212" s="4"/>
      <c r="K212" s="4"/>
      <c r="L212" s="4"/>
      <c r="M212" s="4"/>
    </row>
    <row r="213" customFormat="false" ht="17.35" hidden="false" customHeight="false" outlineLevel="0" collapsed="false">
      <c r="A213" s="4"/>
      <c r="B213" s="4"/>
      <c r="C213" s="4"/>
      <c r="D213" s="4"/>
      <c r="E213" s="4"/>
      <c r="F213" s="21"/>
      <c r="G213" s="21"/>
      <c r="H213" s="22"/>
      <c r="I213" s="4"/>
      <c r="J213" s="4"/>
      <c r="K213" s="4"/>
      <c r="L213" s="4"/>
      <c r="M213" s="4"/>
    </row>
    <row r="214" customFormat="false" ht="17.35" hidden="false" customHeight="false" outlineLevel="0" collapsed="false">
      <c r="A214" s="4"/>
      <c r="B214" s="4"/>
      <c r="C214" s="4"/>
      <c r="D214" s="11"/>
      <c r="E214" s="11"/>
      <c r="F214" s="91"/>
      <c r="G214" s="21"/>
      <c r="H214" s="22"/>
      <c r="I214" s="4"/>
      <c r="J214" s="4"/>
      <c r="K214" s="4"/>
      <c r="L214" s="4"/>
      <c r="M214" s="4"/>
    </row>
    <row r="215" customFormat="false" ht="17.35" hidden="false" customHeight="false" outlineLevel="0" collapsed="false">
      <c r="A215" s="4"/>
      <c r="B215" s="4"/>
      <c r="C215" s="4"/>
      <c r="D215" s="4"/>
      <c r="E215" s="4"/>
      <c r="F215" s="4"/>
      <c r="G215" s="91"/>
      <c r="H215" s="91"/>
      <c r="I215" s="4"/>
      <c r="J215" s="4"/>
      <c r="K215" s="4"/>
      <c r="L215" s="4"/>
      <c r="M215" s="4"/>
    </row>
    <row r="216" customFormat="false" ht="17.3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customFormat="false" ht="17.3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customFormat="false" ht="17.3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customFormat="false" ht="17.3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customFormat="false" ht="17.3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customFormat="false" ht="17.3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customFormat="false" ht="17.3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customFormat="false" ht="17.3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</sheetData>
  <mergeCells count="77">
    <mergeCell ref="P2:T3"/>
    <mergeCell ref="Z2:AD3"/>
    <mergeCell ref="B3:N3"/>
    <mergeCell ref="R4:S4"/>
    <mergeCell ref="AB4:AC4"/>
    <mergeCell ref="R5:S5"/>
    <mergeCell ref="AB5:AC5"/>
    <mergeCell ref="R6:S6"/>
    <mergeCell ref="AB6:AC6"/>
    <mergeCell ref="R7:S7"/>
    <mergeCell ref="AB7:AC7"/>
    <mergeCell ref="R8:S8"/>
    <mergeCell ref="AB8:AC8"/>
    <mergeCell ref="R9:S9"/>
    <mergeCell ref="AB9:AC9"/>
    <mergeCell ref="R10:S10"/>
    <mergeCell ref="AB10:AC10"/>
    <mergeCell ref="R11:S11"/>
    <mergeCell ref="AB11:AC11"/>
    <mergeCell ref="R12:S12"/>
    <mergeCell ref="AB12:AC12"/>
    <mergeCell ref="R13:S13"/>
    <mergeCell ref="AB13:AC13"/>
    <mergeCell ref="R14:S14"/>
    <mergeCell ref="AB14:AC14"/>
    <mergeCell ref="R15:S15"/>
    <mergeCell ref="AB15:AC15"/>
    <mergeCell ref="R16:S16"/>
    <mergeCell ref="AB16:AC16"/>
    <mergeCell ref="R17:S17"/>
    <mergeCell ref="AB17:AC17"/>
    <mergeCell ref="R18:S18"/>
    <mergeCell ref="AB18:AC18"/>
    <mergeCell ref="R19:S19"/>
    <mergeCell ref="AB19:AC19"/>
    <mergeCell ref="R20:S20"/>
    <mergeCell ref="AB20:AC20"/>
    <mergeCell ref="R21:S21"/>
    <mergeCell ref="AB21:AC21"/>
    <mergeCell ref="R22:S22"/>
    <mergeCell ref="AB22:AC22"/>
    <mergeCell ref="P32:Q32"/>
    <mergeCell ref="B101:C101"/>
    <mergeCell ref="B103:J103"/>
    <mergeCell ref="B112:M112"/>
    <mergeCell ref="K113:M113"/>
    <mergeCell ref="K114:M114"/>
    <mergeCell ref="K115:M115"/>
    <mergeCell ref="K116:M116"/>
    <mergeCell ref="K117:M117"/>
    <mergeCell ref="K118:M118"/>
    <mergeCell ref="K119:M119"/>
    <mergeCell ref="B122:H122"/>
    <mergeCell ref="B137:H137"/>
    <mergeCell ref="B155:D155"/>
    <mergeCell ref="F155:H155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Z2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7" activeCellId="0" sqref="B17"/>
    </sheetView>
  </sheetViews>
  <sheetFormatPr defaultColWidth="10.59375" defaultRowHeight="15" zeroHeight="false" outlineLevelRow="0" outlineLevelCol="0"/>
  <cols>
    <col collapsed="false" customWidth="true" hidden="false" outlineLevel="0" max="16" min="16" style="0" width="44"/>
    <col collapsed="false" customWidth="true" hidden="false" outlineLevel="0" max="22" min="22" style="0" width="24.52"/>
  </cols>
  <sheetData>
    <row r="3" customFormat="false" ht="15" hidden="false" customHeight="false" outlineLevel="0" collapsed="false">
      <c r="P3" s="0" t="s">
        <v>374</v>
      </c>
    </row>
    <row r="4" customFormat="false" ht="15" hidden="false" customHeight="false" outlineLevel="0" collapsed="false">
      <c r="B4" s="0" t="s">
        <v>114</v>
      </c>
      <c r="C4" s="0" t="s">
        <v>375</v>
      </c>
      <c r="D4" s="0" t="s">
        <v>376</v>
      </c>
      <c r="E4" s="0" t="s">
        <v>377</v>
      </c>
      <c r="F4" s="0" t="s">
        <v>378</v>
      </c>
      <c r="G4" s="0" t="s">
        <v>379</v>
      </c>
      <c r="P4" s="0" t="s">
        <v>380</v>
      </c>
      <c r="V4" s="0" t="s">
        <v>381</v>
      </c>
      <c r="W4" s="0" t="n">
        <v>6</v>
      </c>
      <c r="X4" s="0" t="n">
        <v>850000</v>
      </c>
      <c r="Y4" s="138" t="n">
        <f aca="false">+W4*X4/3650</f>
        <v>1397.2602739726</v>
      </c>
    </row>
    <row r="5" customFormat="false" ht="15" hidden="false" customHeight="false" outlineLevel="0" collapsed="false">
      <c r="B5" s="0" t="n">
        <v>6400</v>
      </c>
      <c r="C5" s="0" t="n">
        <v>100</v>
      </c>
      <c r="D5" s="0" t="n">
        <v>0</v>
      </c>
      <c r="E5" s="0" t="n">
        <v>5017</v>
      </c>
      <c r="F5" s="0" t="n">
        <v>0</v>
      </c>
      <c r="G5" s="0" t="s">
        <v>382</v>
      </c>
      <c r="P5" s="0" t="s">
        <v>383</v>
      </c>
      <c r="V5" s="0" t="s">
        <v>384</v>
      </c>
      <c r="W5" s="0" t="n">
        <v>4</v>
      </c>
      <c r="X5" s="0" t="n">
        <v>4.1</v>
      </c>
      <c r="Y5" s="138" t="n">
        <f aca="false">+W5*X5*4.2</f>
        <v>68.88</v>
      </c>
    </row>
    <row r="6" customFormat="false" ht="15" hidden="false" customHeight="false" outlineLevel="0" collapsed="false">
      <c r="B6" s="0" t="n">
        <v>6400</v>
      </c>
      <c r="C6" s="0" t="n">
        <v>100</v>
      </c>
      <c r="D6" s="0" t="n">
        <v>0</v>
      </c>
      <c r="E6" s="0" t="n">
        <v>5019</v>
      </c>
      <c r="F6" s="0" t="n">
        <v>0</v>
      </c>
      <c r="G6" s="0" t="s">
        <v>382</v>
      </c>
      <c r="P6" s="0" t="s">
        <v>385</v>
      </c>
      <c r="V6" s="0" t="s">
        <v>386</v>
      </c>
      <c r="W6" s="0" t="n">
        <v>4</v>
      </c>
      <c r="X6" s="0" t="n">
        <v>1.1</v>
      </c>
      <c r="Y6" s="138" t="n">
        <f aca="false">+W6*X6*4.2</f>
        <v>18.48</v>
      </c>
    </row>
    <row r="7" customFormat="false" ht="15" hidden="false" customHeight="false" outlineLevel="0" collapsed="false">
      <c r="B7" s="0" t="n">
        <v>6400</v>
      </c>
      <c r="C7" s="0" t="n">
        <v>100</v>
      </c>
      <c r="D7" s="0" t="n">
        <v>0</v>
      </c>
      <c r="E7" s="0" t="n">
        <v>5023</v>
      </c>
      <c r="F7" s="0" t="n">
        <v>0</v>
      </c>
      <c r="G7" s="0" t="s">
        <v>382</v>
      </c>
      <c r="P7" s="0" t="s">
        <v>387</v>
      </c>
      <c r="V7" s="0" t="s">
        <v>388</v>
      </c>
      <c r="W7" s="0" t="n">
        <v>4</v>
      </c>
      <c r="X7" s="0" t="n">
        <v>16000</v>
      </c>
      <c r="Y7" s="138" t="n">
        <f aca="false">+W7*X7/3650</f>
        <v>17.5342465753425</v>
      </c>
    </row>
    <row r="8" customFormat="false" ht="15" hidden="false" customHeight="false" outlineLevel="0" collapsed="false">
      <c r="B8" s="0" t="n">
        <v>6400</v>
      </c>
      <c r="C8" s="0" t="n">
        <v>100</v>
      </c>
      <c r="D8" s="0" t="n">
        <v>0</v>
      </c>
      <c r="E8" s="0" t="n">
        <v>5025</v>
      </c>
      <c r="F8" s="0" t="n">
        <v>0</v>
      </c>
      <c r="G8" s="0" t="s">
        <v>382</v>
      </c>
      <c r="P8" s="0" t="s">
        <v>389</v>
      </c>
      <c r="V8" s="0" t="s">
        <v>346</v>
      </c>
      <c r="W8" s="0" t="n">
        <v>12</v>
      </c>
      <c r="X8" s="0" t="n">
        <v>16000</v>
      </c>
      <c r="Y8" s="138" t="n">
        <f aca="false">+W8*X8/3650</f>
        <v>52.6027397260274</v>
      </c>
    </row>
    <row r="9" customFormat="false" ht="15" hidden="false" customHeight="false" outlineLevel="0" collapsed="false">
      <c r="B9" s="0" t="n">
        <v>6400</v>
      </c>
      <c r="C9" s="0" t="n">
        <v>100</v>
      </c>
      <c r="D9" s="0" t="n">
        <v>0</v>
      </c>
      <c r="E9" s="0" t="n">
        <v>5029</v>
      </c>
      <c r="F9" s="0" t="n">
        <v>0</v>
      </c>
      <c r="G9" s="0" t="s">
        <v>382</v>
      </c>
      <c r="P9" s="0" t="s">
        <v>390</v>
      </c>
      <c r="V9" s="0" t="s">
        <v>391</v>
      </c>
      <c r="W9" s="0" t="n">
        <v>6</v>
      </c>
      <c r="X9" s="0" t="n">
        <v>8.6</v>
      </c>
      <c r="Y9" s="138" t="n">
        <f aca="false">+W9*X9*4.2</f>
        <v>216.72</v>
      </c>
    </row>
    <row r="10" customFormat="false" ht="15" hidden="false" customHeight="false" outlineLevel="0" collapsed="false">
      <c r="B10" s="0" t="n">
        <v>6400</v>
      </c>
      <c r="C10" s="0" t="n">
        <v>100</v>
      </c>
      <c r="D10" s="0" t="n">
        <v>0</v>
      </c>
      <c r="E10" s="0" t="n">
        <v>5031</v>
      </c>
      <c r="F10" s="0" t="n">
        <v>0</v>
      </c>
      <c r="G10" s="0" t="s">
        <v>382</v>
      </c>
      <c r="P10" s="0" t="s">
        <v>392</v>
      </c>
      <c r="V10" s="0" t="s">
        <v>393</v>
      </c>
      <c r="W10" s="0" t="n">
        <v>2</v>
      </c>
      <c r="X10" s="0" t="n">
        <v>3.9</v>
      </c>
      <c r="Y10" s="138" t="n">
        <f aca="false">+W10*X10*4.2</f>
        <v>32.76</v>
      </c>
    </row>
    <row r="11" customFormat="false" ht="15" hidden="false" customHeight="false" outlineLevel="0" collapsed="false">
      <c r="B11" s="0" t="n">
        <v>6400</v>
      </c>
      <c r="C11" s="0" t="n">
        <v>100</v>
      </c>
      <c r="D11" s="0" t="n">
        <v>0</v>
      </c>
      <c r="E11" s="0" t="n">
        <v>1544</v>
      </c>
      <c r="F11" s="0" t="n">
        <v>0</v>
      </c>
      <c r="G11" s="0" t="s">
        <v>382</v>
      </c>
      <c r="P11" s="0" t="s">
        <v>394</v>
      </c>
      <c r="V11" s="0" t="s">
        <v>395</v>
      </c>
      <c r="W11" s="0" t="n">
        <v>1</v>
      </c>
      <c r="X11" s="0" t="n">
        <v>0.85</v>
      </c>
      <c r="Y11" s="138" t="n">
        <f aca="false">+W11*X11*4.2</f>
        <v>3.57</v>
      </c>
    </row>
    <row r="12" customFormat="false" ht="15" hidden="false" customHeight="false" outlineLevel="0" collapsed="false">
      <c r="B12" s="0" t="n">
        <v>6400</v>
      </c>
      <c r="C12" s="0" t="n">
        <v>100</v>
      </c>
      <c r="D12" s="0" t="n">
        <v>0</v>
      </c>
      <c r="E12" s="0" t="n">
        <v>6515</v>
      </c>
      <c r="F12" s="0" t="n">
        <v>0</v>
      </c>
      <c r="G12" s="0" t="s">
        <v>382</v>
      </c>
      <c r="P12" s="0" t="s">
        <v>396</v>
      </c>
      <c r="V12" s="0" t="s">
        <v>397</v>
      </c>
      <c r="W12" s="0" t="n">
        <v>1</v>
      </c>
      <c r="X12" s="0" t="n">
        <v>1.8</v>
      </c>
      <c r="Y12" s="138" t="n">
        <f aca="false">+W12*X12*4.2</f>
        <v>7.56</v>
      </c>
    </row>
    <row r="13" customFormat="false" ht="15" hidden="false" customHeight="false" outlineLevel="0" collapsed="false">
      <c r="B13" s="0" t="n">
        <v>6400</v>
      </c>
      <c r="C13" s="0" t="n">
        <v>100</v>
      </c>
      <c r="D13" s="0" t="n">
        <v>0</v>
      </c>
      <c r="E13" s="0" t="n">
        <v>3035</v>
      </c>
      <c r="F13" s="0" t="n">
        <v>0</v>
      </c>
      <c r="G13" s="0" t="s">
        <v>382</v>
      </c>
      <c r="P13" s="0" t="s">
        <v>398</v>
      </c>
      <c r="V13" s="0" t="s">
        <v>399</v>
      </c>
      <c r="W13" s="0" t="n">
        <v>1</v>
      </c>
      <c r="X13" s="156" t="n">
        <v>4</v>
      </c>
      <c r="Y13" s="138" t="n">
        <f aca="false">+W13*X13*4.2</f>
        <v>16.8</v>
      </c>
    </row>
    <row r="14" customFormat="false" ht="15" hidden="false" customHeight="false" outlineLevel="0" collapsed="false">
      <c r="B14" s="0" t="n">
        <v>6400</v>
      </c>
      <c r="C14" s="0" t="n">
        <v>100</v>
      </c>
      <c r="D14" s="0" t="n">
        <v>0</v>
      </c>
      <c r="F14" s="0" t="n">
        <v>0</v>
      </c>
      <c r="G14" s="0" t="s">
        <v>382</v>
      </c>
      <c r="P14" s="0" t="s">
        <v>400</v>
      </c>
      <c r="V14" s="0" t="s">
        <v>255</v>
      </c>
      <c r="W14" s="0" t="s">
        <v>401</v>
      </c>
      <c r="X14" s="0" t="n">
        <v>45000</v>
      </c>
      <c r="Y14" s="138" t="n">
        <f aca="false">+X14/3650</f>
        <v>12.3287671232877</v>
      </c>
    </row>
    <row r="15" customFormat="false" ht="15" hidden="false" customHeight="false" outlineLevel="0" collapsed="false">
      <c r="B15" s="0" t="n">
        <v>6400</v>
      </c>
      <c r="C15" s="0" t="n">
        <v>100</v>
      </c>
      <c r="D15" s="0" t="n">
        <v>0</v>
      </c>
      <c r="F15" s="0" t="n">
        <v>0</v>
      </c>
      <c r="G15" s="0" t="s">
        <v>382</v>
      </c>
      <c r="P15" s="0" t="s">
        <v>402</v>
      </c>
      <c r="V15" s="0" t="s">
        <v>403</v>
      </c>
      <c r="W15" s="0" t="s">
        <v>404</v>
      </c>
      <c r="X15" s="0" t="n">
        <v>800</v>
      </c>
      <c r="Y15" s="138" t="n">
        <f aca="false">+(X15*100)/3650</f>
        <v>21.9178082191781</v>
      </c>
    </row>
    <row r="16" customFormat="false" ht="15" hidden="false" customHeight="false" outlineLevel="0" collapsed="false">
      <c r="P16" s="0" t="s">
        <v>405</v>
      </c>
      <c r="V16" s="0" t="s">
        <v>406</v>
      </c>
      <c r="W16" s="0" t="s">
        <v>407</v>
      </c>
      <c r="X16" s="0" t="n">
        <v>800</v>
      </c>
      <c r="Y16" s="138" t="n">
        <f aca="false">+X16/3650</f>
        <v>0.219178082191781</v>
      </c>
    </row>
    <row r="17" customFormat="false" ht="15" hidden="false" customHeight="false" outlineLevel="0" collapsed="false">
      <c r="B17" s="0" t="s">
        <v>114</v>
      </c>
      <c r="C17" s="0" t="s">
        <v>375</v>
      </c>
      <c r="D17" s="0" t="s">
        <v>376</v>
      </c>
      <c r="E17" s="0" t="s">
        <v>377</v>
      </c>
      <c r="F17" s="0" t="s">
        <v>379</v>
      </c>
      <c r="G17" s="0" t="s">
        <v>34</v>
      </c>
      <c r="H17" s="0" t="s">
        <v>34</v>
      </c>
      <c r="P17" s="0" t="s">
        <v>408</v>
      </c>
      <c r="V17" s="0" t="s">
        <v>409</v>
      </c>
      <c r="W17" s="0" t="s">
        <v>407</v>
      </c>
      <c r="X17" s="0" t="n">
        <v>55000</v>
      </c>
      <c r="Y17" s="138" t="n">
        <f aca="false">+X17/3650</f>
        <v>15.0684931506849</v>
      </c>
    </row>
    <row r="18" customFormat="false" ht="15" hidden="false" customHeight="false" outlineLevel="0" collapsed="false">
      <c r="B18" s="0" t="n">
        <v>840</v>
      </c>
      <c r="C18" s="0" t="n">
        <v>2</v>
      </c>
      <c r="D18" s="0" t="n">
        <v>0</v>
      </c>
      <c r="E18" s="0" t="n">
        <v>5017</v>
      </c>
      <c r="F18" s="0" t="str">
        <f aca="false">"W"&amp;ROWS(F$18:F18)&amp;"W"</f>
        <v>W1W</v>
      </c>
      <c r="G18" s="0" t="n">
        <v>45</v>
      </c>
      <c r="H18" s="0" t="n">
        <v>45</v>
      </c>
      <c r="J18" s="0" t="n">
        <f aca="false">2</f>
        <v>2</v>
      </c>
      <c r="K18" s="0" t="n">
        <v>10</v>
      </c>
      <c r="L18" s="0" t="n">
        <f aca="false">+J18*10</f>
        <v>20</v>
      </c>
      <c r="P18" s="0" t="s">
        <v>410</v>
      </c>
      <c r="Y18" s="148" t="n">
        <f aca="false">SUM(Y4:Y17)</f>
        <v>1881.70150684932</v>
      </c>
      <c r="Z18" s="0" t="n">
        <f aca="false">+Y18/Y23</f>
        <v>53.9974032038945</v>
      </c>
    </row>
    <row r="19" customFormat="false" ht="15" hidden="false" customHeight="false" outlineLevel="0" collapsed="false">
      <c r="B19" s="0" t="n">
        <v>980</v>
      </c>
      <c r="C19" s="0" t="n">
        <v>2</v>
      </c>
      <c r="D19" s="0" t="n">
        <v>0</v>
      </c>
      <c r="E19" s="0" t="n">
        <v>5017</v>
      </c>
      <c r="F19" s="0" t="str">
        <f aca="false">"W"&amp;ROWS(F$18:F19)&amp;"W"</f>
        <v>W2W</v>
      </c>
      <c r="G19" s="0" t="n">
        <v>45</v>
      </c>
      <c r="H19" s="0" t="n">
        <v>45</v>
      </c>
      <c r="J19" s="0" t="n">
        <v>2</v>
      </c>
      <c r="K19" s="0" t="n">
        <v>10</v>
      </c>
      <c r="L19" s="0" t="n">
        <f aca="false">+J19*10</f>
        <v>20</v>
      </c>
      <c r="P19" s="0" t="s">
        <v>411</v>
      </c>
      <c r="Y19" s="0" t="n">
        <f aca="false">+Y23*12</f>
        <v>418.176</v>
      </c>
    </row>
    <row r="20" customFormat="false" ht="15" hidden="false" customHeight="false" outlineLevel="0" collapsed="false">
      <c r="B20" s="0" t="n">
        <v>870</v>
      </c>
      <c r="C20" s="0" t="n">
        <v>2</v>
      </c>
      <c r="D20" s="0" t="n">
        <v>0</v>
      </c>
      <c r="E20" s="0" t="n">
        <v>5017</v>
      </c>
      <c r="F20" s="0" t="str">
        <f aca="false">"W"&amp;ROWS(F$18:F20)&amp;"W"</f>
        <v>W3W</v>
      </c>
      <c r="G20" s="0" t="n">
        <v>45</v>
      </c>
      <c r="H20" s="0" t="n">
        <v>45</v>
      </c>
      <c r="J20" s="0" t="n">
        <v>4</v>
      </c>
      <c r="K20" s="0" t="n">
        <v>10</v>
      </c>
      <c r="L20" s="0" t="n">
        <f aca="false">+J20*10</f>
        <v>40</v>
      </c>
      <c r="P20" s="0" t="s">
        <v>412</v>
      </c>
      <c r="Y20" s="148" t="n">
        <f aca="false">SUM(Y18:Y19)</f>
        <v>2299.87750684931</v>
      </c>
      <c r="Z20" s="0" t="n">
        <f aca="false">+Y20/Y23</f>
        <v>65.9974032038945</v>
      </c>
    </row>
    <row r="21" customFormat="false" ht="15" hidden="false" customHeight="false" outlineLevel="0" collapsed="false">
      <c r="B21" s="0" t="n">
        <v>1200</v>
      </c>
      <c r="C21" s="0" t="n">
        <v>2</v>
      </c>
      <c r="D21" s="0" t="n">
        <v>0</v>
      </c>
      <c r="E21" s="0" t="n">
        <v>5017</v>
      </c>
      <c r="F21" s="0" t="str">
        <f aca="false">"W"&amp;ROWS(F$18:F21)&amp;"W"</f>
        <v>W4W</v>
      </c>
      <c r="G21" s="0" t="n">
        <v>45</v>
      </c>
      <c r="H21" s="0" t="n">
        <v>45</v>
      </c>
      <c r="J21" s="0" t="n">
        <v>4</v>
      </c>
      <c r="K21" s="0" t="n">
        <v>10</v>
      </c>
      <c r="L21" s="0" t="n">
        <f aca="false">+J21*10</f>
        <v>40</v>
      </c>
      <c r="P21" s="0" t="s">
        <v>413</v>
      </c>
      <c r="W21" s="0" t="n">
        <f aca="false">2.73*3.3</f>
        <v>9.009</v>
      </c>
      <c r="X21" s="0" t="n">
        <v>2</v>
      </c>
      <c r="Y21" s="157" t="n">
        <f aca="false">+W21*X21</f>
        <v>18.018</v>
      </c>
    </row>
    <row r="22" customFormat="false" ht="15" hidden="false" customHeight="false" outlineLevel="0" collapsed="false">
      <c r="B22" s="0" t="n">
        <v>1220</v>
      </c>
      <c r="C22" s="0" t="n">
        <v>2</v>
      </c>
      <c r="D22" s="0" t="n">
        <v>0</v>
      </c>
      <c r="E22" s="0" t="n">
        <v>5017</v>
      </c>
      <c r="F22" s="0" t="str">
        <f aca="false">"W"&amp;ROWS(F$18:F22)&amp;"W"</f>
        <v>W5W</v>
      </c>
      <c r="G22" s="0" t="n">
        <v>45</v>
      </c>
      <c r="H22" s="0" t="n">
        <v>45</v>
      </c>
      <c r="J22" s="0" t="n">
        <v>3</v>
      </c>
      <c r="K22" s="0" t="n">
        <v>10</v>
      </c>
      <c r="L22" s="0" t="n">
        <f aca="false">+J22*10</f>
        <v>30</v>
      </c>
      <c r="P22" s="0" t="s">
        <v>414</v>
      </c>
      <c r="W22" s="0" t="n">
        <f aca="false">5.1*3.3</f>
        <v>16.83</v>
      </c>
      <c r="X22" s="0" t="n">
        <v>1</v>
      </c>
      <c r="Y22" s="0" t="n">
        <f aca="false">+W22*X22</f>
        <v>16.83</v>
      </c>
    </row>
    <row r="23" customFormat="false" ht="15" hidden="false" customHeight="false" outlineLevel="0" collapsed="false">
      <c r="B23" s="0" t="n">
        <v>800</v>
      </c>
      <c r="C23" s="0" t="n">
        <v>2</v>
      </c>
      <c r="D23" s="0" t="n">
        <v>0</v>
      </c>
      <c r="E23" s="0" t="n">
        <v>5017</v>
      </c>
      <c r="F23" s="0" t="str">
        <f aca="false">"W"&amp;ROWS(F$18:F23)&amp;"W"</f>
        <v>W6W</v>
      </c>
      <c r="G23" s="0" t="n">
        <v>45</v>
      </c>
      <c r="H23" s="0" t="n">
        <v>45</v>
      </c>
      <c r="J23" s="0" t="n">
        <v>2</v>
      </c>
      <c r="K23" s="0" t="n">
        <v>10</v>
      </c>
      <c r="L23" s="0" t="n">
        <f aca="false">+J23*10</f>
        <v>20</v>
      </c>
      <c r="P23" s="0" t="s">
        <v>415</v>
      </c>
      <c r="Y23" s="157" t="n">
        <f aca="false">SUM(Y21:Y22)</f>
        <v>34.848</v>
      </c>
    </row>
    <row r="24" customFormat="false" ht="15" hidden="false" customHeight="false" outlineLevel="0" collapsed="false">
      <c r="B24" s="0" t="n">
        <v>1200</v>
      </c>
      <c r="C24" s="0" t="n">
        <v>2</v>
      </c>
      <c r="D24" s="0" t="n">
        <v>0</v>
      </c>
      <c r="E24" s="0" t="n">
        <v>5017</v>
      </c>
      <c r="F24" s="0" t="str">
        <f aca="false">"W"&amp;ROWS(F$18:F24)&amp;"W"</f>
        <v>W7W</v>
      </c>
      <c r="G24" s="0" t="n">
        <v>45</v>
      </c>
      <c r="H24" s="0" t="n">
        <v>45</v>
      </c>
      <c r="J24" s="0" t="n">
        <v>2</v>
      </c>
      <c r="K24" s="0" t="n">
        <v>10</v>
      </c>
      <c r="L24" s="0" t="n">
        <f aca="false">+J24*10</f>
        <v>20</v>
      </c>
    </row>
    <row r="25" customFormat="false" ht="15" hidden="false" customHeight="false" outlineLevel="0" collapsed="false">
      <c r="B25" s="0" t="n">
        <v>1210</v>
      </c>
      <c r="C25" s="0" t="n">
        <v>2</v>
      </c>
      <c r="D25" s="0" t="n">
        <v>0</v>
      </c>
      <c r="E25" s="0" t="n">
        <v>5017</v>
      </c>
      <c r="F25" s="0" t="str">
        <f aca="false">"W"&amp;ROWS(F$18:F25)&amp;"W"</f>
        <v>W8W</v>
      </c>
      <c r="G25" s="0" t="n">
        <v>45</v>
      </c>
      <c r="H25" s="0" t="n">
        <v>45</v>
      </c>
      <c r="J25" s="0" t="n">
        <v>2</v>
      </c>
      <c r="K25" s="0" t="n">
        <v>10</v>
      </c>
      <c r="L25" s="0" t="n">
        <f aca="false">+J25*10</f>
        <v>20</v>
      </c>
    </row>
    <row r="26" customFormat="false" ht="15" hidden="false" customHeight="false" outlineLevel="0" collapsed="false">
      <c r="B26" s="0" t="n">
        <v>800</v>
      </c>
      <c r="C26" s="0" t="n">
        <v>2</v>
      </c>
      <c r="D26" s="0" t="n">
        <v>0</v>
      </c>
      <c r="E26" s="0" t="n">
        <v>5017</v>
      </c>
      <c r="F26" s="0" t="str">
        <f aca="false">"W"&amp;ROWS(F$18:F26)&amp;"W"</f>
        <v>W9W</v>
      </c>
      <c r="G26" s="0" t="n">
        <v>45</v>
      </c>
      <c r="H26" s="0" t="n">
        <v>45</v>
      </c>
      <c r="J26" s="0" t="n">
        <v>2</v>
      </c>
      <c r="K26" s="0" t="n">
        <v>10</v>
      </c>
      <c r="L26" s="0" t="n">
        <f aca="false">+J26*10</f>
        <v>20</v>
      </c>
    </row>
    <row r="27" customFormat="false" ht="15" hidden="false" customHeight="false" outlineLevel="0" collapsed="false">
      <c r="B27" s="0" t="n">
        <v>1200</v>
      </c>
      <c r="C27" s="0" t="n">
        <v>2</v>
      </c>
      <c r="D27" s="0" t="n">
        <v>0</v>
      </c>
      <c r="E27" s="0" t="n">
        <v>5017</v>
      </c>
      <c r="F27" s="0" t="str">
        <f aca="false">"W"&amp;ROWS(F$18:F27)&amp;"W"</f>
        <v>W10W</v>
      </c>
      <c r="G27" s="0" t="n">
        <v>45</v>
      </c>
      <c r="H27" s="0" t="n">
        <v>45</v>
      </c>
      <c r="J27" s="0" t="n">
        <v>1</v>
      </c>
      <c r="K27" s="0" t="n">
        <v>10</v>
      </c>
      <c r="L27" s="0" t="n">
        <f aca="false">+J27*10</f>
        <v>10</v>
      </c>
    </row>
    <row r="28" customFormat="false" ht="15" hidden="false" customHeight="false" outlineLevel="0" collapsed="false">
      <c r="B28" s="0" t="n">
        <v>1200</v>
      </c>
      <c r="C28" s="0" t="n">
        <v>2</v>
      </c>
      <c r="D28" s="0" t="n">
        <v>0</v>
      </c>
      <c r="E28" s="0" t="n">
        <v>5017</v>
      </c>
      <c r="F28" s="0" t="str">
        <f aca="false">"W"&amp;ROWS(F$18:F28)&amp;"W"</f>
        <v>W11W</v>
      </c>
      <c r="G28" s="0" t="n">
        <v>45</v>
      </c>
      <c r="H28" s="0" t="n">
        <v>45</v>
      </c>
      <c r="J28" s="0" t="n">
        <v>4</v>
      </c>
      <c r="K28" s="0" t="n">
        <v>10</v>
      </c>
      <c r="L28" s="0" t="n">
        <f aca="false">+J28*10</f>
        <v>40</v>
      </c>
    </row>
    <row r="29" customFormat="false" ht="15" hidden="false" customHeight="false" outlineLevel="0" collapsed="false">
      <c r="B29" s="0" t="n">
        <v>1200</v>
      </c>
      <c r="C29" s="0" t="n">
        <v>2</v>
      </c>
      <c r="D29" s="0" t="n">
        <v>0</v>
      </c>
      <c r="E29" s="0" t="n">
        <v>5017</v>
      </c>
      <c r="F29" s="0" t="str">
        <f aca="false">"W"&amp;ROWS(F$18:F29)&amp;"W"</f>
        <v>W12W</v>
      </c>
      <c r="G29" s="0" t="n">
        <v>45</v>
      </c>
      <c r="H29" s="0" t="n">
        <v>45</v>
      </c>
      <c r="J29" s="0" t="n">
        <v>10</v>
      </c>
      <c r="K29" s="0" t="n">
        <v>10</v>
      </c>
      <c r="L29" s="0" t="n">
        <f aca="false">+J29*10</f>
        <v>100</v>
      </c>
    </row>
    <row r="30" customFormat="false" ht="15" hidden="false" customHeight="false" outlineLevel="0" collapsed="false">
      <c r="B30" s="0" t="n">
        <v>800</v>
      </c>
      <c r="C30" s="0" t="n">
        <v>2</v>
      </c>
      <c r="D30" s="0" t="n">
        <v>0</v>
      </c>
      <c r="E30" s="0" t="n">
        <v>5017</v>
      </c>
      <c r="F30" s="0" t="str">
        <f aca="false">"W"&amp;ROWS(F$18:F30)&amp;"W"</f>
        <v>W13W</v>
      </c>
      <c r="G30" s="0" t="n">
        <v>45</v>
      </c>
      <c r="H30" s="0" t="n">
        <v>45</v>
      </c>
      <c r="J30" s="0" t="n">
        <v>4</v>
      </c>
      <c r="K30" s="0" t="n">
        <v>10</v>
      </c>
      <c r="L30" s="0" t="n">
        <f aca="false">+J30*10</f>
        <v>40</v>
      </c>
    </row>
    <row r="31" customFormat="false" ht="15" hidden="false" customHeight="false" outlineLevel="0" collapsed="false">
      <c r="B31" s="0" t="n">
        <v>1200</v>
      </c>
      <c r="C31" s="0" t="n">
        <v>2</v>
      </c>
      <c r="D31" s="0" t="n">
        <v>0</v>
      </c>
      <c r="E31" s="0" t="n">
        <v>5017</v>
      </c>
      <c r="F31" s="0" t="str">
        <f aca="false">"W"&amp;ROWS(F$18:F31)&amp;"W"</f>
        <v>W14W</v>
      </c>
      <c r="G31" s="0" t="n">
        <v>45</v>
      </c>
      <c r="H31" s="0" t="n">
        <v>45</v>
      </c>
      <c r="J31" s="0" t="n">
        <v>4</v>
      </c>
      <c r="K31" s="0" t="n">
        <v>10</v>
      </c>
      <c r="L31" s="0" t="n">
        <f aca="false">+J31*10</f>
        <v>40</v>
      </c>
    </row>
    <row r="32" customFormat="false" ht="15" hidden="false" customHeight="false" outlineLevel="0" collapsed="false">
      <c r="B32" s="0" t="n">
        <v>1180</v>
      </c>
      <c r="C32" s="0" t="n">
        <v>2</v>
      </c>
      <c r="D32" s="0" t="n">
        <v>0</v>
      </c>
      <c r="E32" s="0" t="n">
        <v>5017</v>
      </c>
      <c r="F32" s="0" t="str">
        <f aca="false">"W"&amp;ROWS(F$18:F32)&amp;"W"</f>
        <v>W15W</v>
      </c>
      <c r="G32" s="0" t="n">
        <v>45</v>
      </c>
      <c r="H32" s="0" t="n">
        <v>45</v>
      </c>
    </row>
    <row r="33" customFormat="false" ht="15" hidden="false" customHeight="false" outlineLevel="0" collapsed="false">
      <c r="B33" s="0" t="n">
        <v>840</v>
      </c>
      <c r="C33" s="0" t="n">
        <v>2</v>
      </c>
      <c r="D33" s="0" t="n">
        <v>0</v>
      </c>
      <c r="E33" s="0" t="n">
        <v>5017</v>
      </c>
      <c r="F33" s="0" t="str">
        <f aca="false">"W"&amp;ROWS(F$18:F33)&amp;"W"</f>
        <v>W16W</v>
      </c>
      <c r="G33" s="0" t="n">
        <v>45</v>
      </c>
      <c r="H33" s="0" t="n">
        <v>45</v>
      </c>
      <c r="P33" s="0" t="n">
        <v>5017</v>
      </c>
    </row>
    <row r="34" customFormat="false" ht="15" hidden="false" customHeight="false" outlineLevel="0" collapsed="false">
      <c r="B34" s="0" t="n">
        <v>1200</v>
      </c>
      <c r="C34" s="0" t="n">
        <v>2</v>
      </c>
      <c r="D34" s="0" t="n">
        <v>0</v>
      </c>
      <c r="E34" s="0" t="n">
        <v>5017</v>
      </c>
      <c r="F34" s="0" t="str">
        <f aca="false">"W"&amp;ROWS(F$18:F34)&amp;"W"</f>
        <v>W17W</v>
      </c>
      <c r="G34" s="0" t="n">
        <v>45</v>
      </c>
      <c r="H34" s="0" t="n">
        <v>45</v>
      </c>
      <c r="P34" s="0" t="n">
        <v>5019</v>
      </c>
    </row>
    <row r="35" customFormat="false" ht="15" hidden="false" customHeight="false" outlineLevel="0" collapsed="false">
      <c r="B35" s="0" t="n">
        <v>1200</v>
      </c>
      <c r="C35" s="0" t="n">
        <v>2</v>
      </c>
      <c r="D35" s="0" t="n">
        <v>0</v>
      </c>
      <c r="E35" s="0" t="n">
        <v>5017</v>
      </c>
      <c r="F35" s="0" t="str">
        <f aca="false">"W"&amp;ROWS(F$18:F35)&amp;"W"</f>
        <v>W18W</v>
      </c>
      <c r="G35" s="0" t="n">
        <v>45</v>
      </c>
      <c r="H35" s="0" t="n">
        <v>45</v>
      </c>
      <c r="P35" s="0" t="n">
        <v>5023</v>
      </c>
    </row>
    <row r="36" customFormat="false" ht="15" hidden="false" customHeight="false" outlineLevel="0" collapsed="false">
      <c r="B36" s="0" t="n">
        <v>1200</v>
      </c>
      <c r="C36" s="0" t="n">
        <v>2</v>
      </c>
      <c r="D36" s="0" t="n">
        <v>0</v>
      </c>
      <c r="E36" s="0" t="n">
        <v>5017</v>
      </c>
      <c r="F36" s="0" t="str">
        <f aca="false">"W"&amp;ROWS(F$18:F36)&amp;"W"</f>
        <v>W19W</v>
      </c>
      <c r="G36" s="0" t="n">
        <v>45</v>
      </c>
      <c r="H36" s="0" t="n">
        <v>45</v>
      </c>
      <c r="P36" s="0" t="n">
        <v>5025</v>
      </c>
    </row>
    <row r="37" customFormat="false" ht="15" hidden="false" customHeight="false" outlineLevel="0" collapsed="false">
      <c r="B37" s="0" t="n">
        <v>1150</v>
      </c>
      <c r="C37" s="0" t="n">
        <v>2</v>
      </c>
      <c r="D37" s="0" t="n">
        <v>0</v>
      </c>
      <c r="E37" s="0" t="n">
        <v>5017</v>
      </c>
      <c r="F37" s="0" t="str">
        <f aca="false">"W"&amp;ROWS(F$18:F37)&amp;"W"</f>
        <v>W20W</v>
      </c>
      <c r="G37" s="0" t="n">
        <v>45</v>
      </c>
      <c r="H37" s="0" t="n">
        <v>45</v>
      </c>
      <c r="P37" s="0" t="n">
        <v>5013</v>
      </c>
    </row>
    <row r="38" customFormat="false" ht="15" hidden="false" customHeight="false" outlineLevel="0" collapsed="false">
      <c r="B38" s="0" t="n">
        <v>800</v>
      </c>
      <c r="C38" s="0" t="n">
        <v>2</v>
      </c>
      <c r="D38" s="0" t="n">
        <v>0</v>
      </c>
      <c r="E38" s="0" t="n">
        <v>5017</v>
      </c>
      <c r="F38" s="0" t="str">
        <f aca="false">"W"&amp;ROWS(F$18:F38)&amp;"W"</f>
        <v>W21W</v>
      </c>
      <c r="G38" s="0" t="n">
        <v>45</v>
      </c>
      <c r="H38" s="0" t="n">
        <v>45</v>
      </c>
      <c r="P38" s="0" t="n">
        <v>1338</v>
      </c>
    </row>
    <row r="39" customFormat="false" ht="15" hidden="false" customHeight="false" outlineLevel="0" collapsed="false">
      <c r="B39" s="0" t="n">
        <v>1200</v>
      </c>
      <c r="C39" s="0" t="n">
        <v>2</v>
      </c>
      <c r="D39" s="0" t="n">
        <v>0</v>
      </c>
      <c r="E39" s="0" t="n">
        <v>5017</v>
      </c>
      <c r="F39" s="0" t="str">
        <f aca="false">"W"&amp;ROWS(F$18:F39)&amp;"W"</f>
        <v>W22W</v>
      </c>
      <c r="G39" s="0" t="n">
        <v>45</v>
      </c>
      <c r="H39" s="0" t="n">
        <v>45</v>
      </c>
    </row>
    <row r="40" customFormat="false" ht="15" hidden="false" customHeight="false" outlineLevel="0" collapsed="false">
      <c r="B40" s="0" t="n">
        <v>1150</v>
      </c>
      <c r="C40" s="0" t="n">
        <v>2</v>
      </c>
      <c r="D40" s="0" t="n">
        <v>0</v>
      </c>
      <c r="E40" s="0" t="n">
        <v>5017</v>
      </c>
      <c r="F40" s="0" t="str">
        <f aca="false">"W"&amp;ROWS(F$18:F40)&amp;"W"</f>
        <v>W23W</v>
      </c>
      <c r="G40" s="0" t="n">
        <v>45</v>
      </c>
      <c r="H40" s="0" t="n">
        <v>45</v>
      </c>
    </row>
    <row r="41" customFormat="false" ht="15" hidden="false" customHeight="false" outlineLevel="0" collapsed="false">
      <c r="B41" s="0" t="n">
        <v>800</v>
      </c>
      <c r="C41" s="0" t="n">
        <v>2</v>
      </c>
      <c r="D41" s="0" t="n">
        <v>0</v>
      </c>
      <c r="E41" s="0" t="n">
        <v>5017</v>
      </c>
      <c r="F41" s="0" t="str">
        <f aca="false">"W"&amp;ROWS(F$18:F41)&amp;"W"</f>
        <v>W24W</v>
      </c>
      <c r="G41" s="0" t="n">
        <v>45</v>
      </c>
      <c r="H41" s="0" t="n">
        <v>45</v>
      </c>
    </row>
    <row r="42" customFormat="false" ht="15" hidden="false" customHeight="false" outlineLevel="0" collapsed="false">
      <c r="B42" s="0" t="n">
        <v>1200</v>
      </c>
      <c r="C42" s="0" t="n">
        <v>2</v>
      </c>
      <c r="D42" s="0" t="n">
        <v>0</v>
      </c>
      <c r="E42" s="0" t="n">
        <v>5017</v>
      </c>
      <c r="F42" s="0" t="str">
        <f aca="false">"W"&amp;ROWS(F$18:F42)&amp;"W"</f>
        <v>W25W</v>
      </c>
      <c r="G42" s="0" t="n">
        <v>45</v>
      </c>
      <c r="H42" s="0" t="n">
        <v>45</v>
      </c>
    </row>
    <row r="43" customFormat="false" ht="15" hidden="false" customHeight="false" outlineLevel="0" collapsed="false">
      <c r="B43" s="0" t="n">
        <v>1200</v>
      </c>
      <c r="C43" s="0" t="n">
        <v>2</v>
      </c>
      <c r="D43" s="0" t="n">
        <v>0</v>
      </c>
      <c r="E43" s="0" t="n">
        <v>5017</v>
      </c>
      <c r="F43" s="0" t="str">
        <f aca="false">"W"&amp;ROWS(F$18:F43)&amp;"W"</f>
        <v>W26W</v>
      </c>
      <c r="G43" s="0" t="n">
        <v>45</v>
      </c>
      <c r="H43" s="0" t="n">
        <v>45</v>
      </c>
    </row>
    <row r="44" customFormat="false" ht="15" hidden="false" customHeight="false" outlineLevel="0" collapsed="false">
      <c r="B44" s="0" t="n">
        <v>3580</v>
      </c>
      <c r="C44" s="0" t="n">
        <v>2</v>
      </c>
      <c r="D44" s="0" t="n">
        <v>0</v>
      </c>
      <c r="E44" s="0" t="n">
        <v>5017</v>
      </c>
      <c r="F44" s="0" t="str">
        <f aca="false">"W"&amp;ROWS(F$18:F44)&amp;"W"</f>
        <v>W27W</v>
      </c>
      <c r="G44" s="0" t="n">
        <v>45</v>
      </c>
      <c r="H44" s="0" t="n">
        <v>45</v>
      </c>
    </row>
    <row r="45" customFormat="false" ht="15" hidden="false" customHeight="false" outlineLevel="0" collapsed="false">
      <c r="B45" s="0" t="n">
        <v>2500</v>
      </c>
      <c r="C45" s="0" t="n">
        <v>2</v>
      </c>
      <c r="D45" s="0" t="n">
        <v>0</v>
      </c>
      <c r="E45" s="0" t="n">
        <v>5017</v>
      </c>
      <c r="F45" s="0" t="str">
        <f aca="false">"W"&amp;ROWS(F$18:F45)&amp;"W"</f>
        <v>W28W</v>
      </c>
      <c r="G45" s="0" t="n">
        <v>45</v>
      </c>
      <c r="H45" s="0" t="n">
        <v>45</v>
      </c>
    </row>
    <row r="46" customFormat="false" ht="15" hidden="false" customHeight="false" outlineLevel="0" collapsed="false">
      <c r="B46" s="0" t="n">
        <v>1570</v>
      </c>
      <c r="C46" s="0" t="n">
        <v>2</v>
      </c>
      <c r="D46" s="0" t="n">
        <v>0</v>
      </c>
      <c r="E46" s="0" t="n">
        <v>5017</v>
      </c>
      <c r="F46" s="0" t="str">
        <f aca="false">"W"&amp;ROWS(F$18:F46)&amp;"W"</f>
        <v>W29W</v>
      </c>
      <c r="G46" s="0" t="n">
        <v>45</v>
      </c>
      <c r="H46" s="0" t="n">
        <v>45</v>
      </c>
    </row>
    <row r="47" customFormat="false" ht="15" hidden="false" customHeight="false" outlineLevel="0" collapsed="false">
      <c r="B47" s="0" t="n">
        <v>1170</v>
      </c>
      <c r="C47" s="0" t="n">
        <v>2</v>
      </c>
      <c r="D47" s="0" t="n">
        <v>0</v>
      </c>
      <c r="E47" s="0" t="n">
        <v>5017</v>
      </c>
      <c r="F47" s="0" t="str">
        <f aca="false">"W"&amp;ROWS(F$18:F47)&amp;"W"</f>
        <v>W30W</v>
      </c>
      <c r="G47" s="0" t="n">
        <v>45</v>
      </c>
      <c r="H47" s="0" t="n">
        <v>45</v>
      </c>
    </row>
    <row r="48" customFormat="false" ht="15" hidden="false" customHeight="false" outlineLevel="0" collapsed="false">
      <c r="B48" s="0" t="n">
        <v>1170</v>
      </c>
      <c r="C48" s="0" t="n">
        <v>2</v>
      </c>
      <c r="D48" s="0" t="n">
        <v>0</v>
      </c>
      <c r="E48" s="0" t="n">
        <v>5017</v>
      </c>
      <c r="F48" s="0" t="str">
        <f aca="false">"W"&amp;ROWS(F$18:F48)&amp;"W"</f>
        <v>W31W</v>
      </c>
      <c r="G48" s="0" t="n">
        <v>45</v>
      </c>
      <c r="H48" s="0" t="n">
        <v>45</v>
      </c>
    </row>
    <row r="49" customFormat="false" ht="15" hidden="false" customHeight="false" outlineLevel="0" collapsed="false">
      <c r="B49" s="0" t="n">
        <v>1930</v>
      </c>
      <c r="C49" s="0" t="n">
        <v>2</v>
      </c>
      <c r="D49" s="0" t="n">
        <v>0</v>
      </c>
      <c r="E49" s="0" t="n">
        <v>5017</v>
      </c>
      <c r="F49" s="0" t="str">
        <f aca="false">"W"&amp;ROWS(F$18:F49)&amp;"W"</f>
        <v>W32W</v>
      </c>
      <c r="G49" s="0" t="n">
        <v>45</v>
      </c>
      <c r="H49" s="0" t="n">
        <v>45</v>
      </c>
    </row>
    <row r="50" customFormat="false" ht="15" hidden="false" customHeight="false" outlineLevel="0" collapsed="false">
      <c r="B50" s="0" t="n">
        <v>690</v>
      </c>
      <c r="C50" s="0" t="n">
        <v>2</v>
      </c>
      <c r="D50" s="0" t="n">
        <v>0</v>
      </c>
      <c r="E50" s="0" t="n">
        <v>5017</v>
      </c>
      <c r="F50" s="0" t="str">
        <f aca="false">"W"&amp;ROWS(F$50:F50)&amp;"H"</f>
        <v>W1H</v>
      </c>
      <c r="G50" s="0" t="n">
        <v>45</v>
      </c>
      <c r="H50" s="0" t="n">
        <v>45</v>
      </c>
    </row>
    <row r="51" customFormat="false" ht="15" hidden="false" customHeight="false" outlineLevel="0" collapsed="false">
      <c r="B51" s="0" t="n">
        <v>970</v>
      </c>
      <c r="C51" s="0" t="n">
        <v>2</v>
      </c>
      <c r="D51" s="0" t="n">
        <v>0</v>
      </c>
      <c r="E51" s="0" t="n">
        <v>5017</v>
      </c>
      <c r="F51" s="0" t="str">
        <f aca="false">"W"&amp;ROWS(F$50:F51)&amp;"H"</f>
        <v>W2H</v>
      </c>
      <c r="G51" s="0" t="n">
        <v>45</v>
      </c>
      <c r="H51" s="0" t="n">
        <v>45</v>
      </c>
    </row>
    <row r="52" customFormat="false" ht="15" hidden="false" customHeight="false" outlineLevel="0" collapsed="false">
      <c r="B52" s="0" t="n">
        <v>890</v>
      </c>
      <c r="C52" s="0" t="n">
        <v>2</v>
      </c>
      <c r="D52" s="0" t="n">
        <v>0</v>
      </c>
      <c r="E52" s="0" t="n">
        <v>5017</v>
      </c>
      <c r="F52" s="0" t="str">
        <f aca="false">"W"&amp;ROWS(F$50:F52)&amp;"H"</f>
        <v>W3H</v>
      </c>
      <c r="G52" s="0" t="n">
        <v>45</v>
      </c>
      <c r="H52" s="0" t="n">
        <v>45</v>
      </c>
    </row>
    <row r="53" customFormat="false" ht="15" hidden="false" customHeight="false" outlineLevel="0" collapsed="false">
      <c r="B53" s="0" t="n">
        <v>800</v>
      </c>
      <c r="C53" s="0" t="n">
        <v>2</v>
      </c>
      <c r="D53" s="0" t="n">
        <v>0</v>
      </c>
      <c r="E53" s="0" t="n">
        <v>5017</v>
      </c>
      <c r="F53" s="0" t="str">
        <f aca="false">"W"&amp;ROWS(F$50:F53)&amp;"H"</f>
        <v>W4H</v>
      </c>
      <c r="G53" s="0" t="n">
        <v>45</v>
      </c>
      <c r="H53" s="0" t="n">
        <v>45</v>
      </c>
    </row>
    <row r="54" customFormat="false" ht="15" hidden="false" customHeight="false" outlineLevel="0" collapsed="false">
      <c r="B54" s="0" t="n">
        <v>970</v>
      </c>
      <c r="C54" s="0" t="n">
        <v>2</v>
      </c>
      <c r="D54" s="0" t="n">
        <v>0</v>
      </c>
      <c r="E54" s="0" t="n">
        <v>5017</v>
      </c>
      <c r="F54" s="0" t="str">
        <f aca="false">"W"&amp;ROWS(F$50:F54)&amp;"H"</f>
        <v>W5H</v>
      </c>
      <c r="G54" s="0" t="n">
        <v>45</v>
      </c>
      <c r="H54" s="0" t="n">
        <v>45</v>
      </c>
    </row>
    <row r="55" customFormat="false" ht="15" hidden="false" customHeight="false" outlineLevel="0" collapsed="false">
      <c r="B55" s="0" t="n">
        <v>800</v>
      </c>
      <c r="C55" s="0" t="n">
        <v>2</v>
      </c>
      <c r="D55" s="0" t="n">
        <v>0</v>
      </c>
      <c r="E55" s="0" t="n">
        <v>5017</v>
      </c>
      <c r="F55" s="0" t="str">
        <f aca="false">"W"&amp;ROWS(F$50:F55)&amp;"H"</f>
        <v>W6H</v>
      </c>
      <c r="G55" s="0" t="n">
        <v>45</v>
      </c>
      <c r="H55" s="0" t="n">
        <v>45</v>
      </c>
    </row>
    <row r="56" customFormat="false" ht="15" hidden="false" customHeight="false" outlineLevel="0" collapsed="false">
      <c r="B56" s="0" t="n">
        <v>800</v>
      </c>
      <c r="C56" s="0" t="n">
        <v>2</v>
      </c>
      <c r="D56" s="0" t="n">
        <v>0</v>
      </c>
      <c r="E56" s="0" t="n">
        <v>5017</v>
      </c>
      <c r="F56" s="0" t="str">
        <f aca="false">"W"&amp;ROWS(F$50:F56)&amp;"H"</f>
        <v>W7H</v>
      </c>
      <c r="G56" s="0" t="n">
        <v>45</v>
      </c>
      <c r="H56" s="0" t="n">
        <v>45</v>
      </c>
    </row>
    <row r="57" customFormat="false" ht="15" hidden="false" customHeight="false" outlineLevel="0" collapsed="false">
      <c r="B57" s="0" t="n">
        <v>960</v>
      </c>
      <c r="C57" s="0" t="n">
        <v>2</v>
      </c>
      <c r="D57" s="0" t="n">
        <v>0</v>
      </c>
      <c r="E57" s="0" t="n">
        <v>5017</v>
      </c>
      <c r="F57" s="0" t="str">
        <f aca="false">"W"&amp;ROWS(F$50:F57)&amp;"H"</f>
        <v>W8H</v>
      </c>
      <c r="G57" s="0" t="n">
        <v>45</v>
      </c>
      <c r="H57" s="0" t="n">
        <v>45</v>
      </c>
    </row>
    <row r="58" customFormat="false" ht="15" hidden="false" customHeight="false" outlineLevel="0" collapsed="false">
      <c r="B58" s="0" t="n">
        <v>800</v>
      </c>
      <c r="C58" s="0" t="n">
        <v>2</v>
      </c>
      <c r="D58" s="0" t="n">
        <v>0</v>
      </c>
      <c r="E58" s="0" t="n">
        <v>5017</v>
      </c>
      <c r="F58" s="0" t="str">
        <f aca="false">"W"&amp;ROWS(F$50:F58)&amp;"H"</f>
        <v>W9H</v>
      </c>
      <c r="G58" s="0" t="n">
        <v>45</v>
      </c>
      <c r="H58" s="0" t="n">
        <v>45</v>
      </c>
    </row>
    <row r="59" customFormat="false" ht="15" hidden="false" customHeight="false" outlineLevel="0" collapsed="false">
      <c r="B59" s="0" t="n">
        <v>800</v>
      </c>
      <c r="C59" s="0" t="n">
        <v>2</v>
      </c>
      <c r="D59" s="0" t="n">
        <v>0</v>
      </c>
      <c r="E59" s="0" t="n">
        <v>5017</v>
      </c>
      <c r="F59" s="0" t="str">
        <f aca="false">"W"&amp;ROWS(F$50:F59)&amp;"H"</f>
        <v>W10H</v>
      </c>
      <c r="G59" s="0" t="n">
        <v>45</v>
      </c>
      <c r="H59" s="0" t="n">
        <v>45</v>
      </c>
    </row>
    <row r="60" customFormat="false" ht="15" hidden="false" customHeight="false" outlineLevel="0" collapsed="false">
      <c r="B60" s="0" t="n">
        <v>800</v>
      </c>
      <c r="C60" s="0" t="n">
        <v>2</v>
      </c>
      <c r="D60" s="0" t="n">
        <v>0</v>
      </c>
      <c r="E60" s="0" t="n">
        <v>5017</v>
      </c>
      <c r="F60" s="0" t="str">
        <f aca="false">"W"&amp;ROWS(F$50:F60)&amp;"H"</f>
        <v>W11H</v>
      </c>
      <c r="G60" s="0" t="n">
        <v>45</v>
      </c>
      <c r="H60" s="0" t="n">
        <v>45</v>
      </c>
    </row>
    <row r="61" customFormat="false" ht="15" hidden="false" customHeight="false" outlineLevel="0" collapsed="false">
      <c r="B61" s="0" t="n">
        <v>1070</v>
      </c>
      <c r="C61" s="0" t="n">
        <v>2</v>
      </c>
      <c r="D61" s="0" t="n">
        <v>0</v>
      </c>
      <c r="E61" s="0" t="n">
        <v>5017</v>
      </c>
      <c r="F61" s="0" t="str">
        <f aca="false">"W"&amp;ROWS(F$50:F61)&amp;"H"</f>
        <v>W12H</v>
      </c>
      <c r="G61" s="0" t="n">
        <v>45</v>
      </c>
      <c r="H61" s="0" t="n">
        <v>45</v>
      </c>
    </row>
    <row r="62" customFormat="false" ht="15" hidden="false" customHeight="false" outlineLevel="0" collapsed="false">
      <c r="B62" s="0" t="n">
        <v>800</v>
      </c>
      <c r="C62" s="0" t="n">
        <v>2</v>
      </c>
      <c r="D62" s="0" t="n">
        <v>0</v>
      </c>
      <c r="E62" s="0" t="n">
        <v>5017</v>
      </c>
      <c r="F62" s="0" t="str">
        <f aca="false">"W"&amp;ROWS(F$50:F62)&amp;"H"</f>
        <v>W13H</v>
      </c>
      <c r="G62" s="0" t="n">
        <v>45</v>
      </c>
      <c r="H62" s="0" t="n">
        <v>45</v>
      </c>
    </row>
    <row r="63" customFormat="false" ht="15" hidden="false" customHeight="false" outlineLevel="0" collapsed="false">
      <c r="B63" s="0" t="n">
        <v>800</v>
      </c>
      <c r="C63" s="0" t="n">
        <v>2</v>
      </c>
      <c r="D63" s="0" t="n">
        <v>0</v>
      </c>
      <c r="E63" s="0" t="n">
        <v>5017</v>
      </c>
      <c r="F63" s="0" t="str">
        <f aca="false">"W"&amp;ROWS(F$50:F63)&amp;"H"</f>
        <v>W14H</v>
      </c>
      <c r="G63" s="0" t="n">
        <v>45</v>
      </c>
      <c r="H63" s="0" t="n">
        <v>45</v>
      </c>
    </row>
    <row r="64" customFormat="false" ht="15" hidden="false" customHeight="false" outlineLevel="0" collapsed="false">
      <c r="B64" s="0" t="n">
        <v>1130</v>
      </c>
      <c r="C64" s="0" t="n">
        <v>2</v>
      </c>
      <c r="D64" s="0" t="n">
        <v>0</v>
      </c>
      <c r="E64" s="0" t="n">
        <v>5017</v>
      </c>
      <c r="F64" s="0" t="str">
        <f aca="false">"W"&amp;ROWS(F$50:F64)&amp;"H"</f>
        <v>W15H</v>
      </c>
      <c r="G64" s="0" t="n">
        <v>45</v>
      </c>
      <c r="H64" s="0" t="n">
        <v>45</v>
      </c>
    </row>
    <row r="65" customFormat="false" ht="15" hidden="false" customHeight="false" outlineLevel="0" collapsed="false">
      <c r="B65" s="0" t="n">
        <v>800</v>
      </c>
      <c r="C65" s="0" t="n">
        <v>2</v>
      </c>
      <c r="D65" s="0" t="n">
        <v>0</v>
      </c>
      <c r="E65" s="0" t="n">
        <v>5017</v>
      </c>
      <c r="F65" s="0" t="str">
        <f aca="false">"W"&amp;ROWS(F$50:F65)&amp;"H"</f>
        <v>W16H</v>
      </c>
      <c r="G65" s="0" t="n">
        <v>45</v>
      </c>
      <c r="H65" s="0" t="n">
        <v>45</v>
      </c>
    </row>
    <row r="66" customFormat="false" ht="15" hidden="false" customHeight="false" outlineLevel="0" collapsed="false">
      <c r="B66" s="0" t="n">
        <v>800</v>
      </c>
      <c r="C66" s="0" t="n">
        <v>2</v>
      </c>
      <c r="D66" s="0" t="n">
        <v>0</v>
      </c>
      <c r="E66" s="0" t="n">
        <v>5017</v>
      </c>
      <c r="F66" s="0" t="str">
        <f aca="false">"W"&amp;ROWS(F$50:F66)&amp;"H"</f>
        <v>W17H</v>
      </c>
      <c r="G66" s="0" t="n">
        <v>45</v>
      </c>
      <c r="H66" s="0" t="n">
        <v>45</v>
      </c>
    </row>
    <row r="67" customFormat="false" ht="15" hidden="false" customHeight="false" outlineLevel="0" collapsed="false">
      <c r="B67" s="0" t="n">
        <v>800</v>
      </c>
      <c r="C67" s="0" t="n">
        <v>2</v>
      </c>
      <c r="D67" s="0" t="n">
        <v>0</v>
      </c>
      <c r="E67" s="0" t="n">
        <v>5017</v>
      </c>
      <c r="F67" s="0" t="str">
        <f aca="false">"W"&amp;ROWS(F$50:F67)&amp;"H"</f>
        <v>W18H</v>
      </c>
      <c r="G67" s="0" t="n">
        <v>45</v>
      </c>
      <c r="H67" s="0" t="n">
        <v>45</v>
      </c>
    </row>
    <row r="68" customFormat="false" ht="15" hidden="false" customHeight="false" outlineLevel="0" collapsed="false">
      <c r="B68" s="0" t="n">
        <v>860</v>
      </c>
      <c r="C68" s="0" t="n">
        <v>2</v>
      </c>
      <c r="D68" s="0" t="n">
        <v>0</v>
      </c>
      <c r="E68" s="0" t="n">
        <v>5017</v>
      </c>
      <c r="F68" s="0" t="str">
        <f aca="false">"W"&amp;ROWS(F$50:F68)&amp;"H"</f>
        <v>W19H</v>
      </c>
      <c r="G68" s="0" t="n">
        <v>45</v>
      </c>
      <c r="H68" s="0" t="n">
        <v>45</v>
      </c>
    </row>
    <row r="69" customFormat="false" ht="15" hidden="false" customHeight="false" outlineLevel="0" collapsed="false">
      <c r="B69" s="0" t="n">
        <v>1140</v>
      </c>
      <c r="C69" s="0" t="n">
        <v>2</v>
      </c>
      <c r="D69" s="0" t="n">
        <v>0</v>
      </c>
      <c r="E69" s="0" t="n">
        <v>5017</v>
      </c>
      <c r="F69" s="0" t="str">
        <f aca="false">"W"&amp;ROWS(F$50:F69)&amp;"H"</f>
        <v>W20H</v>
      </c>
      <c r="G69" s="0" t="n">
        <v>45</v>
      </c>
      <c r="H69" s="0" t="n">
        <v>45</v>
      </c>
    </row>
    <row r="70" customFormat="false" ht="15" hidden="false" customHeight="false" outlineLevel="0" collapsed="false">
      <c r="B70" s="0" t="n">
        <v>850</v>
      </c>
      <c r="C70" s="0" t="n">
        <v>2</v>
      </c>
      <c r="D70" s="0" t="n">
        <v>0</v>
      </c>
      <c r="E70" s="0" t="n">
        <v>5017</v>
      </c>
      <c r="F70" s="0" t="str">
        <f aca="false">"W"&amp;ROWS(F$50:F70)&amp;"H"</f>
        <v>W21H</v>
      </c>
      <c r="G70" s="0" t="n">
        <v>45</v>
      </c>
      <c r="H70" s="0" t="n">
        <v>45</v>
      </c>
    </row>
    <row r="71" customFormat="false" ht="15" hidden="false" customHeight="false" outlineLevel="0" collapsed="false">
      <c r="B71" s="0" t="n">
        <v>850</v>
      </c>
      <c r="C71" s="0" t="n">
        <v>2</v>
      </c>
      <c r="D71" s="0" t="n">
        <v>0</v>
      </c>
      <c r="E71" s="0" t="n">
        <v>5017</v>
      </c>
      <c r="F71" s="0" t="str">
        <f aca="false">"W"&amp;ROWS(F$50:F71)&amp;"H"</f>
        <v>W22H</v>
      </c>
      <c r="G71" s="0" t="n">
        <v>45</v>
      </c>
      <c r="H71" s="0" t="n">
        <v>45</v>
      </c>
    </row>
    <row r="72" customFormat="false" ht="15" hidden="false" customHeight="false" outlineLevel="0" collapsed="false">
      <c r="B72" s="0" t="n">
        <v>1140</v>
      </c>
      <c r="C72" s="0" t="n">
        <v>2</v>
      </c>
      <c r="D72" s="0" t="n">
        <v>0</v>
      </c>
      <c r="E72" s="0" t="n">
        <v>5017</v>
      </c>
      <c r="F72" s="0" t="str">
        <f aca="false">"W"&amp;ROWS(F$50:F72)&amp;"H"</f>
        <v>W23H</v>
      </c>
      <c r="G72" s="0" t="n">
        <v>45</v>
      </c>
      <c r="H72" s="0" t="n">
        <v>45</v>
      </c>
    </row>
    <row r="73" customFormat="false" ht="15" hidden="false" customHeight="false" outlineLevel="0" collapsed="false">
      <c r="B73" s="0" t="n">
        <v>850</v>
      </c>
      <c r="C73" s="0" t="n">
        <v>2</v>
      </c>
      <c r="D73" s="0" t="n">
        <v>0</v>
      </c>
      <c r="E73" s="0" t="n">
        <v>5017</v>
      </c>
      <c r="F73" s="0" t="str">
        <f aca="false">"W"&amp;ROWS(F$50:F73)&amp;"H"</f>
        <v>W24H</v>
      </c>
      <c r="G73" s="0" t="n">
        <v>45</v>
      </c>
      <c r="H73" s="0" t="n">
        <v>45</v>
      </c>
    </row>
    <row r="74" customFormat="false" ht="15" hidden="false" customHeight="false" outlineLevel="0" collapsed="false">
      <c r="B74" s="0" t="n">
        <v>900</v>
      </c>
      <c r="C74" s="0" t="n">
        <v>2</v>
      </c>
      <c r="D74" s="0" t="n">
        <v>0</v>
      </c>
      <c r="E74" s="0" t="n">
        <v>5017</v>
      </c>
      <c r="F74" s="0" t="str">
        <f aca="false">"W"&amp;ROWS(F$50:F74)&amp;"H"</f>
        <v>W25H</v>
      </c>
      <c r="G74" s="0" t="n">
        <v>45</v>
      </c>
      <c r="H74" s="0" t="n">
        <v>45</v>
      </c>
    </row>
    <row r="75" customFormat="false" ht="15" hidden="false" customHeight="false" outlineLevel="0" collapsed="false">
      <c r="B75" s="0" t="n">
        <v>870</v>
      </c>
      <c r="C75" s="0" t="n">
        <v>2</v>
      </c>
      <c r="D75" s="0" t="n">
        <v>0</v>
      </c>
      <c r="E75" s="0" t="n">
        <v>5017</v>
      </c>
      <c r="F75" s="0" t="str">
        <f aca="false">"W"&amp;ROWS(F$50:F75)&amp;"H"</f>
        <v>W26H</v>
      </c>
      <c r="G75" s="0" t="n">
        <v>45</v>
      </c>
      <c r="H75" s="0" t="n">
        <v>45</v>
      </c>
    </row>
    <row r="76" customFormat="false" ht="15" hidden="false" customHeight="false" outlineLevel="0" collapsed="false">
      <c r="B76" s="0" t="n">
        <v>2140</v>
      </c>
      <c r="C76" s="0" t="n">
        <v>2</v>
      </c>
      <c r="D76" s="0" t="n">
        <v>0</v>
      </c>
      <c r="E76" s="0" t="n">
        <v>5017</v>
      </c>
      <c r="F76" s="0" t="str">
        <f aca="false">"W"&amp;ROWS(F$50:F76)&amp;"H"</f>
        <v>W27H</v>
      </c>
      <c r="G76" s="0" t="n">
        <v>45</v>
      </c>
      <c r="H76" s="0" t="n">
        <v>45</v>
      </c>
    </row>
    <row r="77" customFormat="false" ht="15" hidden="false" customHeight="false" outlineLevel="0" collapsed="false">
      <c r="B77" s="0" t="n">
        <v>2160</v>
      </c>
      <c r="C77" s="0" t="n">
        <v>2</v>
      </c>
      <c r="D77" s="0" t="n">
        <v>0</v>
      </c>
      <c r="E77" s="0" t="n">
        <v>5017</v>
      </c>
      <c r="F77" s="0" t="str">
        <f aca="false">"W"&amp;ROWS(F$50:F77)&amp;"H"</f>
        <v>W28H</v>
      </c>
      <c r="G77" s="0" t="n">
        <v>45</v>
      </c>
      <c r="H77" s="0" t="n">
        <v>45</v>
      </c>
    </row>
    <row r="78" customFormat="false" ht="15" hidden="false" customHeight="false" outlineLevel="0" collapsed="false">
      <c r="B78" s="0" t="n">
        <v>990</v>
      </c>
      <c r="C78" s="0" t="n">
        <v>2</v>
      </c>
      <c r="D78" s="0" t="n">
        <v>0</v>
      </c>
      <c r="E78" s="0" t="n">
        <v>5017</v>
      </c>
      <c r="F78" s="0" t="str">
        <f aca="false">"W"&amp;ROWS(F$50:F78)&amp;"H"</f>
        <v>W29H</v>
      </c>
      <c r="G78" s="0" t="n">
        <v>45</v>
      </c>
      <c r="H78" s="0" t="n">
        <v>45</v>
      </c>
    </row>
    <row r="79" customFormat="false" ht="15" hidden="false" customHeight="false" outlineLevel="0" collapsed="false">
      <c r="B79" s="0" t="n">
        <v>900</v>
      </c>
      <c r="C79" s="0" t="n">
        <v>2</v>
      </c>
      <c r="D79" s="0" t="n">
        <v>0</v>
      </c>
      <c r="E79" s="0" t="n">
        <v>5017</v>
      </c>
      <c r="F79" s="0" t="str">
        <f aca="false">"W"&amp;ROWS(F$50:F79)&amp;"H"</f>
        <v>W30H</v>
      </c>
      <c r="G79" s="0" t="n">
        <v>45</v>
      </c>
      <c r="H79" s="0" t="n">
        <v>45</v>
      </c>
    </row>
    <row r="80" customFormat="false" ht="15" hidden="false" customHeight="false" outlineLevel="0" collapsed="false">
      <c r="B80" s="0" t="n">
        <v>920</v>
      </c>
      <c r="C80" s="0" t="n">
        <v>2</v>
      </c>
      <c r="D80" s="0" t="n">
        <v>0</v>
      </c>
      <c r="E80" s="0" t="n">
        <v>5017</v>
      </c>
      <c r="F80" s="0" t="str">
        <f aca="false">"W"&amp;ROWS(F$50:F80)&amp;"H"</f>
        <v>W31H</v>
      </c>
      <c r="G80" s="0" t="n">
        <v>45</v>
      </c>
      <c r="H80" s="0" t="n">
        <v>45</v>
      </c>
    </row>
    <row r="81" customFormat="false" ht="15" hidden="false" customHeight="false" outlineLevel="0" collapsed="false">
      <c r="B81" s="0" t="n">
        <v>1900</v>
      </c>
      <c r="C81" s="0" t="n">
        <v>3</v>
      </c>
      <c r="D81" s="0" t="n">
        <v>0</v>
      </c>
      <c r="E81" s="0" t="n">
        <v>5017</v>
      </c>
      <c r="F81" s="0" t="str">
        <f aca="false">"W"&amp;ROWS(F$50:F81)&amp;"H"</f>
        <v>W32H</v>
      </c>
      <c r="G81" s="0" t="n">
        <v>45</v>
      </c>
      <c r="H81" s="0" t="n">
        <v>45</v>
      </c>
    </row>
    <row r="82" customFormat="false" ht="15" hidden="false" customHeight="false" outlineLevel="0" collapsed="false">
      <c r="B82" s="0" t="n">
        <v>840</v>
      </c>
      <c r="C82" s="0" t="n">
        <v>3</v>
      </c>
      <c r="D82" s="0" t="n">
        <v>0</v>
      </c>
      <c r="E82" s="0" t="n">
        <v>5019</v>
      </c>
      <c r="F82" s="0" t="str">
        <f aca="false">"W"&amp;ROWS(F$82:F82)&amp;"W"</f>
        <v>W1W</v>
      </c>
      <c r="G82" s="0" t="n">
        <v>45</v>
      </c>
      <c r="H82" s="0" t="n">
        <v>45</v>
      </c>
    </row>
    <row r="83" customFormat="false" ht="15" hidden="false" customHeight="false" outlineLevel="0" collapsed="false">
      <c r="B83" s="0" t="n">
        <v>980</v>
      </c>
      <c r="C83" s="0" t="n">
        <v>3</v>
      </c>
      <c r="D83" s="0" t="n">
        <v>0</v>
      </c>
      <c r="E83" s="0" t="n">
        <v>5019</v>
      </c>
      <c r="F83" s="0" t="str">
        <f aca="false">"W"&amp;ROWS(F$82:F83)&amp;"W"</f>
        <v>W2W</v>
      </c>
      <c r="G83" s="0" t="n">
        <v>45</v>
      </c>
      <c r="H83" s="0" t="n">
        <v>45</v>
      </c>
    </row>
    <row r="84" customFormat="false" ht="15" hidden="false" customHeight="false" outlineLevel="0" collapsed="false">
      <c r="B84" s="0" t="n">
        <v>870</v>
      </c>
      <c r="C84" s="0" t="n">
        <v>3</v>
      </c>
      <c r="D84" s="0" t="n">
        <v>0</v>
      </c>
      <c r="E84" s="0" t="n">
        <v>5019</v>
      </c>
      <c r="F84" s="0" t="str">
        <f aca="false">"W"&amp;ROWS(F$82:F84)&amp;"W"</f>
        <v>W3W</v>
      </c>
      <c r="G84" s="0" t="n">
        <v>45</v>
      </c>
      <c r="H84" s="0" t="n">
        <v>45</v>
      </c>
    </row>
    <row r="85" customFormat="false" ht="15" hidden="false" customHeight="false" outlineLevel="0" collapsed="false">
      <c r="B85" s="0" t="n">
        <v>1200</v>
      </c>
      <c r="C85" s="0" t="n">
        <v>3</v>
      </c>
      <c r="D85" s="0" t="n">
        <v>0</v>
      </c>
      <c r="E85" s="0" t="n">
        <v>5019</v>
      </c>
      <c r="F85" s="0" t="str">
        <f aca="false">"W"&amp;ROWS(F$82:F85)&amp;"W"</f>
        <v>W4W</v>
      </c>
      <c r="G85" s="0" t="n">
        <v>45</v>
      </c>
      <c r="H85" s="0" t="n">
        <v>45</v>
      </c>
    </row>
    <row r="86" customFormat="false" ht="15" hidden="false" customHeight="false" outlineLevel="0" collapsed="false">
      <c r="B86" s="0" t="n">
        <v>1220</v>
      </c>
      <c r="C86" s="0" t="n">
        <v>3</v>
      </c>
      <c r="D86" s="0" t="n">
        <v>0</v>
      </c>
      <c r="E86" s="0" t="n">
        <v>5019</v>
      </c>
      <c r="F86" s="0" t="str">
        <f aca="false">"W"&amp;ROWS(F$82:F86)&amp;"W"</f>
        <v>W5W</v>
      </c>
      <c r="G86" s="0" t="n">
        <v>45</v>
      </c>
      <c r="H86" s="0" t="n">
        <v>45</v>
      </c>
    </row>
    <row r="87" customFormat="false" ht="15" hidden="false" customHeight="false" outlineLevel="0" collapsed="false">
      <c r="B87" s="0" t="n">
        <v>800</v>
      </c>
      <c r="C87" s="0" t="n">
        <v>3</v>
      </c>
      <c r="D87" s="0" t="n">
        <v>0</v>
      </c>
      <c r="E87" s="0" t="n">
        <v>5019</v>
      </c>
      <c r="F87" s="0" t="str">
        <f aca="false">"W"&amp;ROWS(F$82:F87)&amp;"W"</f>
        <v>W6W</v>
      </c>
      <c r="G87" s="0" t="n">
        <v>45</v>
      </c>
      <c r="H87" s="0" t="n">
        <v>45</v>
      </c>
    </row>
    <row r="88" customFormat="false" ht="15" hidden="false" customHeight="false" outlineLevel="0" collapsed="false">
      <c r="B88" s="0" t="n">
        <v>1200</v>
      </c>
      <c r="C88" s="0" t="n">
        <v>3</v>
      </c>
      <c r="D88" s="0" t="n">
        <v>0</v>
      </c>
      <c r="E88" s="0" t="n">
        <v>5019</v>
      </c>
      <c r="F88" s="0" t="str">
        <f aca="false">"W"&amp;ROWS(F$82:F88)&amp;"W"</f>
        <v>W7W</v>
      </c>
      <c r="G88" s="0" t="n">
        <v>45</v>
      </c>
      <c r="H88" s="0" t="n">
        <v>45</v>
      </c>
    </row>
    <row r="89" customFormat="false" ht="15" hidden="false" customHeight="false" outlineLevel="0" collapsed="false">
      <c r="B89" s="0" t="n">
        <v>1210</v>
      </c>
      <c r="C89" s="0" t="n">
        <v>3</v>
      </c>
      <c r="D89" s="0" t="n">
        <v>0</v>
      </c>
      <c r="E89" s="0" t="n">
        <v>5019</v>
      </c>
      <c r="F89" s="0" t="str">
        <f aca="false">"W"&amp;ROWS(F$82:F89)&amp;"W"</f>
        <v>W8W</v>
      </c>
      <c r="G89" s="0" t="n">
        <v>45</v>
      </c>
      <c r="H89" s="0" t="n">
        <v>45</v>
      </c>
    </row>
    <row r="90" customFormat="false" ht="15" hidden="false" customHeight="false" outlineLevel="0" collapsed="false">
      <c r="B90" s="0" t="n">
        <v>800</v>
      </c>
      <c r="C90" s="0" t="n">
        <v>3</v>
      </c>
      <c r="D90" s="0" t="n">
        <v>0</v>
      </c>
      <c r="E90" s="0" t="n">
        <v>5019</v>
      </c>
      <c r="F90" s="0" t="str">
        <f aca="false">"W"&amp;ROWS(F$82:F90)&amp;"W"</f>
        <v>W9W</v>
      </c>
      <c r="G90" s="0" t="n">
        <v>45</v>
      </c>
      <c r="H90" s="0" t="n">
        <v>45</v>
      </c>
    </row>
    <row r="91" customFormat="false" ht="15" hidden="false" customHeight="false" outlineLevel="0" collapsed="false">
      <c r="B91" s="0" t="n">
        <v>1200</v>
      </c>
      <c r="C91" s="0" t="n">
        <v>3</v>
      </c>
      <c r="D91" s="0" t="n">
        <v>0</v>
      </c>
      <c r="E91" s="0" t="n">
        <v>5019</v>
      </c>
      <c r="F91" s="0" t="str">
        <f aca="false">"W"&amp;ROWS(F$82:F91)&amp;"W"</f>
        <v>W10W</v>
      </c>
      <c r="G91" s="0" t="n">
        <v>45</v>
      </c>
      <c r="H91" s="0" t="n">
        <v>45</v>
      </c>
    </row>
    <row r="92" customFormat="false" ht="15" hidden="false" customHeight="false" outlineLevel="0" collapsed="false">
      <c r="B92" s="0" t="n">
        <v>1200</v>
      </c>
      <c r="C92" s="0" t="n">
        <v>3</v>
      </c>
      <c r="D92" s="0" t="n">
        <v>0</v>
      </c>
      <c r="E92" s="0" t="n">
        <v>5019</v>
      </c>
      <c r="F92" s="0" t="str">
        <f aca="false">"W"&amp;ROWS(F$82:F92)&amp;"W"</f>
        <v>W11W</v>
      </c>
      <c r="G92" s="0" t="n">
        <v>45</v>
      </c>
      <c r="H92" s="0" t="n">
        <v>45</v>
      </c>
    </row>
    <row r="93" customFormat="false" ht="15" hidden="false" customHeight="false" outlineLevel="0" collapsed="false">
      <c r="B93" s="0" t="n">
        <v>1200</v>
      </c>
      <c r="C93" s="0" t="n">
        <v>3</v>
      </c>
      <c r="D93" s="0" t="n">
        <v>0</v>
      </c>
      <c r="E93" s="0" t="n">
        <v>5019</v>
      </c>
      <c r="F93" s="0" t="str">
        <f aca="false">"W"&amp;ROWS(F$82:F93)&amp;"W"</f>
        <v>W12W</v>
      </c>
      <c r="G93" s="0" t="n">
        <v>45</v>
      </c>
      <c r="H93" s="0" t="n">
        <v>45</v>
      </c>
    </row>
    <row r="94" customFormat="false" ht="15" hidden="false" customHeight="false" outlineLevel="0" collapsed="false">
      <c r="B94" s="0" t="n">
        <v>800</v>
      </c>
      <c r="C94" s="0" t="n">
        <v>3</v>
      </c>
      <c r="D94" s="0" t="n">
        <v>0</v>
      </c>
      <c r="E94" s="0" t="n">
        <v>5019</v>
      </c>
      <c r="F94" s="0" t="str">
        <f aca="false">"W"&amp;ROWS(F$82:F94)&amp;"W"</f>
        <v>W13W</v>
      </c>
      <c r="G94" s="0" t="n">
        <v>45</v>
      </c>
      <c r="H94" s="0" t="n">
        <v>45</v>
      </c>
    </row>
    <row r="95" customFormat="false" ht="15" hidden="false" customHeight="false" outlineLevel="0" collapsed="false">
      <c r="B95" s="0" t="n">
        <v>1200</v>
      </c>
      <c r="C95" s="0" t="n">
        <v>3</v>
      </c>
      <c r="D95" s="0" t="n">
        <v>0</v>
      </c>
      <c r="E95" s="0" t="n">
        <v>5019</v>
      </c>
      <c r="F95" s="0" t="str">
        <f aca="false">"W"&amp;ROWS(F$82:F95)&amp;"W"</f>
        <v>W14W</v>
      </c>
      <c r="G95" s="0" t="n">
        <v>45</v>
      </c>
      <c r="H95" s="0" t="n">
        <v>45</v>
      </c>
    </row>
    <row r="96" customFormat="false" ht="15" hidden="false" customHeight="false" outlineLevel="0" collapsed="false">
      <c r="B96" s="0" t="n">
        <v>1180</v>
      </c>
      <c r="C96" s="0" t="n">
        <v>3</v>
      </c>
      <c r="D96" s="0" t="n">
        <v>0</v>
      </c>
      <c r="E96" s="0" t="n">
        <v>5019</v>
      </c>
      <c r="F96" s="0" t="str">
        <f aca="false">"W"&amp;ROWS(F$82:F96)&amp;"W"</f>
        <v>W15W</v>
      </c>
      <c r="G96" s="0" t="n">
        <v>45</v>
      </c>
      <c r="H96" s="0" t="n">
        <v>45</v>
      </c>
    </row>
    <row r="97" customFormat="false" ht="15" hidden="false" customHeight="false" outlineLevel="0" collapsed="false">
      <c r="B97" s="0" t="n">
        <v>840</v>
      </c>
      <c r="C97" s="0" t="n">
        <v>3</v>
      </c>
      <c r="D97" s="0" t="n">
        <v>0</v>
      </c>
      <c r="E97" s="0" t="n">
        <v>5019</v>
      </c>
      <c r="F97" s="0" t="str">
        <f aca="false">"W"&amp;ROWS(F$82:F97)&amp;"W"</f>
        <v>W16W</v>
      </c>
      <c r="G97" s="0" t="n">
        <v>45</v>
      </c>
      <c r="H97" s="0" t="n">
        <v>45</v>
      </c>
    </row>
    <row r="98" customFormat="false" ht="15" hidden="false" customHeight="false" outlineLevel="0" collapsed="false">
      <c r="B98" s="0" t="n">
        <v>1200</v>
      </c>
      <c r="C98" s="0" t="n">
        <v>3</v>
      </c>
      <c r="D98" s="0" t="n">
        <v>0</v>
      </c>
      <c r="E98" s="0" t="n">
        <v>5019</v>
      </c>
      <c r="F98" s="0" t="str">
        <f aca="false">"W"&amp;ROWS(F$82:F98)&amp;"W"</f>
        <v>W17W</v>
      </c>
      <c r="G98" s="0" t="n">
        <v>45</v>
      </c>
      <c r="H98" s="0" t="n">
        <v>45</v>
      </c>
    </row>
    <row r="99" customFormat="false" ht="15" hidden="false" customHeight="false" outlineLevel="0" collapsed="false">
      <c r="B99" s="0" t="n">
        <v>1200</v>
      </c>
      <c r="C99" s="0" t="n">
        <v>3</v>
      </c>
      <c r="D99" s="0" t="n">
        <v>0</v>
      </c>
      <c r="E99" s="0" t="n">
        <v>5019</v>
      </c>
      <c r="F99" s="0" t="str">
        <f aca="false">"W"&amp;ROWS(F$82:F99)&amp;"W"</f>
        <v>W18W</v>
      </c>
      <c r="G99" s="0" t="n">
        <v>45</v>
      </c>
      <c r="H99" s="0" t="n">
        <v>45</v>
      </c>
    </row>
    <row r="100" customFormat="false" ht="15" hidden="false" customHeight="false" outlineLevel="0" collapsed="false">
      <c r="B100" s="0" t="n">
        <v>1200</v>
      </c>
      <c r="C100" s="0" t="n">
        <v>3</v>
      </c>
      <c r="D100" s="0" t="n">
        <v>0</v>
      </c>
      <c r="E100" s="0" t="n">
        <v>5019</v>
      </c>
      <c r="F100" s="0" t="str">
        <f aca="false">"W"&amp;ROWS(F$82:F100)&amp;"W"</f>
        <v>W19W</v>
      </c>
      <c r="G100" s="0" t="n">
        <v>45</v>
      </c>
      <c r="H100" s="0" t="n">
        <v>45</v>
      </c>
    </row>
    <row r="101" customFormat="false" ht="15" hidden="false" customHeight="false" outlineLevel="0" collapsed="false">
      <c r="B101" s="0" t="n">
        <v>1150</v>
      </c>
      <c r="C101" s="0" t="n">
        <v>3</v>
      </c>
      <c r="D101" s="0" t="n">
        <v>0</v>
      </c>
      <c r="E101" s="0" t="n">
        <v>5019</v>
      </c>
      <c r="F101" s="0" t="str">
        <f aca="false">"W"&amp;ROWS(F$82:F101)&amp;"W"</f>
        <v>W20W</v>
      </c>
      <c r="G101" s="0" t="n">
        <v>45</v>
      </c>
      <c r="H101" s="0" t="n">
        <v>45</v>
      </c>
    </row>
    <row r="102" customFormat="false" ht="15" hidden="false" customHeight="false" outlineLevel="0" collapsed="false">
      <c r="B102" s="0" t="n">
        <v>800</v>
      </c>
      <c r="C102" s="0" t="n">
        <v>3</v>
      </c>
      <c r="D102" s="0" t="n">
        <v>0</v>
      </c>
      <c r="E102" s="0" t="n">
        <v>5019</v>
      </c>
      <c r="F102" s="0" t="str">
        <f aca="false">"W"&amp;ROWS(F$82:F102)&amp;"W"</f>
        <v>W21W</v>
      </c>
      <c r="G102" s="0" t="n">
        <v>45</v>
      </c>
      <c r="H102" s="0" t="n">
        <v>45</v>
      </c>
    </row>
    <row r="103" customFormat="false" ht="15" hidden="false" customHeight="false" outlineLevel="0" collapsed="false">
      <c r="B103" s="0" t="n">
        <v>1200</v>
      </c>
      <c r="C103" s="0" t="n">
        <v>3</v>
      </c>
      <c r="D103" s="0" t="n">
        <v>0</v>
      </c>
      <c r="E103" s="0" t="n">
        <v>5019</v>
      </c>
      <c r="F103" s="0" t="str">
        <f aca="false">"W"&amp;ROWS(F$82:F103)&amp;"W"</f>
        <v>W22W</v>
      </c>
      <c r="G103" s="0" t="n">
        <v>45</v>
      </c>
      <c r="H103" s="0" t="n">
        <v>45</v>
      </c>
    </row>
    <row r="104" customFormat="false" ht="15" hidden="false" customHeight="false" outlineLevel="0" collapsed="false">
      <c r="B104" s="0" t="n">
        <v>1150</v>
      </c>
      <c r="C104" s="0" t="n">
        <v>3</v>
      </c>
      <c r="D104" s="0" t="n">
        <v>0</v>
      </c>
      <c r="E104" s="0" t="n">
        <v>5019</v>
      </c>
      <c r="F104" s="0" t="str">
        <f aca="false">"W"&amp;ROWS(F$82:F104)&amp;"W"</f>
        <v>W23W</v>
      </c>
      <c r="G104" s="0" t="n">
        <v>45</v>
      </c>
      <c r="H104" s="0" t="n">
        <v>45</v>
      </c>
    </row>
    <row r="105" customFormat="false" ht="15" hidden="false" customHeight="false" outlineLevel="0" collapsed="false">
      <c r="B105" s="0" t="n">
        <v>800</v>
      </c>
      <c r="C105" s="0" t="n">
        <v>3</v>
      </c>
      <c r="D105" s="0" t="n">
        <v>0</v>
      </c>
      <c r="E105" s="0" t="n">
        <v>5019</v>
      </c>
      <c r="F105" s="0" t="str">
        <f aca="false">"W"&amp;ROWS(F$82:F105)&amp;"W"</f>
        <v>W24W</v>
      </c>
      <c r="G105" s="0" t="n">
        <v>45</v>
      </c>
      <c r="H105" s="0" t="n">
        <v>45</v>
      </c>
    </row>
    <row r="106" customFormat="false" ht="15" hidden="false" customHeight="false" outlineLevel="0" collapsed="false">
      <c r="B106" s="0" t="n">
        <v>1200</v>
      </c>
      <c r="C106" s="0" t="n">
        <v>3</v>
      </c>
      <c r="D106" s="0" t="n">
        <v>0</v>
      </c>
      <c r="E106" s="0" t="n">
        <v>5019</v>
      </c>
      <c r="F106" s="0" t="str">
        <f aca="false">"W"&amp;ROWS(F$82:F106)&amp;"W"</f>
        <v>W25W</v>
      </c>
      <c r="G106" s="0" t="n">
        <v>45</v>
      </c>
      <c r="H106" s="0" t="n">
        <v>45</v>
      </c>
    </row>
    <row r="107" customFormat="false" ht="15" hidden="false" customHeight="false" outlineLevel="0" collapsed="false">
      <c r="B107" s="0" t="n">
        <v>1200</v>
      </c>
      <c r="C107" s="0" t="n">
        <v>3</v>
      </c>
      <c r="D107" s="0" t="n">
        <v>0</v>
      </c>
      <c r="E107" s="0" t="n">
        <v>5019</v>
      </c>
      <c r="F107" s="0" t="str">
        <f aca="false">"W"&amp;ROWS(F$82:F107)&amp;"W"</f>
        <v>W26W</v>
      </c>
      <c r="G107" s="0" t="n">
        <v>45</v>
      </c>
      <c r="H107" s="0" t="n">
        <v>45</v>
      </c>
    </row>
    <row r="108" customFormat="false" ht="15" hidden="false" customHeight="false" outlineLevel="0" collapsed="false">
      <c r="B108" s="0" t="n">
        <v>3580</v>
      </c>
      <c r="C108" s="0" t="n">
        <v>3</v>
      </c>
      <c r="D108" s="0" t="n">
        <v>0</v>
      </c>
      <c r="E108" s="0" t="n">
        <v>5019</v>
      </c>
      <c r="F108" s="0" t="str">
        <f aca="false">"W"&amp;ROWS(F$82:F108)&amp;"W"</f>
        <v>W27W</v>
      </c>
      <c r="G108" s="0" t="n">
        <v>45</v>
      </c>
      <c r="H108" s="0" t="n">
        <v>45</v>
      </c>
    </row>
    <row r="109" customFormat="false" ht="15" hidden="false" customHeight="false" outlineLevel="0" collapsed="false">
      <c r="B109" s="0" t="n">
        <v>2500</v>
      </c>
      <c r="C109" s="0" t="n">
        <v>3</v>
      </c>
      <c r="D109" s="0" t="n">
        <v>0</v>
      </c>
      <c r="E109" s="0" t="n">
        <v>5019</v>
      </c>
      <c r="F109" s="0" t="str">
        <f aca="false">"W"&amp;ROWS(F$82:F109)&amp;"W"</f>
        <v>W28W</v>
      </c>
      <c r="G109" s="0" t="n">
        <v>45</v>
      </c>
      <c r="H109" s="0" t="n">
        <v>45</v>
      </c>
    </row>
    <row r="110" customFormat="false" ht="15" hidden="false" customHeight="false" outlineLevel="0" collapsed="false">
      <c r="B110" s="0" t="n">
        <v>1570</v>
      </c>
      <c r="C110" s="0" t="n">
        <v>3</v>
      </c>
      <c r="D110" s="0" t="n">
        <v>0</v>
      </c>
      <c r="E110" s="0" t="n">
        <v>5019</v>
      </c>
      <c r="F110" s="0" t="str">
        <f aca="false">"W"&amp;ROWS(F$82:F110)&amp;"W"</f>
        <v>W29W</v>
      </c>
      <c r="G110" s="0" t="n">
        <v>45</v>
      </c>
      <c r="H110" s="0" t="n">
        <v>45</v>
      </c>
    </row>
    <row r="111" customFormat="false" ht="15" hidden="false" customHeight="false" outlineLevel="0" collapsed="false">
      <c r="B111" s="0" t="n">
        <v>1170</v>
      </c>
      <c r="C111" s="0" t="n">
        <v>3</v>
      </c>
      <c r="D111" s="0" t="n">
        <v>0</v>
      </c>
      <c r="E111" s="0" t="n">
        <v>5019</v>
      </c>
      <c r="F111" s="0" t="str">
        <f aca="false">"W"&amp;ROWS(F$82:F111)&amp;"W"</f>
        <v>W30W</v>
      </c>
      <c r="G111" s="0" t="n">
        <v>45</v>
      </c>
      <c r="H111" s="0" t="n">
        <v>45</v>
      </c>
    </row>
    <row r="112" customFormat="false" ht="15" hidden="false" customHeight="false" outlineLevel="0" collapsed="false">
      <c r="B112" s="0" t="n">
        <v>1170</v>
      </c>
      <c r="C112" s="0" t="n">
        <v>3</v>
      </c>
      <c r="D112" s="0" t="n">
        <v>0</v>
      </c>
      <c r="E112" s="0" t="n">
        <v>5019</v>
      </c>
      <c r="F112" s="0" t="str">
        <f aca="false">"W"&amp;ROWS(F$82:F112)&amp;"W"</f>
        <v>W31W</v>
      </c>
      <c r="G112" s="0" t="n">
        <v>45</v>
      </c>
      <c r="H112" s="0" t="n">
        <v>45</v>
      </c>
    </row>
    <row r="113" customFormat="false" ht="15" hidden="false" customHeight="false" outlineLevel="0" collapsed="false">
      <c r="B113" s="0" t="n">
        <v>1930</v>
      </c>
      <c r="C113" s="0" t="n">
        <v>3</v>
      </c>
      <c r="D113" s="0" t="n">
        <v>0</v>
      </c>
      <c r="E113" s="0" t="n">
        <v>5019</v>
      </c>
      <c r="F113" s="0" t="str">
        <f aca="false">"W"&amp;ROWS(F$82:F113)&amp;"W"</f>
        <v>W32W</v>
      </c>
      <c r="G113" s="0" t="n">
        <v>45</v>
      </c>
      <c r="H113" s="0" t="n">
        <v>45</v>
      </c>
    </row>
    <row r="114" customFormat="false" ht="15" hidden="false" customHeight="false" outlineLevel="0" collapsed="false">
      <c r="B114" s="0" t="n">
        <v>690</v>
      </c>
      <c r="C114" s="0" t="n">
        <v>6</v>
      </c>
      <c r="D114" s="0" t="n">
        <v>0</v>
      </c>
      <c r="E114" s="0" t="n">
        <v>5019</v>
      </c>
      <c r="F114" s="0" t="str">
        <f aca="false">"W"&amp;ROWS(F$114:F114)&amp;"H"</f>
        <v>W1H</v>
      </c>
      <c r="G114" s="0" t="n">
        <v>45</v>
      </c>
      <c r="H114" s="0" t="n">
        <v>45</v>
      </c>
    </row>
    <row r="115" customFormat="false" ht="15" hidden="false" customHeight="false" outlineLevel="0" collapsed="false">
      <c r="B115" s="0" t="n">
        <v>970</v>
      </c>
      <c r="C115" s="0" t="n">
        <v>6</v>
      </c>
      <c r="D115" s="0" t="n">
        <v>0</v>
      </c>
      <c r="E115" s="0" t="n">
        <v>5019</v>
      </c>
      <c r="F115" s="0" t="str">
        <f aca="false">"W"&amp;ROWS(F$114:F115)&amp;"H"</f>
        <v>W2H</v>
      </c>
      <c r="G115" s="0" t="n">
        <v>45</v>
      </c>
      <c r="H115" s="0" t="n">
        <v>45</v>
      </c>
    </row>
    <row r="116" customFormat="false" ht="15" hidden="false" customHeight="false" outlineLevel="0" collapsed="false">
      <c r="B116" s="0" t="n">
        <v>890</v>
      </c>
      <c r="C116" s="0" t="n">
        <v>6</v>
      </c>
      <c r="D116" s="0" t="n">
        <v>0</v>
      </c>
      <c r="E116" s="0" t="n">
        <v>5019</v>
      </c>
      <c r="F116" s="0" t="str">
        <f aca="false">"W"&amp;ROWS(F$114:F116)&amp;"H"</f>
        <v>W3H</v>
      </c>
      <c r="G116" s="0" t="n">
        <v>45</v>
      </c>
      <c r="H116" s="0" t="n">
        <v>45</v>
      </c>
    </row>
    <row r="117" customFormat="false" ht="15" hidden="false" customHeight="false" outlineLevel="0" collapsed="false">
      <c r="B117" s="0" t="n">
        <v>800</v>
      </c>
      <c r="C117" s="0" t="n">
        <v>6</v>
      </c>
      <c r="D117" s="0" t="n">
        <v>0</v>
      </c>
      <c r="E117" s="0" t="n">
        <v>5019</v>
      </c>
      <c r="F117" s="0" t="str">
        <f aca="false">"W"&amp;ROWS(F$114:F117)&amp;"H"</f>
        <v>W4H</v>
      </c>
      <c r="G117" s="0" t="n">
        <v>45</v>
      </c>
      <c r="H117" s="0" t="n">
        <v>45</v>
      </c>
    </row>
    <row r="118" customFormat="false" ht="15" hidden="false" customHeight="false" outlineLevel="0" collapsed="false">
      <c r="B118" s="0" t="n">
        <v>970</v>
      </c>
      <c r="C118" s="0" t="n">
        <v>6</v>
      </c>
      <c r="D118" s="0" t="n">
        <v>0</v>
      </c>
      <c r="E118" s="0" t="n">
        <v>5019</v>
      </c>
      <c r="F118" s="0" t="str">
        <f aca="false">"W"&amp;ROWS(F$114:F118)&amp;"H"</f>
        <v>W5H</v>
      </c>
      <c r="G118" s="0" t="n">
        <v>45</v>
      </c>
      <c r="H118" s="0" t="n">
        <v>45</v>
      </c>
    </row>
    <row r="119" customFormat="false" ht="15" hidden="false" customHeight="false" outlineLevel="0" collapsed="false">
      <c r="B119" s="0" t="n">
        <v>800</v>
      </c>
      <c r="C119" s="0" t="n">
        <v>6</v>
      </c>
      <c r="D119" s="0" t="n">
        <v>0</v>
      </c>
      <c r="E119" s="0" t="n">
        <v>5019</v>
      </c>
      <c r="F119" s="0" t="str">
        <f aca="false">"W"&amp;ROWS(F$114:F119)&amp;"H"</f>
        <v>W6H</v>
      </c>
      <c r="G119" s="0" t="n">
        <v>45</v>
      </c>
      <c r="H119" s="0" t="n">
        <v>45</v>
      </c>
    </row>
    <row r="120" customFormat="false" ht="15" hidden="false" customHeight="false" outlineLevel="0" collapsed="false">
      <c r="B120" s="0" t="n">
        <v>800</v>
      </c>
      <c r="C120" s="0" t="n">
        <v>6</v>
      </c>
      <c r="D120" s="0" t="n">
        <v>0</v>
      </c>
      <c r="E120" s="0" t="n">
        <v>5019</v>
      </c>
      <c r="F120" s="0" t="str">
        <f aca="false">"W"&amp;ROWS(F$114:F120)&amp;"H"</f>
        <v>W7H</v>
      </c>
      <c r="G120" s="0" t="n">
        <v>45</v>
      </c>
      <c r="H120" s="0" t="n">
        <v>45</v>
      </c>
    </row>
    <row r="121" customFormat="false" ht="15" hidden="false" customHeight="false" outlineLevel="0" collapsed="false">
      <c r="B121" s="0" t="n">
        <v>960</v>
      </c>
      <c r="C121" s="0" t="n">
        <v>6</v>
      </c>
      <c r="D121" s="0" t="n">
        <v>0</v>
      </c>
      <c r="E121" s="0" t="n">
        <v>5019</v>
      </c>
      <c r="F121" s="0" t="str">
        <f aca="false">"W"&amp;ROWS(F$114:F121)&amp;"H"</f>
        <v>W8H</v>
      </c>
      <c r="G121" s="0" t="n">
        <v>45</v>
      </c>
      <c r="H121" s="0" t="n">
        <v>45</v>
      </c>
    </row>
    <row r="122" customFormat="false" ht="15" hidden="false" customHeight="false" outlineLevel="0" collapsed="false">
      <c r="B122" s="0" t="n">
        <v>800</v>
      </c>
      <c r="C122" s="0" t="n">
        <v>6</v>
      </c>
      <c r="D122" s="0" t="n">
        <v>0</v>
      </c>
      <c r="E122" s="0" t="n">
        <v>5019</v>
      </c>
      <c r="F122" s="0" t="str">
        <f aca="false">"W"&amp;ROWS(F$114:F122)&amp;"H"</f>
        <v>W9H</v>
      </c>
      <c r="G122" s="0" t="n">
        <v>45</v>
      </c>
      <c r="H122" s="0" t="n">
        <v>45</v>
      </c>
    </row>
    <row r="123" customFormat="false" ht="15" hidden="false" customHeight="false" outlineLevel="0" collapsed="false">
      <c r="B123" s="0" t="n">
        <v>800</v>
      </c>
      <c r="C123" s="0" t="n">
        <v>6</v>
      </c>
      <c r="D123" s="0" t="n">
        <v>0</v>
      </c>
      <c r="E123" s="0" t="n">
        <v>5019</v>
      </c>
      <c r="F123" s="0" t="str">
        <f aca="false">"W"&amp;ROWS(F$114:F123)&amp;"H"</f>
        <v>W10H</v>
      </c>
      <c r="G123" s="0" t="n">
        <v>45</v>
      </c>
      <c r="H123" s="0" t="n">
        <v>45</v>
      </c>
    </row>
    <row r="124" customFormat="false" ht="15" hidden="false" customHeight="false" outlineLevel="0" collapsed="false">
      <c r="B124" s="0" t="n">
        <v>800</v>
      </c>
      <c r="C124" s="0" t="n">
        <v>6</v>
      </c>
      <c r="D124" s="0" t="n">
        <v>0</v>
      </c>
      <c r="E124" s="0" t="n">
        <v>5019</v>
      </c>
      <c r="F124" s="0" t="str">
        <f aca="false">"W"&amp;ROWS(F$114:F124)&amp;"H"</f>
        <v>W11H</v>
      </c>
      <c r="G124" s="0" t="n">
        <v>45</v>
      </c>
      <c r="H124" s="0" t="n">
        <v>45</v>
      </c>
    </row>
    <row r="125" customFormat="false" ht="15" hidden="false" customHeight="false" outlineLevel="0" collapsed="false">
      <c r="B125" s="0" t="n">
        <v>1070</v>
      </c>
      <c r="C125" s="0" t="n">
        <v>6</v>
      </c>
      <c r="D125" s="0" t="n">
        <v>0</v>
      </c>
      <c r="E125" s="0" t="n">
        <v>5019</v>
      </c>
      <c r="F125" s="0" t="str">
        <f aca="false">"W"&amp;ROWS(F$114:F125)&amp;"H"</f>
        <v>W12H</v>
      </c>
      <c r="G125" s="0" t="n">
        <v>45</v>
      </c>
      <c r="H125" s="0" t="n">
        <v>45</v>
      </c>
    </row>
    <row r="126" customFormat="false" ht="15" hidden="false" customHeight="false" outlineLevel="0" collapsed="false">
      <c r="B126" s="0" t="n">
        <v>800</v>
      </c>
      <c r="C126" s="0" t="n">
        <v>6</v>
      </c>
      <c r="D126" s="0" t="n">
        <v>0</v>
      </c>
      <c r="E126" s="0" t="n">
        <v>5019</v>
      </c>
      <c r="F126" s="0" t="str">
        <f aca="false">"W"&amp;ROWS(F$114:F126)&amp;"H"</f>
        <v>W13H</v>
      </c>
      <c r="G126" s="0" t="n">
        <v>45</v>
      </c>
      <c r="H126" s="0" t="n">
        <v>45</v>
      </c>
    </row>
    <row r="127" customFormat="false" ht="15" hidden="false" customHeight="false" outlineLevel="0" collapsed="false">
      <c r="B127" s="0" t="n">
        <v>800</v>
      </c>
      <c r="C127" s="0" t="n">
        <v>6</v>
      </c>
      <c r="D127" s="0" t="n">
        <v>0</v>
      </c>
      <c r="E127" s="0" t="n">
        <v>5019</v>
      </c>
      <c r="F127" s="0" t="str">
        <f aca="false">"W"&amp;ROWS(F$114:F127)&amp;"H"</f>
        <v>W14H</v>
      </c>
      <c r="G127" s="0" t="n">
        <v>45</v>
      </c>
      <c r="H127" s="0" t="n">
        <v>45</v>
      </c>
    </row>
    <row r="128" customFormat="false" ht="15" hidden="false" customHeight="false" outlineLevel="0" collapsed="false">
      <c r="B128" s="0" t="n">
        <v>1130</v>
      </c>
      <c r="C128" s="0" t="n">
        <v>6</v>
      </c>
      <c r="D128" s="0" t="n">
        <v>0</v>
      </c>
      <c r="E128" s="0" t="n">
        <v>5019</v>
      </c>
      <c r="F128" s="0" t="str">
        <f aca="false">"W"&amp;ROWS(F$114:F128)&amp;"H"</f>
        <v>W15H</v>
      </c>
      <c r="G128" s="0" t="n">
        <v>45</v>
      </c>
      <c r="H128" s="0" t="n">
        <v>45</v>
      </c>
    </row>
    <row r="129" customFormat="false" ht="15" hidden="false" customHeight="false" outlineLevel="0" collapsed="false">
      <c r="B129" s="0" t="n">
        <v>800</v>
      </c>
      <c r="C129" s="0" t="n">
        <v>6</v>
      </c>
      <c r="D129" s="0" t="n">
        <v>0</v>
      </c>
      <c r="E129" s="0" t="n">
        <v>5019</v>
      </c>
      <c r="F129" s="0" t="str">
        <f aca="false">"W"&amp;ROWS(F$114:F129)&amp;"H"</f>
        <v>W16H</v>
      </c>
      <c r="G129" s="0" t="n">
        <v>45</v>
      </c>
      <c r="H129" s="0" t="n">
        <v>45</v>
      </c>
    </row>
    <row r="130" customFormat="false" ht="15" hidden="false" customHeight="false" outlineLevel="0" collapsed="false">
      <c r="B130" s="0" t="n">
        <v>800</v>
      </c>
      <c r="C130" s="0" t="n">
        <v>6</v>
      </c>
      <c r="D130" s="0" t="n">
        <v>0</v>
      </c>
      <c r="E130" s="0" t="n">
        <v>5019</v>
      </c>
      <c r="F130" s="0" t="str">
        <f aca="false">"W"&amp;ROWS(F$114:F130)&amp;"H"</f>
        <v>W17H</v>
      </c>
      <c r="G130" s="0" t="n">
        <v>45</v>
      </c>
      <c r="H130" s="0" t="n">
        <v>45</v>
      </c>
    </row>
    <row r="131" customFormat="false" ht="15" hidden="false" customHeight="false" outlineLevel="0" collapsed="false">
      <c r="B131" s="0" t="n">
        <v>800</v>
      </c>
      <c r="C131" s="0" t="n">
        <v>6</v>
      </c>
      <c r="D131" s="0" t="n">
        <v>0</v>
      </c>
      <c r="E131" s="0" t="n">
        <v>5019</v>
      </c>
      <c r="F131" s="0" t="str">
        <f aca="false">"W"&amp;ROWS(F$114:F131)&amp;"H"</f>
        <v>W18H</v>
      </c>
      <c r="G131" s="0" t="n">
        <v>45</v>
      </c>
      <c r="H131" s="0" t="n">
        <v>45</v>
      </c>
    </row>
    <row r="132" customFormat="false" ht="15" hidden="false" customHeight="false" outlineLevel="0" collapsed="false">
      <c r="B132" s="0" t="n">
        <v>860</v>
      </c>
      <c r="C132" s="0" t="n">
        <v>6</v>
      </c>
      <c r="D132" s="0" t="n">
        <v>0</v>
      </c>
      <c r="E132" s="0" t="n">
        <v>5019</v>
      </c>
      <c r="F132" s="0" t="str">
        <f aca="false">"W"&amp;ROWS(F$114:F132)&amp;"H"</f>
        <v>W19H</v>
      </c>
      <c r="G132" s="0" t="n">
        <v>45</v>
      </c>
      <c r="H132" s="0" t="n">
        <v>45</v>
      </c>
    </row>
    <row r="133" customFormat="false" ht="15" hidden="false" customHeight="false" outlineLevel="0" collapsed="false">
      <c r="B133" s="0" t="n">
        <v>1140</v>
      </c>
      <c r="C133" s="0" t="n">
        <v>6</v>
      </c>
      <c r="D133" s="0" t="n">
        <v>0</v>
      </c>
      <c r="E133" s="0" t="n">
        <v>5019</v>
      </c>
      <c r="F133" s="0" t="str">
        <f aca="false">"W"&amp;ROWS(F$114:F133)&amp;"H"</f>
        <v>W20H</v>
      </c>
      <c r="G133" s="0" t="n">
        <v>45</v>
      </c>
      <c r="H133" s="0" t="n">
        <v>45</v>
      </c>
    </row>
    <row r="134" customFormat="false" ht="15" hidden="false" customHeight="false" outlineLevel="0" collapsed="false">
      <c r="B134" s="0" t="n">
        <v>850</v>
      </c>
      <c r="C134" s="0" t="n">
        <v>6</v>
      </c>
      <c r="D134" s="0" t="n">
        <v>0</v>
      </c>
      <c r="E134" s="0" t="n">
        <v>5019</v>
      </c>
      <c r="F134" s="0" t="str">
        <f aca="false">"W"&amp;ROWS(F$114:F134)&amp;"H"</f>
        <v>W21H</v>
      </c>
      <c r="G134" s="0" t="n">
        <v>45</v>
      </c>
      <c r="H134" s="0" t="n">
        <v>45</v>
      </c>
    </row>
    <row r="135" customFormat="false" ht="15" hidden="false" customHeight="false" outlineLevel="0" collapsed="false">
      <c r="B135" s="0" t="n">
        <v>850</v>
      </c>
      <c r="C135" s="0" t="n">
        <v>6</v>
      </c>
      <c r="D135" s="0" t="n">
        <v>0</v>
      </c>
      <c r="E135" s="0" t="n">
        <v>5019</v>
      </c>
      <c r="F135" s="0" t="str">
        <f aca="false">"W"&amp;ROWS(F$114:F135)&amp;"H"</f>
        <v>W22H</v>
      </c>
      <c r="G135" s="0" t="n">
        <v>45</v>
      </c>
      <c r="H135" s="0" t="n">
        <v>45</v>
      </c>
    </row>
    <row r="136" customFormat="false" ht="15" hidden="false" customHeight="false" outlineLevel="0" collapsed="false">
      <c r="B136" s="0" t="n">
        <v>1140</v>
      </c>
      <c r="C136" s="0" t="n">
        <v>6</v>
      </c>
      <c r="D136" s="0" t="n">
        <v>0</v>
      </c>
      <c r="E136" s="0" t="n">
        <v>5019</v>
      </c>
      <c r="F136" s="0" t="str">
        <f aca="false">"W"&amp;ROWS(F$114:F136)&amp;"H"</f>
        <v>W23H</v>
      </c>
      <c r="G136" s="0" t="n">
        <v>45</v>
      </c>
      <c r="H136" s="0" t="n">
        <v>45</v>
      </c>
    </row>
    <row r="137" customFormat="false" ht="15" hidden="false" customHeight="false" outlineLevel="0" collapsed="false">
      <c r="B137" s="0" t="n">
        <v>850</v>
      </c>
      <c r="C137" s="0" t="n">
        <v>6</v>
      </c>
      <c r="D137" s="0" t="n">
        <v>0</v>
      </c>
      <c r="E137" s="0" t="n">
        <v>5019</v>
      </c>
      <c r="F137" s="0" t="str">
        <f aca="false">"W"&amp;ROWS(F$114:F137)&amp;"H"</f>
        <v>W24H</v>
      </c>
      <c r="G137" s="0" t="n">
        <v>45</v>
      </c>
      <c r="H137" s="0" t="n">
        <v>45</v>
      </c>
    </row>
    <row r="138" customFormat="false" ht="15" hidden="false" customHeight="false" outlineLevel="0" collapsed="false">
      <c r="B138" s="0" t="n">
        <v>900</v>
      </c>
      <c r="C138" s="0" t="n">
        <v>6</v>
      </c>
      <c r="D138" s="0" t="n">
        <v>0</v>
      </c>
      <c r="E138" s="0" t="n">
        <v>5019</v>
      </c>
      <c r="F138" s="0" t="str">
        <f aca="false">"W"&amp;ROWS(F$114:F138)&amp;"H"</f>
        <v>W25H</v>
      </c>
      <c r="G138" s="0" t="n">
        <v>45</v>
      </c>
      <c r="H138" s="0" t="n">
        <v>45</v>
      </c>
    </row>
    <row r="139" customFormat="false" ht="15" hidden="false" customHeight="false" outlineLevel="0" collapsed="false">
      <c r="B139" s="0" t="n">
        <v>870</v>
      </c>
      <c r="C139" s="0" t="n">
        <v>6</v>
      </c>
      <c r="D139" s="0" t="n">
        <v>0</v>
      </c>
      <c r="E139" s="0" t="n">
        <v>5019</v>
      </c>
      <c r="F139" s="0" t="str">
        <f aca="false">"W"&amp;ROWS(F$114:F139)&amp;"H"</f>
        <v>W26H</v>
      </c>
      <c r="G139" s="0" t="n">
        <v>45</v>
      </c>
      <c r="H139" s="0" t="n">
        <v>45</v>
      </c>
    </row>
    <row r="140" customFormat="false" ht="15" hidden="false" customHeight="false" outlineLevel="0" collapsed="false">
      <c r="B140" s="0" t="n">
        <v>2140</v>
      </c>
      <c r="C140" s="0" t="n">
        <v>6</v>
      </c>
      <c r="D140" s="0" t="n">
        <v>0</v>
      </c>
      <c r="E140" s="0" t="n">
        <v>5019</v>
      </c>
      <c r="F140" s="0" t="str">
        <f aca="false">"W"&amp;ROWS(F$114:F140)&amp;"H"</f>
        <v>W27H</v>
      </c>
      <c r="G140" s="0" t="n">
        <v>45</v>
      </c>
      <c r="H140" s="0" t="n">
        <v>45</v>
      </c>
    </row>
    <row r="141" customFormat="false" ht="15" hidden="false" customHeight="false" outlineLevel="0" collapsed="false">
      <c r="B141" s="0" t="n">
        <v>2160</v>
      </c>
      <c r="C141" s="0" t="n">
        <v>6</v>
      </c>
      <c r="D141" s="0" t="n">
        <v>0</v>
      </c>
      <c r="E141" s="0" t="n">
        <v>5019</v>
      </c>
      <c r="F141" s="0" t="str">
        <f aca="false">"W"&amp;ROWS(F$114:F141)&amp;"H"</f>
        <v>W28H</v>
      </c>
      <c r="G141" s="0" t="n">
        <v>45</v>
      </c>
      <c r="H141" s="0" t="n">
        <v>45</v>
      </c>
    </row>
    <row r="142" customFormat="false" ht="15" hidden="false" customHeight="false" outlineLevel="0" collapsed="false">
      <c r="B142" s="0" t="n">
        <v>990</v>
      </c>
      <c r="C142" s="0" t="n">
        <v>6</v>
      </c>
      <c r="D142" s="0" t="n">
        <v>0</v>
      </c>
      <c r="E142" s="0" t="n">
        <v>5019</v>
      </c>
      <c r="F142" s="0" t="str">
        <f aca="false">"W"&amp;ROWS(F$114:F142)&amp;"H"</f>
        <v>W29H</v>
      </c>
      <c r="G142" s="0" t="n">
        <v>45</v>
      </c>
      <c r="H142" s="0" t="n">
        <v>45</v>
      </c>
    </row>
    <row r="143" customFormat="false" ht="15" hidden="false" customHeight="false" outlineLevel="0" collapsed="false">
      <c r="B143" s="0" t="n">
        <v>900</v>
      </c>
      <c r="C143" s="0" t="n">
        <v>6</v>
      </c>
      <c r="D143" s="0" t="n">
        <v>0</v>
      </c>
      <c r="E143" s="0" t="n">
        <v>5019</v>
      </c>
      <c r="F143" s="0" t="str">
        <f aca="false">"W"&amp;ROWS(F$114:F143)&amp;"H"</f>
        <v>W30H</v>
      </c>
      <c r="G143" s="0" t="n">
        <v>45</v>
      </c>
      <c r="H143" s="0" t="n">
        <v>45</v>
      </c>
    </row>
    <row r="144" customFormat="false" ht="15" hidden="false" customHeight="false" outlineLevel="0" collapsed="false">
      <c r="B144" s="0" t="n">
        <v>920</v>
      </c>
      <c r="C144" s="0" t="n">
        <v>6</v>
      </c>
      <c r="D144" s="0" t="n">
        <v>0</v>
      </c>
      <c r="E144" s="0" t="n">
        <v>5019</v>
      </c>
      <c r="F144" s="0" t="str">
        <f aca="false">"W"&amp;ROWS(F$114:F144)&amp;"H"</f>
        <v>W31H</v>
      </c>
      <c r="G144" s="0" t="n">
        <v>45</v>
      </c>
      <c r="H144" s="0" t="n">
        <v>45</v>
      </c>
    </row>
    <row r="145" customFormat="false" ht="15" hidden="false" customHeight="false" outlineLevel="0" collapsed="false">
      <c r="B145" s="0" t="n">
        <v>1900</v>
      </c>
      <c r="C145" s="0" t="n">
        <v>6</v>
      </c>
      <c r="D145" s="0" t="n">
        <v>0</v>
      </c>
      <c r="E145" s="0" t="n">
        <v>5019</v>
      </c>
      <c r="F145" s="0" t="str">
        <f aca="false">"W"&amp;ROWS(F$114:F145)&amp;"H"</f>
        <v>W32H</v>
      </c>
      <c r="G145" s="0" t="n">
        <v>45</v>
      </c>
      <c r="H145" s="0" t="n">
        <v>45</v>
      </c>
    </row>
    <row r="146" customFormat="false" ht="15" hidden="false" customHeight="false" outlineLevel="0" collapsed="false">
      <c r="B146" s="0" t="n">
        <v>690</v>
      </c>
      <c r="C146" s="0" t="n">
        <v>3</v>
      </c>
      <c r="D146" s="0" t="n">
        <v>0</v>
      </c>
      <c r="E146" s="0" t="n">
        <v>5023</v>
      </c>
      <c r="F146" s="0" t="str">
        <f aca="false">"W"&amp;ROWS(F$146:F146)&amp;"IL"</f>
        <v>W1IL</v>
      </c>
      <c r="G146" s="0" t="n">
        <v>90</v>
      </c>
      <c r="H146" s="0" t="n">
        <v>90</v>
      </c>
    </row>
    <row r="147" customFormat="false" ht="15" hidden="false" customHeight="false" outlineLevel="0" collapsed="false">
      <c r="B147" s="0" t="n">
        <v>970</v>
      </c>
      <c r="C147" s="0" t="n">
        <v>3</v>
      </c>
      <c r="D147" s="0" t="n">
        <v>0</v>
      </c>
      <c r="E147" s="0" t="n">
        <v>5023</v>
      </c>
      <c r="F147" s="0" t="str">
        <f aca="false">"W"&amp;ROWS(F$146:F147)&amp;"IL"</f>
        <v>W2IL</v>
      </c>
      <c r="G147" s="0" t="n">
        <v>90</v>
      </c>
      <c r="H147" s="0" t="n">
        <v>90</v>
      </c>
    </row>
    <row r="148" customFormat="false" ht="15" hidden="false" customHeight="false" outlineLevel="0" collapsed="false">
      <c r="B148" s="0" t="n">
        <v>890</v>
      </c>
      <c r="C148" s="0" t="n">
        <v>3</v>
      </c>
      <c r="D148" s="0" t="n">
        <v>0</v>
      </c>
      <c r="E148" s="0" t="n">
        <v>5023</v>
      </c>
      <c r="F148" s="0" t="str">
        <f aca="false">"W"&amp;ROWS(F$146:F148)&amp;"IL"</f>
        <v>W3IL</v>
      </c>
      <c r="G148" s="0" t="n">
        <v>90</v>
      </c>
      <c r="H148" s="0" t="n">
        <v>90</v>
      </c>
    </row>
    <row r="149" customFormat="false" ht="15" hidden="false" customHeight="false" outlineLevel="0" collapsed="false">
      <c r="B149" s="0" t="n">
        <v>800</v>
      </c>
      <c r="C149" s="0" t="n">
        <v>3</v>
      </c>
      <c r="D149" s="0" t="n">
        <v>0</v>
      </c>
      <c r="E149" s="0" t="n">
        <v>5023</v>
      </c>
      <c r="F149" s="0" t="str">
        <f aca="false">"W"&amp;ROWS(F$146:F149)&amp;"IL"</f>
        <v>W4IL</v>
      </c>
      <c r="G149" s="0" t="n">
        <v>90</v>
      </c>
      <c r="H149" s="0" t="n">
        <v>90</v>
      </c>
    </row>
    <row r="150" customFormat="false" ht="15" hidden="false" customHeight="false" outlineLevel="0" collapsed="false">
      <c r="B150" s="0" t="n">
        <v>970</v>
      </c>
      <c r="C150" s="0" t="n">
        <v>3</v>
      </c>
      <c r="D150" s="0" t="n">
        <v>0</v>
      </c>
      <c r="E150" s="0" t="n">
        <v>5023</v>
      </c>
      <c r="F150" s="0" t="str">
        <f aca="false">"W"&amp;ROWS(F$146:F150)&amp;"IL"</f>
        <v>W5IL</v>
      </c>
      <c r="G150" s="0" t="n">
        <v>90</v>
      </c>
      <c r="H150" s="0" t="n">
        <v>90</v>
      </c>
    </row>
    <row r="151" customFormat="false" ht="15" hidden="false" customHeight="false" outlineLevel="0" collapsed="false">
      <c r="B151" s="0" t="n">
        <v>800</v>
      </c>
      <c r="C151" s="0" t="n">
        <v>3</v>
      </c>
      <c r="D151" s="0" t="n">
        <v>0</v>
      </c>
      <c r="E151" s="0" t="n">
        <v>5023</v>
      </c>
      <c r="F151" s="0" t="str">
        <f aca="false">"W"&amp;ROWS(F$146:F151)&amp;"IL"</f>
        <v>W6IL</v>
      </c>
      <c r="G151" s="0" t="n">
        <v>90</v>
      </c>
      <c r="H151" s="0" t="n">
        <v>90</v>
      </c>
    </row>
    <row r="152" customFormat="false" ht="15" hidden="false" customHeight="false" outlineLevel="0" collapsed="false">
      <c r="B152" s="0" t="n">
        <v>800</v>
      </c>
      <c r="C152" s="0" t="n">
        <v>3</v>
      </c>
      <c r="D152" s="0" t="n">
        <v>0</v>
      </c>
      <c r="E152" s="0" t="n">
        <v>5023</v>
      </c>
      <c r="F152" s="0" t="str">
        <f aca="false">"W"&amp;ROWS(F$146:F152)&amp;"IL"</f>
        <v>W7IL</v>
      </c>
      <c r="G152" s="0" t="n">
        <v>90</v>
      </c>
      <c r="H152" s="0" t="n">
        <v>90</v>
      </c>
    </row>
    <row r="153" customFormat="false" ht="15" hidden="false" customHeight="false" outlineLevel="0" collapsed="false">
      <c r="B153" s="0" t="n">
        <v>960</v>
      </c>
      <c r="C153" s="0" t="n">
        <v>3</v>
      </c>
      <c r="D153" s="0" t="n">
        <v>0</v>
      </c>
      <c r="E153" s="0" t="n">
        <v>5023</v>
      </c>
      <c r="F153" s="0" t="str">
        <f aca="false">"W"&amp;ROWS(F$146:F153)&amp;"IL"</f>
        <v>W8IL</v>
      </c>
      <c r="G153" s="0" t="n">
        <v>90</v>
      </c>
      <c r="H153" s="0" t="n">
        <v>90</v>
      </c>
    </row>
    <row r="154" customFormat="false" ht="15" hidden="false" customHeight="false" outlineLevel="0" collapsed="false">
      <c r="B154" s="0" t="n">
        <v>800</v>
      </c>
      <c r="C154" s="0" t="n">
        <v>3</v>
      </c>
      <c r="D154" s="0" t="n">
        <v>0</v>
      </c>
      <c r="E154" s="0" t="n">
        <v>5023</v>
      </c>
      <c r="F154" s="0" t="str">
        <f aca="false">"W"&amp;ROWS(F$146:F154)&amp;"IL"</f>
        <v>W9IL</v>
      </c>
      <c r="G154" s="0" t="n">
        <v>90</v>
      </c>
      <c r="H154" s="0" t="n">
        <v>90</v>
      </c>
    </row>
    <row r="155" customFormat="false" ht="15" hidden="false" customHeight="false" outlineLevel="0" collapsed="false">
      <c r="B155" s="0" t="n">
        <v>800</v>
      </c>
      <c r="C155" s="0" t="n">
        <v>3</v>
      </c>
      <c r="D155" s="0" t="n">
        <v>0</v>
      </c>
      <c r="E155" s="0" t="n">
        <v>5023</v>
      </c>
      <c r="F155" s="0" t="str">
        <f aca="false">"W"&amp;ROWS(F$146:F155)&amp;"IL"</f>
        <v>W10IL</v>
      </c>
      <c r="G155" s="0" t="n">
        <v>90</v>
      </c>
      <c r="H155" s="0" t="n">
        <v>90</v>
      </c>
    </row>
    <row r="156" customFormat="false" ht="15" hidden="false" customHeight="false" outlineLevel="0" collapsed="false">
      <c r="B156" s="0" t="n">
        <v>800</v>
      </c>
      <c r="C156" s="0" t="n">
        <v>3</v>
      </c>
      <c r="D156" s="0" t="n">
        <v>0</v>
      </c>
      <c r="E156" s="0" t="n">
        <v>5023</v>
      </c>
      <c r="F156" s="0" t="str">
        <f aca="false">"W"&amp;ROWS(F$146:F156)&amp;"IL"</f>
        <v>W11IL</v>
      </c>
      <c r="G156" s="0" t="n">
        <v>90</v>
      </c>
      <c r="H156" s="0" t="n">
        <v>90</v>
      </c>
    </row>
    <row r="157" customFormat="false" ht="15" hidden="false" customHeight="false" outlineLevel="0" collapsed="false">
      <c r="B157" s="0" t="n">
        <v>1070</v>
      </c>
      <c r="C157" s="0" t="n">
        <v>3</v>
      </c>
      <c r="D157" s="0" t="n">
        <v>0</v>
      </c>
      <c r="E157" s="0" t="n">
        <v>5023</v>
      </c>
      <c r="F157" s="0" t="str">
        <f aca="false">"W"&amp;ROWS(F$146:F157)&amp;"IL"</f>
        <v>W12IL</v>
      </c>
      <c r="G157" s="0" t="n">
        <v>90</v>
      </c>
      <c r="H157" s="0" t="n">
        <v>90</v>
      </c>
    </row>
    <row r="158" customFormat="false" ht="15" hidden="false" customHeight="false" outlineLevel="0" collapsed="false">
      <c r="B158" s="0" t="n">
        <v>800</v>
      </c>
      <c r="C158" s="0" t="n">
        <v>3</v>
      </c>
      <c r="D158" s="0" t="n">
        <v>0</v>
      </c>
      <c r="E158" s="0" t="n">
        <v>5023</v>
      </c>
      <c r="F158" s="0" t="str">
        <f aca="false">"W"&amp;ROWS(F$146:F158)&amp;"IL"</f>
        <v>W13IL</v>
      </c>
      <c r="G158" s="0" t="n">
        <v>90</v>
      </c>
      <c r="H158" s="0" t="n">
        <v>90</v>
      </c>
    </row>
    <row r="159" customFormat="false" ht="15" hidden="false" customHeight="false" outlineLevel="0" collapsed="false">
      <c r="B159" s="0" t="n">
        <v>800</v>
      </c>
      <c r="C159" s="0" t="n">
        <v>3</v>
      </c>
      <c r="D159" s="0" t="n">
        <v>0</v>
      </c>
      <c r="E159" s="0" t="n">
        <v>5023</v>
      </c>
      <c r="F159" s="0" t="str">
        <f aca="false">"W"&amp;ROWS(F$146:F159)&amp;"IL"</f>
        <v>W14IL</v>
      </c>
      <c r="G159" s="0" t="n">
        <v>90</v>
      </c>
      <c r="H159" s="0" t="n">
        <v>90</v>
      </c>
    </row>
    <row r="160" customFormat="false" ht="15" hidden="false" customHeight="false" outlineLevel="0" collapsed="false">
      <c r="B160" s="0" t="n">
        <v>1130</v>
      </c>
      <c r="C160" s="0" t="n">
        <v>3</v>
      </c>
      <c r="D160" s="0" t="n">
        <v>0</v>
      </c>
      <c r="E160" s="0" t="n">
        <v>5023</v>
      </c>
      <c r="F160" s="0" t="str">
        <f aca="false">"W"&amp;ROWS(F$146:F160)&amp;"IL"</f>
        <v>W15IL</v>
      </c>
      <c r="G160" s="0" t="n">
        <v>90</v>
      </c>
      <c r="H160" s="0" t="n">
        <v>90</v>
      </c>
    </row>
    <row r="161" customFormat="false" ht="15" hidden="false" customHeight="false" outlineLevel="0" collapsed="false">
      <c r="B161" s="0" t="n">
        <v>800</v>
      </c>
      <c r="C161" s="0" t="n">
        <v>3</v>
      </c>
      <c r="D161" s="0" t="n">
        <v>0</v>
      </c>
      <c r="E161" s="0" t="n">
        <v>5023</v>
      </c>
      <c r="F161" s="0" t="str">
        <f aca="false">"W"&amp;ROWS(F$146:F161)&amp;"IL"</f>
        <v>W16IL</v>
      </c>
      <c r="G161" s="0" t="n">
        <v>90</v>
      </c>
      <c r="H161" s="0" t="n">
        <v>90</v>
      </c>
    </row>
    <row r="162" customFormat="false" ht="15" hidden="false" customHeight="false" outlineLevel="0" collapsed="false">
      <c r="B162" s="0" t="n">
        <v>800</v>
      </c>
      <c r="C162" s="0" t="n">
        <v>3</v>
      </c>
      <c r="D162" s="0" t="n">
        <v>0</v>
      </c>
      <c r="E162" s="0" t="n">
        <v>5023</v>
      </c>
      <c r="F162" s="0" t="str">
        <f aca="false">"W"&amp;ROWS(F$146:F162)&amp;"IL"</f>
        <v>W17IL</v>
      </c>
      <c r="G162" s="0" t="n">
        <v>90</v>
      </c>
      <c r="H162" s="0" t="n">
        <v>90</v>
      </c>
    </row>
    <row r="163" customFormat="false" ht="15" hidden="false" customHeight="false" outlineLevel="0" collapsed="false">
      <c r="B163" s="0" t="n">
        <v>800</v>
      </c>
      <c r="C163" s="0" t="n">
        <v>3</v>
      </c>
      <c r="D163" s="0" t="n">
        <v>0</v>
      </c>
      <c r="E163" s="0" t="n">
        <v>5023</v>
      </c>
      <c r="F163" s="0" t="str">
        <f aca="false">"W"&amp;ROWS(F$146:F163)&amp;"IL"</f>
        <v>W18IL</v>
      </c>
      <c r="G163" s="0" t="n">
        <v>90</v>
      </c>
      <c r="H163" s="0" t="n">
        <v>90</v>
      </c>
    </row>
    <row r="164" customFormat="false" ht="15" hidden="false" customHeight="false" outlineLevel="0" collapsed="false">
      <c r="B164" s="0" t="n">
        <v>860</v>
      </c>
      <c r="C164" s="0" t="n">
        <v>3</v>
      </c>
      <c r="D164" s="0" t="n">
        <v>0</v>
      </c>
      <c r="E164" s="0" t="n">
        <v>5023</v>
      </c>
      <c r="F164" s="0" t="str">
        <f aca="false">"W"&amp;ROWS(F$146:F164)&amp;"IL"</f>
        <v>W19IL</v>
      </c>
      <c r="G164" s="0" t="n">
        <v>90</v>
      </c>
      <c r="H164" s="0" t="n">
        <v>90</v>
      </c>
    </row>
    <row r="165" customFormat="false" ht="15" hidden="false" customHeight="false" outlineLevel="0" collapsed="false">
      <c r="B165" s="0" t="n">
        <v>1140</v>
      </c>
      <c r="C165" s="0" t="n">
        <v>3</v>
      </c>
      <c r="D165" s="0" t="n">
        <v>0</v>
      </c>
      <c r="E165" s="0" t="n">
        <v>5023</v>
      </c>
      <c r="F165" s="0" t="str">
        <f aca="false">"W"&amp;ROWS(F$146:F165)&amp;"IL"</f>
        <v>W20IL</v>
      </c>
      <c r="G165" s="0" t="n">
        <v>90</v>
      </c>
      <c r="H165" s="0" t="n">
        <v>90</v>
      </c>
    </row>
    <row r="166" customFormat="false" ht="15" hidden="false" customHeight="false" outlineLevel="0" collapsed="false">
      <c r="B166" s="0" t="n">
        <v>850</v>
      </c>
      <c r="C166" s="0" t="n">
        <v>3</v>
      </c>
      <c r="D166" s="0" t="n">
        <v>0</v>
      </c>
      <c r="E166" s="0" t="n">
        <v>5023</v>
      </c>
      <c r="F166" s="0" t="str">
        <f aca="false">"W"&amp;ROWS(F$146:F166)&amp;"IL"</f>
        <v>W21IL</v>
      </c>
      <c r="G166" s="0" t="n">
        <v>90</v>
      </c>
      <c r="H166" s="0" t="n">
        <v>90</v>
      </c>
    </row>
    <row r="167" customFormat="false" ht="15" hidden="false" customHeight="false" outlineLevel="0" collapsed="false">
      <c r="B167" s="0" t="n">
        <v>850</v>
      </c>
      <c r="C167" s="0" t="n">
        <v>3</v>
      </c>
      <c r="D167" s="0" t="n">
        <v>0</v>
      </c>
      <c r="E167" s="0" t="n">
        <v>5023</v>
      </c>
      <c r="F167" s="0" t="str">
        <f aca="false">"W"&amp;ROWS(F$146:F167)&amp;"IL"</f>
        <v>W22IL</v>
      </c>
      <c r="G167" s="0" t="n">
        <v>90</v>
      </c>
      <c r="H167" s="0" t="n">
        <v>90</v>
      </c>
    </row>
    <row r="168" customFormat="false" ht="15" hidden="false" customHeight="false" outlineLevel="0" collapsed="false">
      <c r="B168" s="0" t="n">
        <v>1140</v>
      </c>
      <c r="C168" s="0" t="n">
        <v>3</v>
      </c>
      <c r="D168" s="0" t="n">
        <v>0</v>
      </c>
      <c r="E168" s="0" t="n">
        <v>5023</v>
      </c>
      <c r="F168" s="0" t="str">
        <f aca="false">"W"&amp;ROWS(F$146:F168)&amp;"IL"</f>
        <v>W23IL</v>
      </c>
      <c r="G168" s="0" t="n">
        <v>90</v>
      </c>
      <c r="H168" s="0" t="n">
        <v>90</v>
      </c>
    </row>
    <row r="169" customFormat="false" ht="15" hidden="false" customHeight="false" outlineLevel="0" collapsed="false">
      <c r="B169" s="0" t="n">
        <v>850</v>
      </c>
      <c r="C169" s="0" t="n">
        <v>3</v>
      </c>
      <c r="D169" s="0" t="n">
        <v>0</v>
      </c>
      <c r="E169" s="0" t="n">
        <v>5023</v>
      </c>
      <c r="F169" s="0" t="str">
        <f aca="false">"W"&amp;ROWS(F$146:F169)&amp;"IL"</f>
        <v>W24IL</v>
      </c>
      <c r="G169" s="0" t="n">
        <v>90</v>
      </c>
      <c r="H169" s="0" t="n">
        <v>90</v>
      </c>
    </row>
    <row r="170" customFormat="false" ht="15" hidden="false" customHeight="false" outlineLevel="0" collapsed="false">
      <c r="B170" s="0" t="n">
        <v>900</v>
      </c>
      <c r="C170" s="0" t="n">
        <v>3</v>
      </c>
      <c r="D170" s="0" t="n">
        <v>0</v>
      </c>
      <c r="E170" s="0" t="n">
        <v>5023</v>
      </c>
      <c r="F170" s="0" t="str">
        <f aca="false">"W"&amp;ROWS(F$146:F170)&amp;"IL"</f>
        <v>W25IL</v>
      </c>
      <c r="G170" s="0" t="n">
        <v>90</v>
      </c>
      <c r="H170" s="0" t="n">
        <v>90</v>
      </c>
    </row>
    <row r="171" customFormat="false" ht="15" hidden="false" customHeight="false" outlineLevel="0" collapsed="false">
      <c r="B171" s="0" t="n">
        <v>870</v>
      </c>
      <c r="C171" s="0" t="n">
        <v>3</v>
      </c>
      <c r="D171" s="0" t="n">
        <v>0</v>
      </c>
      <c r="E171" s="0" t="n">
        <v>5023</v>
      </c>
      <c r="F171" s="0" t="str">
        <f aca="false">"W"&amp;ROWS(F$146:F171)&amp;"IL"</f>
        <v>W26IL</v>
      </c>
      <c r="G171" s="0" t="n">
        <v>90</v>
      </c>
      <c r="H171" s="0" t="n">
        <v>90</v>
      </c>
    </row>
    <row r="172" customFormat="false" ht="15" hidden="false" customHeight="false" outlineLevel="0" collapsed="false">
      <c r="B172" s="0" t="n">
        <v>2140</v>
      </c>
      <c r="C172" s="0" t="n">
        <v>3</v>
      </c>
      <c r="D172" s="0" t="n">
        <v>0</v>
      </c>
      <c r="E172" s="0" t="n">
        <v>5023</v>
      </c>
      <c r="F172" s="0" t="str">
        <f aca="false">"W"&amp;ROWS(F$146:F172)&amp;"IL"</f>
        <v>W27IL</v>
      </c>
      <c r="G172" s="0" t="n">
        <v>90</v>
      </c>
      <c r="H172" s="0" t="n">
        <v>90</v>
      </c>
    </row>
    <row r="173" customFormat="false" ht="15" hidden="false" customHeight="false" outlineLevel="0" collapsed="false">
      <c r="B173" s="0" t="n">
        <v>2160</v>
      </c>
      <c r="C173" s="0" t="n">
        <v>3</v>
      </c>
      <c r="D173" s="0" t="n">
        <v>0</v>
      </c>
      <c r="E173" s="0" t="n">
        <v>5023</v>
      </c>
      <c r="F173" s="0" t="str">
        <f aca="false">"W"&amp;ROWS(F$146:F173)&amp;"IL"</f>
        <v>W28IL</v>
      </c>
      <c r="G173" s="0" t="n">
        <v>90</v>
      </c>
      <c r="H173" s="0" t="n">
        <v>90</v>
      </c>
    </row>
    <row r="174" customFormat="false" ht="15" hidden="false" customHeight="false" outlineLevel="0" collapsed="false">
      <c r="B174" s="0" t="n">
        <v>990</v>
      </c>
      <c r="C174" s="0" t="n">
        <v>3</v>
      </c>
      <c r="D174" s="0" t="n">
        <v>0</v>
      </c>
      <c r="E174" s="0" t="n">
        <v>5023</v>
      </c>
      <c r="F174" s="0" t="str">
        <f aca="false">"W"&amp;ROWS(F$146:F174)&amp;"IL"</f>
        <v>W29IL</v>
      </c>
      <c r="G174" s="0" t="n">
        <v>90</v>
      </c>
      <c r="H174" s="0" t="n">
        <v>90</v>
      </c>
    </row>
    <row r="175" customFormat="false" ht="15" hidden="false" customHeight="false" outlineLevel="0" collapsed="false">
      <c r="B175" s="0" t="n">
        <v>900</v>
      </c>
      <c r="C175" s="0" t="n">
        <v>3</v>
      </c>
      <c r="D175" s="0" t="n">
        <v>0</v>
      </c>
      <c r="E175" s="0" t="n">
        <v>5023</v>
      </c>
      <c r="F175" s="0" t="str">
        <f aca="false">"W"&amp;ROWS(F$146:F175)&amp;"IL"</f>
        <v>W30IL</v>
      </c>
      <c r="G175" s="0" t="n">
        <v>90</v>
      </c>
      <c r="H175" s="0" t="n">
        <v>90</v>
      </c>
    </row>
    <row r="176" customFormat="false" ht="15" hidden="false" customHeight="false" outlineLevel="0" collapsed="false">
      <c r="B176" s="0" t="n">
        <v>920</v>
      </c>
      <c r="C176" s="0" t="n">
        <v>3</v>
      </c>
      <c r="D176" s="0" t="n">
        <v>0</v>
      </c>
      <c r="E176" s="0" t="n">
        <v>5023</v>
      </c>
      <c r="F176" s="0" t="str">
        <f aca="false">"W"&amp;ROWS(F$146:F176)&amp;"IL"</f>
        <v>W31IL</v>
      </c>
      <c r="G176" s="0" t="n">
        <v>90</v>
      </c>
      <c r="H176" s="0" t="n">
        <v>90</v>
      </c>
    </row>
    <row r="177" customFormat="false" ht="15" hidden="false" customHeight="false" outlineLevel="0" collapsed="false">
      <c r="B177" s="0" t="n">
        <v>1900</v>
      </c>
      <c r="C177" s="0" t="n">
        <v>3</v>
      </c>
      <c r="D177" s="0" t="n">
        <v>0</v>
      </c>
      <c r="E177" s="0" t="n">
        <v>5023</v>
      </c>
      <c r="F177" s="0" t="str">
        <f aca="false">"W"&amp;ROWS(F$146:F177)&amp;"IL"</f>
        <v>W32IL</v>
      </c>
      <c r="G177" s="0" t="n">
        <v>90</v>
      </c>
      <c r="H177" s="0" t="n">
        <v>90</v>
      </c>
    </row>
    <row r="178" customFormat="false" ht="15" hidden="false" customHeight="false" outlineLevel="0" collapsed="false">
      <c r="B178" s="0" t="n">
        <v>840</v>
      </c>
      <c r="C178" s="0" t="n">
        <v>1</v>
      </c>
      <c r="D178" s="0" t="n">
        <v>0</v>
      </c>
      <c r="E178" s="0" t="n">
        <v>5025</v>
      </c>
      <c r="F178" s="0" t="str">
        <f aca="false">"W"&amp;ROWS(F$178:F178)&amp;"NETW"</f>
        <v>W1NETW</v>
      </c>
      <c r="G178" s="0" t="n">
        <v>45</v>
      </c>
      <c r="H178" s="0" t="n">
        <v>45</v>
      </c>
    </row>
    <row r="179" customFormat="false" ht="15" hidden="false" customHeight="false" outlineLevel="0" collapsed="false">
      <c r="B179" s="0" t="n">
        <v>980</v>
      </c>
      <c r="C179" s="0" t="n">
        <v>1</v>
      </c>
      <c r="D179" s="0" t="n">
        <v>0</v>
      </c>
      <c r="E179" s="0" t="n">
        <v>5025</v>
      </c>
      <c r="F179" s="0" t="str">
        <f aca="false">"W"&amp;ROWS(F$178:F179)&amp;"NETW"</f>
        <v>W2NETW</v>
      </c>
      <c r="G179" s="0" t="n">
        <v>45</v>
      </c>
      <c r="H179" s="0" t="n">
        <v>45</v>
      </c>
    </row>
    <row r="180" customFormat="false" ht="15" hidden="false" customHeight="false" outlineLevel="0" collapsed="false">
      <c r="B180" s="0" t="n">
        <v>870</v>
      </c>
      <c r="C180" s="0" t="n">
        <v>1</v>
      </c>
      <c r="D180" s="0" t="n">
        <v>0</v>
      </c>
      <c r="E180" s="0" t="n">
        <v>5025</v>
      </c>
      <c r="F180" s="0" t="str">
        <f aca="false">"W"&amp;ROWS(F$178:F180)&amp;"NETW"</f>
        <v>W3NETW</v>
      </c>
      <c r="G180" s="0" t="n">
        <v>45</v>
      </c>
      <c r="H180" s="0" t="n">
        <v>45</v>
      </c>
    </row>
    <row r="181" customFormat="false" ht="15" hidden="false" customHeight="false" outlineLevel="0" collapsed="false">
      <c r="B181" s="0" t="n">
        <v>1200</v>
      </c>
      <c r="C181" s="0" t="n">
        <v>1</v>
      </c>
      <c r="D181" s="0" t="n">
        <v>0</v>
      </c>
      <c r="E181" s="0" t="n">
        <v>5025</v>
      </c>
      <c r="F181" s="0" t="str">
        <f aca="false">"W"&amp;ROWS(F$178:F181)&amp;"NETW"</f>
        <v>W4NETW</v>
      </c>
      <c r="G181" s="0" t="n">
        <v>45</v>
      </c>
      <c r="H181" s="0" t="n">
        <v>45</v>
      </c>
    </row>
    <row r="182" customFormat="false" ht="15" hidden="false" customHeight="false" outlineLevel="0" collapsed="false">
      <c r="B182" s="0" t="n">
        <v>1220</v>
      </c>
      <c r="C182" s="0" t="n">
        <v>1</v>
      </c>
      <c r="D182" s="0" t="n">
        <v>0</v>
      </c>
      <c r="E182" s="0" t="n">
        <v>5025</v>
      </c>
      <c r="F182" s="0" t="str">
        <f aca="false">"W"&amp;ROWS(F$178:F182)&amp;"NETW"</f>
        <v>W5NETW</v>
      </c>
      <c r="G182" s="0" t="n">
        <v>45</v>
      </c>
      <c r="H182" s="0" t="n">
        <v>45</v>
      </c>
    </row>
    <row r="183" customFormat="false" ht="15" hidden="false" customHeight="false" outlineLevel="0" collapsed="false">
      <c r="B183" s="0" t="n">
        <v>800</v>
      </c>
      <c r="C183" s="0" t="n">
        <v>1</v>
      </c>
      <c r="D183" s="0" t="n">
        <v>0</v>
      </c>
      <c r="E183" s="0" t="n">
        <v>5025</v>
      </c>
      <c r="F183" s="0" t="str">
        <f aca="false">"W"&amp;ROWS(F$178:F183)&amp;"NETW"</f>
        <v>W6NETW</v>
      </c>
      <c r="G183" s="0" t="n">
        <v>45</v>
      </c>
      <c r="H183" s="0" t="n">
        <v>45</v>
      </c>
    </row>
    <row r="184" customFormat="false" ht="15" hidden="false" customHeight="false" outlineLevel="0" collapsed="false">
      <c r="B184" s="0" t="n">
        <v>1200</v>
      </c>
      <c r="C184" s="0" t="n">
        <v>1</v>
      </c>
      <c r="D184" s="0" t="n">
        <v>0</v>
      </c>
      <c r="E184" s="0" t="n">
        <v>5025</v>
      </c>
      <c r="F184" s="0" t="str">
        <f aca="false">"W"&amp;ROWS(F$178:F184)&amp;"NETW"</f>
        <v>W7NETW</v>
      </c>
      <c r="G184" s="0" t="n">
        <v>45</v>
      </c>
      <c r="H184" s="0" t="n">
        <v>45</v>
      </c>
    </row>
    <row r="185" customFormat="false" ht="15" hidden="false" customHeight="false" outlineLevel="0" collapsed="false">
      <c r="B185" s="0" t="n">
        <v>1210</v>
      </c>
      <c r="C185" s="0" t="n">
        <v>1</v>
      </c>
      <c r="D185" s="0" t="n">
        <v>0</v>
      </c>
      <c r="E185" s="0" t="n">
        <v>5025</v>
      </c>
      <c r="F185" s="0" t="str">
        <f aca="false">"W"&amp;ROWS(F$178:F185)&amp;"NETW"</f>
        <v>W8NETW</v>
      </c>
      <c r="G185" s="0" t="n">
        <v>45</v>
      </c>
      <c r="H185" s="0" t="n">
        <v>45</v>
      </c>
    </row>
    <row r="186" customFormat="false" ht="15" hidden="false" customHeight="false" outlineLevel="0" collapsed="false">
      <c r="B186" s="0" t="n">
        <v>800</v>
      </c>
      <c r="C186" s="0" t="n">
        <v>1</v>
      </c>
      <c r="D186" s="0" t="n">
        <v>0</v>
      </c>
      <c r="E186" s="0" t="n">
        <v>5025</v>
      </c>
      <c r="F186" s="0" t="str">
        <f aca="false">"W"&amp;ROWS(F$178:F186)&amp;"NETW"</f>
        <v>W9NETW</v>
      </c>
      <c r="G186" s="0" t="n">
        <v>45</v>
      </c>
      <c r="H186" s="0" t="n">
        <v>45</v>
      </c>
    </row>
    <row r="187" customFormat="false" ht="15" hidden="false" customHeight="false" outlineLevel="0" collapsed="false">
      <c r="B187" s="0" t="n">
        <v>1200</v>
      </c>
      <c r="C187" s="0" t="n">
        <v>1</v>
      </c>
      <c r="D187" s="0" t="n">
        <v>0</v>
      </c>
      <c r="E187" s="0" t="n">
        <v>5025</v>
      </c>
      <c r="F187" s="0" t="str">
        <f aca="false">"W"&amp;ROWS(F$178:F187)&amp;"NETW"</f>
        <v>W10NETW</v>
      </c>
      <c r="G187" s="0" t="n">
        <v>45</v>
      </c>
      <c r="H187" s="0" t="n">
        <v>45</v>
      </c>
    </row>
    <row r="188" customFormat="false" ht="15" hidden="false" customHeight="false" outlineLevel="0" collapsed="false">
      <c r="B188" s="0" t="n">
        <v>1200</v>
      </c>
      <c r="C188" s="0" t="n">
        <v>1</v>
      </c>
      <c r="D188" s="0" t="n">
        <v>0</v>
      </c>
      <c r="E188" s="0" t="n">
        <v>5025</v>
      </c>
      <c r="F188" s="0" t="str">
        <f aca="false">"W"&amp;ROWS(F$178:F188)&amp;"NETW"</f>
        <v>W11NETW</v>
      </c>
      <c r="G188" s="0" t="n">
        <v>45</v>
      </c>
      <c r="H188" s="0" t="n">
        <v>45</v>
      </c>
    </row>
    <row r="189" customFormat="false" ht="15" hidden="false" customHeight="false" outlineLevel="0" collapsed="false">
      <c r="B189" s="0" t="n">
        <v>1200</v>
      </c>
      <c r="C189" s="0" t="n">
        <v>1</v>
      </c>
      <c r="D189" s="0" t="n">
        <v>0</v>
      </c>
      <c r="E189" s="0" t="n">
        <v>5025</v>
      </c>
      <c r="F189" s="0" t="str">
        <f aca="false">"W"&amp;ROWS(F$178:F189)&amp;"NETW"</f>
        <v>W12NETW</v>
      </c>
      <c r="G189" s="0" t="n">
        <v>45</v>
      </c>
      <c r="H189" s="0" t="n">
        <v>45</v>
      </c>
    </row>
    <row r="190" customFormat="false" ht="15" hidden="false" customHeight="false" outlineLevel="0" collapsed="false">
      <c r="B190" s="0" t="n">
        <v>800</v>
      </c>
      <c r="C190" s="0" t="n">
        <v>1</v>
      </c>
      <c r="D190" s="0" t="n">
        <v>0</v>
      </c>
      <c r="E190" s="0" t="n">
        <v>5025</v>
      </c>
      <c r="F190" s="0" t="str">
        <f aca="false">"W"&amp;ROWS(F$178:F190)&amp;"NETW"</f>
        <v>W13NETW</v>
      </c>
      <c r="G190" s="0" t="n">
        <v>45</v>
      </c>
      <c r="H190" s="0" t="n">
        <v>45</v>
      </c>
    </row>
    <row r="191" customFormat="false" ht="15" hidden="false" customHeight="false" outlineLevel="0" collapsed="false">
      <c r="B191" s="0" t="n">
        <v>1200</v>
      </c>
      <c r="C191" s="0" t="n">
        <v>1</v>
      </c>
      <c r="D191" s="0" t="n">
        <v>0</v>
      </c>
      <c r="E191" s="0" t="n">
        <v>5025</v>
      </c>
      <c r="F191" s="0" t="str">
        <f aca="false">"W"&amp;ROWS(F$178:F191)&amp;"NETW"</f>
        <v>W14NETW</v>
      </c>
      <c r="G191" s="0" t="n">
        <v>45</v>
      </c>
      <c r="H191" s="0" t="n">
        <v>45</v>
      </c>
    </row>
    <row r="192" customFormat="false" ht="15" hidden="false" customHeight="false" outlineLevel="0" collapsed="false">
      <c r="B192" s="0" t="n">
        <v>1180</v>
      </c>
      <c r="C192" s="0" t="n">
        <v>1</v>
      </c>
      <c r="D192" s="0" t="n">
        <v>0</v>
      </c>
      <c r="E192" s="0" t="n">
        <v>5025</v>
      </c>
      <c r="F192" s="0" t="str">
        <f aca="false">"W"&amp;ROWS(F$178:F192)&amp;"NETW"</f>
        <v>W15NETW</v>
      </c>
      <c r="G192" s="0" t="n">
        <v>45</v>
      </c>
      <c r="H192" s="0" t="n">
        <v>45</v>
      </c>
    </row>
    <row r="193" customFormat="false" ht="15" hidden="false" customHeight="false" outlineLevel="0" collapsed="false">
      <c r="B193" s="0" t="n">
        <v>840</v>
      </c>
      <c r="C193" s="0" t="n">
        <v>1</v>
      </c>
      <c r="D193" s="0" t="n">
        <v>0</v>
      </c>
      <c r="E193" s="0" t="n">
        <v>5025</v>
      </c>
      <c r="F193" s="0" t="str">
        <f aca="false">"W"&amp;ROWS(F$178:F193)&amp;"NETW"</f>
        <v>W16NETW</v>
      </c>
      <c r="G193" s="0" t="n">
        <v>45</v>
      </c>
      <c r="H193" s="0" t="n">
        <v>45</v>
      </c>
    </row>
    <row r="194" customFormat="false" ht="15" hidden="false" customHeight="false" outlineLevel="0" collapsed="false">
      <c r="B194" s="0" t="n">
        <v>1200</v>
      </c>
      <c r="C194" s="0" t="n">
        <v>1</v>
      </c>
      <c r="D194" s="0" t="n">
        <v>0</v>
      </c>
      <c r="E194" s="0" t="n">
        <v>5025</v>
      </c>
      <c r="F194" s="0" t="str">
        <f aca="false">"W"&amp;ROWS(F$178:F194)&amp;"NETW"</f>
        <v>W17NETW</v>
      </c>
      <c r="G194" s="0" t="n">
        <v>45</v>
      </c>
      <c r="H194" s="0" t="n">
        <v>45</v>
      </c>
    </row>
    <row r="195" customFormat="false" ht="15" hidden="false" customHeight="false" outlineLevel="0" collapsed="false">
      <c r="B195" s="0" t="n">
        <v>1200</v>
      </c>
      <c r="C195" s="0" t="n">
        <v>1</v>
      </c>
      <c r="D195" s="0" t="n">
        <v>0</v>
      </c>
      <c r="E195" s="0" t="n">
        <v>5025</v>
      </c>
      <c r="F195" s="0" t="str">
        <f aca="false">"W"&amp;ROWS(F$178:F195)&amp;"NETW"</f>
        <v>W18NETW</v>
      </c>
      <c r="G195" s="0" t="n">
        <v>45</v>
      </c>
      <c r="H195" s="0" t="n">
        <v>45</v>
      </c>
    </row>
    <row r="196" customFormat="false" ht="15" hidden="false" customHeight="false" outlineLevel="0" collapsed="false">
      <c r="B196" s="0" t="n">
        <v>1200</v>
      </c>
      <c r="C196" s="0" t="n">
        <v>1</v>
      </c>
      <c r="D196" s="0" t="n">
        <v>0</v>
      </c>
      <c r="E196" s="0" t="n">
        <v>5025</v>
      </c>
      <c r="F196" s="0" t="str">
        <f aca="false">"W"&amp;ROWS(F$178:F196)&amp;"NETW"</f>
        <v>W19NETW</v>
      </c>
      <c r="G196" s="0" t="n">
        <v>45</v>
      </c>
      <c r="H196" s="0" t="n">
        <v>45</v>
      </c>
    </row>
    <row r="197" customFormat="false" ht="15" hidden="false" customHeight="false" outlineLevel="0" collapsed="false">
      <c r="B197" s="0" t="n">
        <v>1150</v>
      </c>
      <c r="C197" s="0" t="n">
        <v>1</v>
      </c>
      <c r="D197" s="0" t="n">
        <v>0</v>
      </c>
      <c r="E197" s="0" t="n">
        <v>5025</v>
      </c>
      <c r="F197" s="0" t="str">
        <f aca="false">"W"&amp;ROWS(F$178:F197)&amp;"NETW"</f>
        <v>W20NETW</v>
      </c>
      <c r="G197" s="0" t="n">
        <v>45</v>
      </c>
      <c r="H197" s="0" t="n">
        <v>45</v>
      </c>
    </row>
    <row r="198" customFormat="false" ht="15" hidden="false" customHeight="false" outlineLevel="0" collapsed="false">
      <c r="B198" s="0" t="n">
        <v>800</v>
      </c>
      <c r="C198" s="0" t="n">
        <v>1</v>
      </c>
      <c r="D198" s="0" t="n">
        <v>0</v>
      </c>
      <c r="E198" s="0" t="n">
        <v>5025</v>
      </c>
      <c r="F198" s="0" t="str">
        <f aca="false">"W"&amp;ROWS(F$178:F198)&amp;"NETW"</f>
        <v>W21NETW</v>
      </c>
      <c r="G198" s="0" t="n">
        <v>45</v>
      </c>
      <c r="H198" s="0" t="n">
        <v>45</v>
      </c>
    </row>
    <row r="199" customFormat="false" ht="15" hidden="false" customHeight="false" outlineLevel="0" collapsed="false">
      <c r="B199" s="0" t="n">
        <v>1200</v>
      </c>
      <c r="C199" s="0" t="n">
        <v>1</v>
      </c>
      <c r="D199" s="0" t="n">
        <v>0</v>
      </c>
      <c r="E199" s="0" t="n">
        <v>5025</v>
      </c>
      <c r="F199" s="0" t="str">
        <f aca="false">"W"&amp;ROWS(F$178:F199)&amp;"NETW"</f>
        <v>W22NETW</v>
      </c>
      <c r="G199" s="0" t="n">
        <v>45</v>
      </c>
      <c r="H199" s="0" t="n">
        <v>45</v>
      </c>
    </row>
    <row r="200" customFormat="false" ht="15" hidden="false" customHeight="false" outlineLevel="0" collapsed="false">
      <c r="B200" s="0" t="n">
        <v>1150</v>
      </c>
      <c r="C200" s="0" t="n">
        <v>1</v>
      </c>
      <c r="D200" s="0" t="n">
        <v>0</v>
      </c>
      <c r="E200" s="0" t="n">
        <v>5025</v>
      </c>
      <c r="F200" s="0" t="str">
        <f aca="false">"W"&amp;ROWS(F$178:F200)&amp;"NETW"</f>
        <v>W23NETW</v>
      </c>
      <c r="G200" s="0" t="n">
        <v>45</v>
      </c>
      <c r="H200" s="0" t="n">
        <v>45</v>
      </c>
    </row>
    <row r="201" customFormat="false" ht="15" hidden="false" customHeight="false" outlineLevel="0" collapsed="false">
      <c r="B201" s="0" t="n">
        <v>800</v>
      </c>
      <c r="C201" s="0" t="n">
        <v>1</v>
      </c>
      <c r="D201" s="0" t="n">
        <v>0</v>
      </c>
      <c r="E201" s="0" t="n">
        <v>5025</v>
      </c>
      <c r="F201" s="0" t="str">
        <f aca="false">"W"&amp;ROWS(F$178:F201)&amp;"NETW"</f>
        <v>W24NETW</v>
      </c>
      <c r="G201" s="0" t="n">
        <v>45</v>
      </c>
      <c r="H201" s="0" t="n">
        <v>45</v>
      </c>
    </row>
    <row r="202" customFormat="false" ht="15" hidden="false" customHeight="false" outlineLevel="0" collapsed="false">
      <c r="B202" s="0" t="n">
        <v>1200</v>
      </c>
      <c r="C202" s="0" t="n">
        <v>1</v>
      </c>
      <c r="D202" s="0" t="n">
        <v>0</v>
      </c>
      <c r="E202" s="0" t="n">
        <v>5025</v>
      </c>
      <c r="F202" s="0" t="str">
        <f aca="false">"W"&amp;ROWS(F$178:F202)&amp;"NETW"</f>
        <v>W25NETW</v>
      </c>
      <c r="G202" s="0" t="n">
        <v>45</v>
      </c>
      <c r="H202" s="0" t="n">
        <v>45</v>
      </c>
    </row>
    <row r="203" customFormat="false" ht="15" hidden="false" customHeight="false" outlineLevel="0" collapsed="false">
      <c r="B203" s="0" t="n">
        <v>1200</v>
      </c>
      <c r="C203" s="0" t="n">
        <v>1</v>
      </c>
      <c r="D203" s="0" t="n">
        <v>0</v>
      </c>
      <c r="E203" s="0" t="n">
        <v>5025</v>
      </c>
      <c r="F203" s="0" t="str">
        <f aca="false">"W"&amp;ROWS(F$178:F203)&amp;"NETW"</f>
        <v>W26NETW</v>
      </c>
      <c r="G203" s="0" t="n">
        <v>45</v>
      </c>
      <c r="H203" s="0" t="n">
        <v>45</v>
      </c>
    </row>
    <row r="204" customFormat="false" ht="15" hidden="false" customHeight="false" outlineLevel="0" collapsed="false">
      <c r="B204" s="0" t="n">
        <v>3580</v>
      </c>
      <c r="C204" s="0" t="n">
        <v>1</v>
      </c>
      <c r="D204" s="0" t="n">
        <v>0</v>
      </c>
      <c r="E204" s="0" t="n">
        <v>5025</v>
      </c>
      <c r="F204" s="0" t="str">
        <f aca="false">"W"&amp;ROWS(F$178:F204)&amp;"NETW"</f>
        <v>W27NETW</v>
      </c>
      <c r="G204" s="0" t="n">
        <v>45</v>
      </c>
      <c r="H204" s="0" t="n">
        <v>45</v>
      </c>
    </row>
    <row r="205" customFormat="false" ht="15" hidden="false" customHeight="false" outlineLevel="0" collapsed="false">
      <c r="B205" s="0" t="n">
        <v>2500</v>
      </c>
      <c r="C205" s="0" t="n">
        <v>1</v>
      </c>
      <c r="D205" s="0" t="n">
        <v>0</v>
      </c>
      <c r="E205" s="0" t="n">
        <v>5025</v>
      </c>
      <c r="F205" s="0" t="str">
        <f aca="false">"W"&amp;ROWS(F$178:F205)&amp;"NETW"</f>
        <v>W28NETW</v>
      </c>
      <c r="G205" s="0" t="n">
        <v>45</v>
      </c>
      <c r="H205" s="0" t="n">
        <v>45</v>
      </c>
    </row>
    <row r="206" customFormat="false" ht="15" hidden="false" customHeight="false" outlineLevel="0" collapsed="false">
      <c r="B206" s="0" t="n">
        <v>1570</v>
      </c>
      <c r="C206" s="0" t="n">
        <v>1</v>
      </c>
      <c r="D206" s="0" t="n">
        <v>0</v>
      </c>
      <c r="E206" s="0" t="n">
        <v>5025</v>
      </c>
      <c r="F206" s="0" t="str">
        <f aca="false">"W"&amp;ROWS(F$178:F206)&amp;"NETW"</f>
        <v>W29NETW</v>
      </c>
      <c r="G206" s="0" t="n">
        <v>45</v>
      </c>
      <c r="H206" s="0" t="n">
        <v>45</v>
      </c>
    </row>
    <row r="207" customFormat="false" ht="15" hidden="false" customHeight="false" outlineLevel="0" collapsed="false">
      <c r="B207" s="0" t="n">
        <v>1170</v>
      </c>
      <c r="C207" s="0" t="n">
        <v>1</v>
      </c>
      <c r="D207" s="0" t="n">
        <v>0</v>
      </c>
      <c r="E207" s="0" t="n">
        <v>5025</v>
      </c>
      <c r="F207" s="0" t="str">
        <f aca="false">"W"&amp;ROWS(F$178:F207)&amp;"NETW"</f>
        <v>W30NETW</v>
      </c>
      <c r="G207" s="0" t="n">
        <v>45</v>
      </c>
      <c r="H207" s="0" t="n">
        <v>45</v>
      </c>
    </row>
    <row r="208" customFormat="false" ht="15" hidden="false" customHeight="false" outlineLevel="0" collapsed="false">
      <c r="B208" s="0" t="n">
        <v>1170</v>
      </c>
      <c r="C208" s="0" t="n">
        <v>1</v>
      </c>
      <c r="D208" s="0" t="n">
        <v>0</v>
      </c>
      <c r="E208" s="0" t="n">
        <v>5025</v>
      </c>
      <c r="F208" s="0" t="str">
        <f aca="false">"W"&amp;ROWS(F$178:F208)&amp;"NETW"</f>
        <v>W31NETW</v>
      </c>
      <c r="G208" s="0" t="n">
        <v>45</v>
      </c>
      <c r="H208" s="0" t="n">
        <v>45</v>
      </c>
    </row>
    <row r="209" customFormat="false" ht="15" hidden="false" customHeight="false" outlineLevel="0" collapsed="false">
      <c r="B209" s="0" t="n">
        <v>1930</v>
      </c>
      <c r="C209" s="0" t="n">
        <v>1</v>
      </c>
      <c r="D209" s="0" t="n">
        <v>0</v>
      </c>
      <c r="E209" s="0" t="n">
        <v>5025</v>
      </c>
      <c r="F209" s="0" t="str">
        <f aca="false">"W"&amp;ROWS(F$178:F209)&amp;"NETW"</f>
        <v>W32NETW</v>
      </c>
      <c r="G209" s="0" t="n">
        <v>45</v>
      </c>
      <c r="H209" s="0" t="n">
        <v>45</v>
      </c>
    </row>
    <row r="210" customFormat="false" ht="15" hidden="false" customHeight="false" outlineLevel="0" collapsed="false">
      <c r="B210" s="0" t="n">
        <v>690</v>
      </c>
      <c r="C210" s="0" t="n">
        <v>2</v>
      </c>
      <c r="D210" s="0" t="n">
        <v>0</v>
      </c>
      <c r="E210" s="0" t="n">
        <v>5025</v>
      </c>
      <c r="F210" s="0" t="str">
        <f aca="false">"W"&amp;ROWS(F$210:F210)&amp;"NETH"</f>
        <v>W1NETH</v>
      </c>
      <c r="G210" s="0" t="n">
        <v>45</v>
      </c>
      <c r="H210" s="0" t="n">
        <v>45</v>
      </c>
    </row>
    <row r="211" customFormat="false" ht="15" hidden="false" customHeight="false" outlineLevel="0" collapsed="false">
      <c r="B211" s="0" t="n">
        <v>970</v>
      </c>
      <c r="C211" s="0" t="n">
        <v>2</v>
      </c>
      <c r="D211" s="0" t="n">
        <v>0</v>
      </c>
      <c r="E211" s="0" t="n">
        <v>5025</v>
      </c>
      <c r="F211" s="0" t="str">
        <f aca="false">"W"&amp;ROWS(F$210:F211)&amp;"NETH"</f>
        <v>W2NETH</v>
      </c>
      <c r="G211" s="0" t="n">
        <v>45</v>
      </c>
      <c r="H211" s="0" t="n">
        <v>45</v>
      </c>
    </row>
    <row r="212" customFormat="false" ht="15" hidden="false" customHeight="false" outlineLevel="0" collapsed="false">
      <c r="B212" s="0" t="n">
        <v>890</v>
      </c>
      <c r="C212" s="0" t="n">
        <v>2</v>
      </c>
      <c r="D212" s="0" t="n">
        <v>0</v>
      </c>
      <c r="E212" s="0" t="n">
        <v>5025</v>
      </c>
      <c r="F212" s="0" t="str">
        <f aca="false">"W"&amp;ROWS(F$210:F212)&amp;"NETH"</f>
        <v>W3NETH</v>
      </c>
      <c r="G212" s="0" t="n">
        <v>45</v>
      </c>
      <c r="H212" s="0" t="n">
        <v>45</v>
      </c>
    </row>
    <row r="213" customFormat="false" ht="15" hidden="false" customHeight="false" outlineLevel="0" collapsed="false">
      <c r="B213" s="0" t="n">
        <v>800</v>
      </c>
      <c r="C213" s="0" t="n">
        <v>2</v>
      </c>
      <c r="D213" s="0" t="n">
        <v>0</v>
      </c>
      <c r="E213" s="0" t="n">
        <v>5025</v>
      </c>
      <c r="F213" s="0" t="str">
        <f aca="false">"W"&amp;ROWS(F$210:F213)&amp;"NETH"</f>
        <v>W4NETH</v>
      </c>
      <c r="G213" s="0" t="n">
        <v>45</v>
      </c>
      <c r="H213" s="0" t="n">
        <v>45</v>
      </c>
    </row>
    <row r="214" customFormat="false" ht="15" hidden="false" customHeight="false" outlineLevel="0" collapsed="false">
      <c r="B214" s="0" t="n">
        <v>970</v>
      </c>
      <c r="C214" s="0" t="n">
        <v>2</v>
      </c>
      <c r="D214" s="0" t="n">
        <v>0</v>
      </c>
      <c r="E214" s="0" t="n">
        <v>5025</v>
      </c>
      <c r="F214" s="0" t="str">
        <f aca="false">"W"&amp;ROWS(F$210:F214)&amp;"NETH"</f>
        <v>W5NETH</v>
      </c>
      <c r="G214" s="0" t="n">
        <v>45</v>
      </c>
      <c r="H214" s="0" t="n">
        <v>45</v>
      </c>
    </row>
    <row r="215" customFormat="false" ht="15" hidden="false" customHeight="false" outlineLevel="0" collapsed="false">
      <c r="B215" s="0" t="n">
        <v>800</v>
      </c>
      <c r="C215" s="0" t="n">
        <v>2</v>
      </c>
      <c r="D215" s="0" t="n">
        <v>0</v>
      </c>
      <c r="E215" s="0" t="n">
        <v>5025</v>
      </c>
      <c r="F215" s="0" t="str">
        <f aca="false">"W"&amp;ROWS(F$210:F215)&amp;"NETH"</f>
        <v>W6NETH</v>
      </c>
      <c r="G215" s="0" t="n">
        <v>45</v>
      </c>
      <c r="H215" s="0" t="n">
        <v>45</v>
      </c>
    </row>
    <row r="216" customFormat="false" ht="15" hidden="false" customHeight="false" outlineLevel="0" collapsed="false">
      <c r="B216" s="0" t="n">
        <v>800</v>
      </c>
      <c r="C216" s="0" t="n">
        <v>2</v>
      </c>
      <c r="D216" s="0" t="n">
        <v>0</v>
      </c>
      <c r="E216" s="0" t="n">
        <v>5025</v>
      </c>
      <c r="F216" s="0" t="str">
        <f aca="false">"W"&amp;ROWS(F$210:F216)&amp;"NETH"</f>
        <v>W7NETH</v>
      </c>
      <c r="G216" s="0" t="n">
        <v>45</v>
      </c>
      <c r="H216" s="0" t="n">
        <v>45</v>
      </c>
    </row>
    <row r="217" customFormat="false" ht="15" hidden="false" customHeight="false" outlineLevel="0" collapsed="false">
      <c r="B217" s="0" t="n">
        <v>960</v>
      </c>
      <c r="C217" s="0" t="n">
        <v>2</v>
      </c>
      <c r="D217" s="0" t="n">
        <v>0</v>
      </c>
      <c r="E217" s="0" t="n">
        <v>5025</v>
      </c>
      <c r="F217" s="0" t="str">
        <f aca="false">"W"&amp;ROWS(F$210:F217)&amp;"NETH"</f>
        <v>W8NETH</v>
      </c>
      <c r="G217" s="0" t="n">
        <v>45</v>
      </c>
      <c r="H217" s="0" t="n">
        <v>45</v>
      </c>
    </row>
    <row r="218" customFormat="false" ht="15" hidden="false" customHeight="false" outlineLevel="0" collapsed="false">
      <c r="B218" s="0" t="n">
        <v>800</v>
      </c>
      <c r="C218" s="0" t="n">
        <v>2</v>
      </c>
      <c r="D218" s="0" t="n">
        <v>0</v>
      </c>
      <c r="E218" s="0" t="n">
        <v>5025</v>
      </c>
      <c r="F218" s="0" t="str">
        <f aca="false">"W"&amp;ROWS(F$210:F218)&amp;"NETH"</f>
        <v>W9NETH</v>
      </c>
      <c r="G218" s="0" t="n">
        <v>45</v>
      </c>
      <c r="H218" s="0" t="n">
        <v>45</v>
      </c>
    </row>
    <row r="219" customFormat="false" ht="15" hidden="false" customHeight="false" outlineLevel="0" collapsed="false">
      <c r="B219" s="0" t="n">
        <v>800</v>
      </c>
      <c r="C219" s="0" t="n">
        <v>2</v>
      </c>
      <c r="D219" s="0" t="n">
        <v>0</v>
      </c>
      <c r="E219" s="0" t="n">
        <v>5025</v>
      </c>
      <c r="F219" s="0" t="str">
        <f aca="false">"W"&amp;ROWS(F$210:F219)&amp;"NETH"</f>
        <v>W10NETH</v>
      </c>
      <c r="G219" s="0" t="n">
        <v>45</v>
      </c>
      <c r="H219" s="0" t="n">
        <v>45</v>
      </c>
    </row>
    <row r="220" customFormat="false" ht="15" hidden="false" customHeight="false" outlineLevel="0" collapsed="false">
      <c r="B220" s="0" t="n">
        <v>800</v>
      </c>
      <c r="C220" s="0" t="n">
        <v>2</v>
      </c>
      <c r="D220" s="0" t="n">
        <v>0</v>
      </c>
      <c r="E220" s="0" t="n">
        <v>5025</v>
      </c>
      <c r="F220" s="0" t="str">
        <f aca="false">"W"&amp;ROWS(F$210:F220)&amp;"NETH"</f>
        <v>W11NETH</v>
      </c>
      <c r="G220" s="0" t="n">
        <v>45</v>
      </c>
      <c r="H220" s="0" t="n">
        <v>45</v>
      </c>
    </row>
    <row r="221" customFormat="false" ht="15" hidden="false" customHeight="false" outlineLevel="0" collapsed="false">
      <c r="B221" s="0" t="n">
        <v>1070</v>
      </c>
      <c r="C221" s="0" t="n">
        <v>2</v>
      </c>
      <c r="D221" s="0" t="n">
        <v>0</v>
      </c>
      <c r="E221" s="0" t="n">
        <v>5025</v>
      </c>
      <c r="F221" s="0" t="str">
        <f aca="false">"W"&amp;ROWS(F$210:F221)&amp;"NETH"</f>
        <v>W12NETH</v>
      </c>
      <c r="G221" s="0" t="n">
        <v>45</v>
      </c>
      <c r="H221" s="0" t="n">
        <v>45</v>
      </c>
    </row>
    <row r="222" customFormat="false" ht="15" hidden="false" customHeight="false" outlineLevel="0" collapsed="false">
      <c r="B222" s="0" t="n">
        <v>800</v>
      </c>
      <c r="C222" s="0" t="n">
        <v>2</v>
      </c>
      <c r="D222" s="0" t="n">
        <v>0</v>
      </c>
      <c r="E222" s="0" t="n">
        <v>5025</v>
      </c>
      <c r="F222" s="0" t="str">
        <f aca="false">"W"&amp;ROWS(F$210:F222)&amp;"NETH"</f>
        <v>W13NETH</v>
      </c>
      <c r="G222" s="0" t="n">
        <v>45</v>
      </c>
      <c r="H222" s="0" t="n">
        <v>45</v>
      </c>
    </row>
    <row r="223" customFormat="false" ht="15" hidden="false" customHeight="false" outlineLevel="0" collapsed="false">
      <c r="B223" s="0" t="n">
        <v>800</v>
      </c>
      <c r="C223" s="0" t="n">
        <v>2</v>
      </c>
      <c r="D223" s="0" t="n">
        <v>0</v>
      </c>
      <c r="E223" s="0" t="n">
        <v>5025</v>
      </c>
      <c r="F223" s="0" t="str">
        <f aca="false">"W"&amp;ROWS(F$210:F223)&amp;"NETH"</f>
        <v>W14NETH</v>
      </c>
      <c r="G223" s="0" t="n">
        <v>45</v>
      </c>
      <c r="H223" s="0" t="n">
        <v>45</v>
      </c>
    </row>
    <row r="224" customFormat="false" ht="15" hidden="false" customHeight="false" outlineLevel="0" collapsed="false">
      <c r="B224" s="0" t="n">
        <v>1130</v>
      </c>
      <c r="C224" s="0" t="n">
        <v>2</v>
      </c>
      <c r="D224" s="0" t="n">
        <v>0</v>
      </c>
      <c r="E224" s="0" t="n">
        <v>5025</v>
      </c>
      <c r="F224" s="0" t="str">
        <f aca="false">"W"&amp;ROWS(F$210:F224)&amp;"NETH"</f>
        <v>W15NETH</v>
      </c>
      <c r="G224" s="0" t="n">
        <v>45</v>
      </c>
      <c r="H224" s="0" t="n">
        <v>45</v>
      </c>
    </row>
    <row r="225" customFormat="false" ht="15" hidden="false" customHeight="false" outlineLevel="0" collapsed="false">
      <c r="B225" s="0" t="n">
        <v>800</v>
      </c>
      <c r="C225" s="0" t="n">
        <v>2</v>
      </c>
      <c r="D225" s="0" t="n">
        <v>0</v>
      </c>
      <c r="E225" s="0" t="n">
        <v>5025</v>
      </c>
      <c r="F225" s="0" t="str">
        <f aca="false">"W"&amp;ROWS(F$210:F225)&amp;"NETH"</f>
        <v>W16NETH</v>
      </c>
      <c r="G225" s="0" t="n">
        <v>45</v>
      </c>
      <c r="H225" s="0" t="n">
        <v>45</v>
      </c>
    </row>
    <row r="226" customFormat="false" ht="15" hidden="false" customHeight="false" outlineLevel="0" collapsed="false">
      <c r="B226" s="0" t="n">
        <v>800</v>
      </c>
      <c r="C226" s="0" t="n">
        <v>2</v>
      </c>
      <c r="D226" s="0" t="n">
        <v>0</v>
      </c>
      <c r="E226" s="0" t="n">
        <v>5025</v>
      </c>
      <c r="F226" s="0" t="str">
        <f aca="false">"W"&amp;ROWS(F$210:F226)&amp;"NETH"</f>
        <v>W17NETH</v>
      </c>
      <c r="G226" s="0" t="n">
        <v>45</v>
      </c>
      <c r="H226" s="0" t="n">
        <v>45</v>
      </c>
    </row>
    <row r="227" customFormat="false" ht="15" hidden="false" customHeight="false" outlineLevel="0" collapsed="false">
      <c r="B227" s="0" t="n">
        <v>800</v>
      </c>
      <c r="C227" s="0" t="n">
        <v>2</v>
      </c>
      <c r="D227" s="0" t="n">
        <v>0</v>
      </c>
      <c r="E227" s="0" t="n">
        <v>5025</v>
      </c>
      <c r="F227" s="0" t="str">
        <f aca="false">"W"&amp;ROWS(F$210:F227)&amp;"NETH"</f>
        <v>W18NETH</v>
      </c>
      <c r="G227" s="0" t="n">
        <v>45</v>
      </c>
      <c r="H227" s="0" t="n">
        <v>45</v>
      </c>
    </row>
    <row r="228" customFormat="false" ht="15" hidden="false" customHeight="false" outlineLevel="0" collapsed="false">
      <c r="B228" s="0" t="n">
        <v>860</v>
      </c>
      <c r="C228" s="0" t="n">
        <v>2</v>
      </c>
      <c r="D228" s="0" t="n">
        <v>0</v>
      </c>
      <c r="E228" s="0" t="n">
        <v>5025</v>
      </c>
      <c r="F228" s="0" t="str">
        <f aca="false">"W"&amp;ROWS(F$210:F228)&amp;"NETH"</f>
        <v>W19NETH</v>
      </c>
      <c r="G228" s="0" t="n">
        <v>45</v>
      </c>
      <c r="H228" s="0" t="n">
        <v>45</v>
      </c>
    </row>
    <row r="229" customFormat="false" ht="15" hidden="false" customHeight="false" outlineLevel="0" collapsed="false">
      <c r="B229" s="0" t="n">
        <v>1140</v>
      </c>
      <c r="C229" s="0" t="n">
        <v>2</v>
      </c>
      <c r="D229" s="0" t="n">
        <v>0</v>
      </c>
      <c r="E229" s="0" t="n">
        <v>5025</v>
      </c>
      <c r="F229" s="0" t="str">
        <f aca="false">"W"&amp;ROWS(F$210:F229)&amp;"NETH"</f>
        <v>W20NETH</v>
      </c>
      <c r="G229" s="0" t="n">
        <v>45</v>
      </c>
      <c r="H229" s="0" t="n">
        <v>45</v>
      </c>
    </row>
    <row r="230" customFormat="false" ht="15" hidden="false" customHeight="false" outlineLevel="0" collapsed="false">
      <c r="B230" s="0" t="n">
        <v>850</v>
      </c>
      <c r="C230" s="0" t="n">
        <v>2</v>
      </c>
      <c r="D230" s="0" t="n">
        <v>0</v>
      </c>
      <c r="E230" s="0" t="n">
        <v>5025</v>
      </c>
      <c r="F230" s="0" t="str">
        <f aca="false">"W"&amp;ROWS(F$210:F230)&amp;"NETH"</f>
        <v>W21NETH</v>
      </c>
      <c r="G230" s="0" t="n">
        <v>45</v>
      </c>
      <c r="H230" s="0" t="n">
        <v>45</v>
      </c>
    </row>
    <row r="231" customFormat="false" ht="15" hidden="false" customHeight="false" outlineLevel="0" collapsed="false">
      <c r="B231" s="0" t="n">
        <v>850</v>
      </c>
      <c r="C231" s="0" t="n">
        <v>2</v>
      </c>
      <c r="D231" s="0" t="n">
        <v>0</v>
      </c>
      <c r="E231" s="0" t="n">
        <v>5025</v>
      </c>
      <c r="F231" s="0" t="str">
        <f aca="false">"W"&amp;ROWS(F$210:F231)&amp;"NETH"</f>
        <v>W22NETH</v>
      </c>
      <c r="G231" s="0" t="n">
        <v>45</v>
      </c>
      <c r="H231" s="0" t="n">
        <v>45</v>
      </c>
    </row>
    <row r="232" customFormat="false" ht="15" hidden="false" customHeight="false" outlineLevel="0" collapsed="false">
      <c r="B232" s="0" t="n">
        <v>1140</v>
      </c>
      <c r="C232" s="0" t="n">
        <v>2</v>
      </c>
      <c r="D232" s="0" t="n">
        <v>0</v>
      </c>
      <c r="E232" s="0" t="n">
        <v>5025</v>
      </c>
      <c r="F232" s="0" t="str">
        <f aca="false">"W"&amp;ROWS(F$210:F232)&amp;"NETH"</f>
        <v>W23NETH</v>
      </c>
      <c r="G232" s="0" t="n">
        <v>45</v>
      </c>
      <c r="H232" s="0" t="n">
        <v>45</v>
      </c>
    </row>
    <row r="233" customFormat="false" ht="15" hidden="false" customHeight="false" outlineLevel="0" collapsed="false">
      <c r="B233" s="0" t="n">
        <v>850</v>
      </c>
      <c r="C233" s="0" t="n">
        <v>2</v>
      </c>
      <c r="D233" s="0" t="n">
        <v>0</v>
      </c>
      <c r="E233" s="0" t="n">
        <v>5025</v>
      </c>
      <c r="F233" s="0" t="str">
        <f aca="false">"W"&amp;ROWS(F$210:F233)&amp;"NETH"</f>
        <v>W24NETH</v>
      </c>
      <c r="G233" s="0" t="n">
        <v>45</v>
      </c>
      <c r="H233" s="0" t="n">
        <v>45</v>
      </c>
    </row>
    <row r="234" customFormat="false" ht="15" hidden="false" customHeight="false" outlineLevel="0" collapsed="false">
      <c r="B234" s="0" t="n">
        <v>900</v>
      </c>
      <c r="C234" s="0" t="n">
        <v>2</v>
      </c>
      <c r="D234" s="0" t="n">
        <v>0</v>
      </c>
      <c r="E234" s="0" t="n">
        <v>5025</v>
      </c>
      <c r="F234" s="0" t="str">
        <f aca="false">"W"&amp;ROWS(F$210:F234)&amp;"NETH"</f>
        <v>W25NETH</v>
      </c>
      <c r="G234" s="0" t="n">
        <v>45</v>
      </c>
      <c r="H234" s="0" t="n">
        <v>45</v>
      </c>
    </row>
    <row r="235" customFormat="false" ht="15" hidden="false" customHeight="false" outlineLevel="0" collapsed="false">
      <c r="B235" s="0" t="n">
        <v>870</v>
      </c>
      <c r="C235" s="0" t="n">
        <v>2</v>
      </c>
      <c r="D235" s="0" t="n">
        <v>0</v>
      </c>
      <c r="E235" s="0" t="n">
        <v>5025</v>
      </c>
      <c r="F235" s="0" t="str">
        <f aca="false">"W"&amp;ROWS(F$210:F235)&amp;"NETH"</f>
        <v>W26NETH</v>
      </c>
      <c r="G235" s="0" t="n">
        <v>45</v>
      </c>
      <c r="H235" s="0" t="n">
        <v>45</v>
      </c>
    </row>
    <row r="236" customFormat="false" ht="15" hidden="false" customHeight="false" outlineLevel="0" collapsed="false">
      <c r="B236" s="0" t="n">
        <v>2140</v>
      </c>
      <c r="C236" s="0" t="n">
        <v>2</v>
      </c>
      <c r="D236" s="0" t="n">
        <v>0</v>
      </c>
      <c r="E236" s="0" t="n">
        <v>5025</v>
      </c>
      <c r="F236" s="0" t="str">
        <f aca="false">"W"&amp;ROWS(F$210:F236)&amp;"NETH"</f>
        <v>W27NETH</v>
      </c>
      <c r="G236" s="0" t="n">
        <v>45</v>
      </c>
      <c r="H236" s="0" t="n">
        <v>45</v>
      </c>
    </row>
    <row r="237" customFormat="false" ht="15" hidden="false" customHeight="false" outlineLevel="0" collapsed="false">
      <c r="B237" s="0" t="n">
        <v>2160</v>
      </c>
      <c r="C237" s="0" t="n">
        <v>2</v>
      </c>
      <c r="D237" s="0" t="n">
        <v>0</v>
      </c>
      <c r="E237" s="0" t="n">
        <v>5025</v>
      </c>
      <c r="F237" s="0" t="str">
        <f aca="false">"W"&amp;ROWS(F$210:F237)&amp;"NETH"</f>
        <v>W28NETH</v>
      </c>
      <c r="G237" s="0" t="n">
        <v>45</v>
      </c>
      <c r="H237" s="0" t="n">
        <v>45</v>
      </c>
    </row>
    <row r="238" customFormat="false" ht="15" hidden="false" customHeight="false" outlineLevel="0" collapsed="false">
      <c r="B238" s="0" t="n">
        <v>990</v>
      </c>
      <c r="C238" s="0" t="n">
        <v>2</v>
      </c>
      <c r="D238" s="0" t="n">
        <v>0</v>
      </c>
      <c r="E238" s="0" t="n">
        <v>5025</v>
      </c>
      <c r="F238" s="0" t="str">
        <f aca="false">"W"&amp;ROWS(F$210:F238)&amp;"NETH"</f>
        <v>W29NETH</v>
      </c>
      <c r="G238" s="0" t="n">
        <v>45</v>
      </c>
      <c r="H238" s="0" t="n">
        <v>45</v>
      </c>
    </row>
    <row r="239" customFormat="false" ht="15" hidden="false" customHeight="false" outlineLevel="0" collapsed="false">
      <c r="B239" s="0" t="n">
        <v>900</v>
      </c>
      <c r="C239" s="0" t="n">
        <v>2</v>
      </c>
      <c r="D239" s="0" t="n">
        <v>0</v>
      </c>
      <c r="E239" s="0" t="n">
        <v>5025</v>
      </c>
      <c r="F239" s="0" t="str">
        <f aca="false">"W"&amp;ROWS(F$210:F239)&amp;"NETH"</f>
        <v>W30NETH</v>
      </c>
      <c r="G239" s="0" t="n">
        <v>45</v>
      </c>
      <c r="H239" s="0" t="n">
        <v>45</v>
      </c>
    </row>
    <row r="240" customFormat="false" ht="15" hidden="false" customHeight="false" outlineLevel="0" collapsed="false">
      <c r="B240" s="0" t="n">
        <v>920</v>
      </c>
      <c r="C240" s="0" t="n">
        <v>2</v>
      </c>
      <c r="D240" s="0" t="n">
        <v>0</v>
      </c>
      <c r="E240" s="0" t="n">
        <v>5025</v>
      </c>
      <c r="F240" s="0" t="str">
        <f aca="false">"W"&amp;ROWS(F$210:F240)&amp;"NETH"</f>
        <v>W31NETH</v>
      </c>
      <c r="G240" s="0" t="n">
        <v>45</v>
      </c>
      <c r="H240" s="0" t="n">
        <v>45</v>
      </c>
    </row>
    <row r="241" customFormat="false" ht="15" hidden="false" customHeight="false" outlineLevel="0" collapsed="false">
      <c r="B241" s="0" t="n">
        <v>1900</v>
      </c>
      <c r="C241" s="0" t="n">
        <v>2</v>
      </c>
      <c r="D241" s="0" t="n">
        <v>0</v>
      </c>
      <c r="E241" s="0" t="n">
        <v>5025</v>
      </c>
      <c r="F241" s="0" t="str">
        <f aca="false">"W"&amp;ROWS(F$210:F241)&amp;"NETH"</f>
        <v>W32NETH</v>
      </c>
      <c r="G241" s="0" t="n">
        <v>45</v>
      </c>
      <c r="H241" s="0" t="n">
        <v>45</v>
      </c>
    </row>
    <row r="242" customFormat="false" ht="15" hidden="false" customHeight="false" outlineLevel="0" collapsed="false">
      <c r="B242" s="0" t="n">
        <v>23</v>
      </c>
      <c r="C242" s="0" t="n">
        <v>384</v>
      </c>
      <c r="D242" s="0" t="n">
        <v>0</v>
      </c>
      <c r="E242" s="0" t="n">
        <v>5013</v>
      </c>
      <c r="F242" s="0" t="s">
        <v>416</v>
      </c>
      <c r="G242" s="0" t="n">
        <v>90</v>
      </c>
      <c r="H242" s="0" t="n">
        <v>90</v>
      </c>
    </row>
    <row r="243" customFormat="false" ht="15" hidden="false" customHeight="false" outlineLevel="0" collapsed="false">
      <c r="B243" s="0" t="n">
        <v>48</v>
      </c>
      <c r="C243" s="0" t="n">
        <v>256</v>
      </c>
      <c r="D243" s="0" t="n">
        <v>0</v>
      </c>
      <c r="E243" s="0" t="n">
        <v>1338</v>
      </c>
      <c r="F243" s="0" t="s">
        <v>417</v>
      </c>
      <c r="G243" s="0" t="n">
        <v>90</v>
      </c>
      <c r="H243" s="0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O146"/>
  <sheetViews>
    <sheetView showFormulas="false" showGridLines="true" showRowColHeaders="true" showZeros="true" rightToLeft="false" tabSelected="false" showOutlineSymbols="true" defaultGridColor="true" view="normal" topLeftCell="A54" colorId="64" zoomScale="60" zoomScaleNormal="60" zoomScalePageLayoutView="100" workbookViewId="0">
      <selection pane="topLeft" activeCell="D5" activeCellId="0" sqref="D5"/>
    </sheetView>
  </sheetViews>
  <sheetFormatPr defaultColWidth="10.8203125" defaultRowHeight="17.35" zeroHeight="false" outlineLevelRow="0" outlineLevelCol="0"/>
  <cols>
    <col collapsed="false" customWidth="true" hidden="false" outlineLevel="0" max="1" min="1" style="3" width="18"/>
    <col collapsed="false" customWidth="true" hidden="false" outlineLevel="0" max="2" min="2" style="3" width="7.84"/>
    <col collapsed="false" customWidth="true" hidden="false" outlineLevel="0" max="3" min="3" style="3" width="23.51"/>
    <col collapsed="false" customWidth="true" hidden="false" outlineLevel="0" max="4" min="4" style="3" width="18.67"/>
    <col collapsed="false" customWidth="true" hidden="false" outlineLevel="0" max="5" min="5" style="3" width="22.67"/>
    <col collapsed="false" customWidth="true" hidden="false" outlineLevel="0" max="6" min="6" style="3" width="16.84"/>
    <col collapsed="false" customWidth="true" hidden="false" outlineLevel="0" max="7" min="7" style="3" width="22.33"/>
    <col collapsed="false" customWidth="true" hidden="false" outlineLevel="0" max="8" min="8" style="3" width="22.8"/>
    <col collapsed="false" customWidth="true" hidden="false" outlineLevel="0" max="9" min="9" style="3" width="15.16"/>
    <col collapsed="false" customWidth="true" hidden="false" outlineLevel="0" max="10" min="10" style="3" width="14.82"/>
    <col collapsed="false" customWidth="true" hidden="false" outlineLevel="0" max="15" min="11" style="3" width="15.16"/>
    <col collapsed="false" customWidth="true" hidden="false" outlineLevel="0" max="16" min="16" style="3" width="15.33"/>
    <col collapsed="false" customWidth="true" hidden="false" outlineLevel="0" max="17" min="17" style="3" width="13.67"/>
    <col collapsed="false" customWidth="true" hidden="false" outlineLevel="0" max="19" min="18" style="3" width="11"/>
    <col collapsed="false" customWidth="true" hidden="false" outlineLevel="0" max="20" min="20" style="3" width="14.82"/>
    <col collapsed="false" customWidth="true" hidden="false" outlineLevel="0" max="21" min="21" style="3" width="11"/>
    <col collapsed="false" customWidth="true" hidden="false" outlineLevel="0" max="22" min="22" style="3" width="12"/>
    <col collapsed="false" customWidth="true" hidden="false" outlineLevel="0" max="24" min="23" style="3" width="11"/>
    <col collapsed="false" customWidth="true" hidden="false" outlineLevel="0" max="25" min="25" style="3" width="17.33"/>
    <col collapsed="false" customWidth="true" hidden="false" outlineLevel="0" max="28" min="26" style="3" width="11"/>
    <col collapsed="false" customWidth="true" hidden="false" outlineLevel="0" max="29" min="29" style="3" width="13.67"/>
    <col collapsed="false" customWidth="true" hidden="false" outlineLevel="0" max="30" min="30" style="3" width="20.83"/>
    <col collapsed="false" customWidth="true" hidden="false" outlineLevel="0" max="35" min="31" style="3" width="11"/>
    <col collapsed="false" customWidth="false" hidden="false" outlineLevel="0" max="1024" min="36" style="3" width="10.83"/>
  </cols>
  <sheetData>
    <row r="2" customFormat="false" ht="16" hidden="false" customHeight="true" outlineLevel="0" collapsed="false">
      <c r="B2" s="4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94" t="s">
        <v>106</v>
      </c>
      <c r="Q2" s="94"/>
      <c r="R2" s="94"/>
      <c r="S2" s="94"/>
      <c r="T2" s="94"/>
      <c r="U2" s="6"/>
      <c r="Y2" s="5"/>
      <c r="Z2" s="94" t="s">
        <v>107</v>
      </c>
      <c r="AA2" s="94"/>
      <c r="AB2" s="94"/>
      <c r="AC2" s="94"/>
      <c r="AD2" s="94"/>
      <c r="AE2" s="6"/>
    </row>
    <row r="3" customFormat="false" ht="31" hidden="false" customHeight="true" outlineLevel="0" collapsed="false">
      <c r="B3" s="7" t="s">
        <v>108</v>
      </c>
      <c r="C3" s="7"/>
      <c r="D3" s="7"/>
      <c r="E3" s="7"/>
      <c r="F3" s="7"/>
      <c r="G3" s="7"/>
      <c r="H3" s="7"/>
      <c r="I3" s="7"/>
      <c r="J3" s="7"/>
      <c r="K3" s="8"/>
      <c r="L3" s="8"/>
      <c r="M3" s="8"/>
      <c r="N3" s="8"/>
      <c r="O3" s="5"/>
      <c r="P3" s="94"/>
      <c r="Q3" s="94"/>
      <c r="R3" s="94"/>
      <c r="S3" s="94"/>
      <c r="T3" s="94"/>
      <c r="U3" s="6"/>
      <c r="Y3" s="5"/>
      <c r="Z3" s="94"/>
      <c r="AA3" s="94"/>
      <c r="AB3" s="94"/>
      <c r="AC3" s="94"/>
      <c r="AD3" s="94"/>
      <c r="AE3" s="6"/>
    </row>
    <row r="4" s="8" customFormat="true" ht="29.85" hidden="false" customHeight="false" outlineLevel="0" collapsed="false">
      <c r="B4" s="9" t="s">
        <v>5</v>
      </c>
      <c r="C4" s="9" t="s">
        <v>6</v>
      </c>
      <c r="D4" s="9" t="s">
        <v>7</v>
      </c>
      <c r="E4" s="10" t="s">
        <v>109</v>
      </c>
      <c r="F4" s="9" t="s">
        <v>10</v>
      </c>
      <c r="G4" s="9" t="s">
        <v>11</v>
      </c>
      <c r="H4" s="9" t="s">
        <v>13</v>
      </c>
      <c r="I4" s="10" t="s">
        <v>110</v>
      </c>
      <c r="J4" s="9"/>
      <c r="K4" s="9"/>
      <c r="L4" s="9"/>
      <c r="M4" s="9"/>
      <c r="N4" s="9" t="s">
        <v>14</v>
      </c>
      <c r="O4" s="9" t="s">
        <v>111</v>
      </c>
      <c r="R4" s="95" t="s">
        <v>112</v>
      </c>
      <c r="S4" s="95" t="s">
        <v>113</v>
      </c>
      <c r="T4" s="95"/>
      <c r="U4" s="95" t="s">
        <v>114</v>
      </c>
      <c r="V4" s="95" t="s">
        <v>115</v>
      </c>
      <c r="W4" s="95" t="s">
        <v>109</v>
      </c>
      <c r="X4" s="95" t="s">
        <v>116</v>
      </c>
      <c r="AB4" s="95" t="s">
        <v>112</v>
      </c>
      <c r="AC4" s="95" t="s">
        <v>113</v>
      </c>
      <c r="AD4" s="95"/>
      <c r="AE4" s="95" t="s">
        <v>114</v>
      </c>
      <c r="AF4" s="95" t="s">
        <v>115</v>
      </c>
      <c r="AG4" s="95" t="s">
        <v>109</v>
      </c>
      <c r="AH4" s="95" t="s">
        <v>116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2485</v>
      </c>
      <c r="E5" s="15" t="n">
        <v>1782</v>
      </c>
      <c r="F5" s="13" t="n">
        <v>5</v>
      </c>
      <c r="G5" s="13" t="n">
        <f aca="false">+D5*F5</f>
        <v>12425</v>
      </c>
      <c r="H5" s="13" t="n">
        <f aca="false">+E5*F5</f>
        <v>8910</v>
      </c>
      <c r="I5" s="13" t="n">
        <f aca="false">ROUNDUP((H5/100),0)</f>
        <v>90</v>
      </c>
      <c r="J5" s="20" t="n">
        <f aca="false">TRUNC((6400/D5), 0)</f>
        <v>2</v>
      </c>
      <c r="K5" s="96" t="n">
        <f aca="false">ROUNDUP((I5/J5),0)</f>
        <v>45</v>
      </c>
      <c r="L5" s="20" t="n">
        <f aca="false">TRUNC((12000/D5), 0)</f>
        <v>4</v>
      </c>
      <c r="M5" s="96" t="n">
        <f aca="false">ROUNDUP((I5/L5),0)</f>
        <v>23</v>
      </c>
      <c r="N5" s="16" t="n">
        <f aca="false">+D5*E5/1000000</f>
        <v>4.42827</v>
      </c>
      <c r="O5" s="16" t="n">
        <f aca="false">F5*N5</f>
        <v>22.14135</v>
      </c>
      <c r="R5" s="97" t="n">
        <v>1</v>
      </c>
      <c r="S5" s="98" t="s">
        <v>18</v>
      </c>
      <c r="T5" s="98"/>
      <c r="U5" s="97" t="n">
        <v>1500</v>
      </c>
      <c r="V5" s="97" t="n">
        <f aca="false">W5-300</f>
        <v>1200</v>
      </c>
      <c r="W5" s="97" t="n">
        <v>1500</v>
      </c>
      <c r="X5" s="97" t="n">
        <f aca="false">W5*U5/1000000</f>
        <v>2.25</v>
      </c>
      <c r="AB5" s="97" t="n">
        <v>1</v>
      </c>
      <c r="AC5" s="98" t="s">
        <v>18</v>
      </c>
      <c r="AD5" s="98"/>
      <c r="AE5" s="97" t="n">
        <v>1500</v>
      </c>
      <c r="AF5" s="97" t="n">
        <f aca="false">AG5-300</f>
        <v>1200</v>
      </c>
      <c r="AG5" s="97" t="n">
        <v>1500</v>
      </c>
      <c r="AH5" s="97" t="n">
        <f aca="false">AG5*AE5/1000000</f>
        <v>2.25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2485</v>
      </c>
      <c r="E6" s="15" t="n">
        <v>1780</v>
      </c>
      <c r="F6" s="13" t="n">
        <v>5</v>
      </c>
      <c r="G6" s="13" t="n">
        <f aca="false">+D6*F6</f>
        <v>12425</v>
      </c>
      <c r="H6" s="13" t="n">
        <f aca="false">+E6*F6</f>
        <v>8900</v>
      </c>
      <c r="I6" s="13" t="n">
        <f aca="false">ROUNDUP((H6/100),0)</f>
        <v>89</v>
      </c>
      <c r="J6" s="20" t="n">
        <f aca="false">TRUNC((6400/D6), 0)</f>
        <v>2</v>
      </c>
      <c r="K6" s="96" t="n">
        <f aca="false">ROUNDUP((I6/J6),0)</f>
        <v>45</v>
      </c>
      <c r="L6" s="20" t="n">
        <f aca="false">TRUNC((12000/D6), 0)</f>
        <v>4</v>
      </c>
      <c r="M6" s="96" t="n">
        <f aca="false">ROUNDUP((I6/L6),0)</f>
        <v>23</v>
      </c>
      <c r="N6" s="16" t="n">
        <f aca="false">+D6*E6/1000000</f>
        <v>4.4233</v>
      </c>
      <c r="O6" s="16" t="n">
        <f aca="false">F6*N6</f>
        <v>22.1165</v>
      </c>
      <c r="R6" s="97" t="n">
        <v>2</v>
      </c>
      <c r="S6" s="98" t="s">
        <v>18</v>
      </c>
      <c r="T6" s="98"/>
      <c r="U6" s="97" t="n">
        <v>1200</v>
      </c>
      <c r="V6" s="97" t="n">
        <f aca="false">W6-300</f>
        <v>1200</v>
      </c>
      <c r="W6" s="97" t="n">
        <v>1500</v>
      </c>
      <c r="X6" s="97" t="n">
        <f aca="false">W6*U6/1000000</f>
        <v>1.8</v>
      </c>
      <c r="AB6" s="97" t="n">
        <v>2</v>
      </c>
      <c r="AC6" s="98" t="s">
        <v>18</v>
      </c>
      <c r="AD6" s="98"/>
      <c r="AE6" s="97" t="n">
        <v>1200</v>
      </c>
      <c r="AF6" s="97" t="n">
        <f aca="false">AG6-300</f>
        <v>1200</v>
      </c>
      <c r="AG6" s="97" t="n">
        <v>1500</v>
      </c>
      <c r="AH6" s="97" t="n">
        <f aca="false">AG6*AE6/1000000</f>
        <v>1.8</v>
      </c>
    </row>
    <row r="7" customFormat="false" ht="17.35" hidden="false" customHeight="false" outlineLevel="0" collapsed="false">
      <c r="B7" s="13" t="n">
        <v>3</v>
      </c>
      <c r="C7" s="14"/>
      <c r="D7" s="15" t="n">
        <v>1990</v>
      </c>
      <c r="E7" s="15" t="n">
        <v>1675</v>
      </c>
      <c r="F7" s="13" t="n">
        <v>3</v>
      </c>
      <c r="G7" s="13" t="n">
        <f aca="false">+D7*F7</f>
        <v>5970</v>
      </c>
      <c r="H7" s="13" t="n">
        <f aca="false">+E7*F7</f>
        <v>5025</v>
      </c>
      <c r="I7" s="13" t="n">
        <f aca="false">ROUNDUP((H7/100),0)</f>
        <v>51</v>
      </c>
      <c r="J7" s="20" t="n">
        <f aca="false">TRUNC((6400/D7), 0)</f>
        <v>3</v>
      </c>
      <c r="K7" s="96" t="n">
        <f aca="false">ROUNDUP((I7/J7),0)</f>
        <v>17</v>
      </c>
      <c r="L7" s="20" t="n">
        <f aca="false">TRUNC((12000/D7), 0)</f>
        <v>6</v>
      </c>
      <c r="M7" s="96" t="n">
        <f aca="false">ROUNDUP((I7/L7),0)</f>
        <v>9</v>
      </c>
      <c r="N7" s="16" t="n">
        <f aca="false">+D7*E7/1000000</f>
        <v>3.33325</v>
      </c>
      <c r="O7" s="16" t="n">
        <f aca="false">F7*N7</f>
        <v>9.99975</v>
      </c>
      <c r="R7" s="97" t="n">
        <v>3</v>
      </c>
      <c r="S7" s="98" t="s">
        <v>18</v>
      </c>
      <c r="T7" s="98"/>
      <c r="U7" s="97" t="n">
        <v>1800</v>
      </c>
      <c r="V7" s="97" t="n">
        <f aca="false">W7-300</f>
        <v>1200</v>
      </c>
      <c r="W7" s="97" t="n">
        <v>1500</v>
      </c>
      <c r="X7" s="97" t="n">
        <f aca="false">W7*U7/1000000</f>
        <v>2.7</v>
      </c>
      <c r="AB7" s="97" t="n">
        <v>3</v>
      </c>
      <c r="AC7" s="98" t="s">
        <v>18</v>
      </c>
      <c r="AD7" s="98"/>
      <c r="AE7" s="97" t="n">
        <v>1800</v>
      </c>
      <c r="AF7" s="97" t="n">
        <f aca="false">AG7-300</f>
        <v>1200</v>
      </c>
      <c r="AG7" s="97" t="n">
        <v>1500</v>
      </c>
      <c r="AH7" s="97" t="n">
        <f aca="false">AG7*AE7/1000000</f>
        <v>2.7</v>
      </c>
    </row>
    <row r="8" customFormat="false" ht="17.35" hidden="false" customHeight="false" outlineLevel="0" collapsed="false">
      <c r="B8" s="13" t="n">
        <v>4</v>
      </c>
      <c r="C8" s="14"/>
      <c r="D8" s="15" t="n">
        <v>1790</v>
      </c>
      <c r="E8" s="15" t="n">
        <v>1692</v>
      </c>
      <c r="F8" s="13" t="n">
        <v>1</v>
      </c>
      <c r="G8" s="13" t="n">
        <f aca="false">+D8*F8</f>
        <v>1790</v>
      </c>
      <c r="H8" s="13" t="n">
        <f aca="false">+E8*F8</f>
        <v>1692</v>
      </c>
      <c r="I8" s="13" t="n">
        <f aca="false">ROUNDUP((H8/100),0)</f>
        <v>17</v>
      </c>
      <c r="J8" s="20" t="n">
        <f aca="false">TRUNC((6400/D8), 0)</f>
        <v>3</v>
      </c>
      <c r="K8" s="96" t="n">
        <f aca="false">ROUNDUP((I8/J8),0)</f>
        <v>6</v>
      </c>
      <c r="L8" s="20" t="n">
        <f aca="false">TRUNC((12000/D8), 0)</f>
        <v>6</v>
      </c>
      <c r="M8" s="96" t="n">
        <f aca="false">ROUNDUP((I8/L8),0)</f>
        <v>3</v>
      </c>
      <c r="N8" s="16" t="n">
        <f aca="false">+D8*E8/1000000</f>
        <v>3.02868</v>
      </c>
      <c r="O8" s="16" t="n">
        <f aca="false">F8*N8</f>
        <v>3.02868</v>
      </c>
      <c r="R8" s="97" t="n">
        <v>4</v>
      </c>
      <c r="S8" s="98" t="s">
        <v>18</v>
      </c>
      <c r="T8" s="98"/>
      <c r="U8" s="97" t="n">
        <v>1600</v>
      </c>
      <c r="V8" s="97" t="n">
        <f aca="false">W8-300</f>
        <v>1200</v>
      </c>
      <c r="W8" s="97" t="n">
        <v>1500</v>
      </c>
      <c r="X8" s="97" t="n">
        <f aca="false">W8*U8/1000000</f>
        <v>2.4</v>
      </c>
      <c r="AB8" s="97" t="n">
        <v>4</v>
      </c>
      <c r="AC8" s="98" t="s">
        <v>18</v>
      </c>
      <c r="AD8" s="98"/>
      <c r="AE8" s="97" t="n">
        <v>1600</v>
      </c>
      <c r="AF8" s="97" t="n">
        <f aca="false">AG8-300</f>
        <v>1200</v>
      </c>
      <c r="AG8" s="97" t="n">
        <v>1500</v>
      </c>
      <c r="AH8" s="97" t="n">
        <f aca="false">AG8*AE8/1000000</f>
        <v>2.4</v>
      </c>
    </row>
    <row r="9" customFormat="false" ht="17.35" hidden="false" customHeight="false" outlineLevel="0" collapsed="false">
      <c r="B9" s="13" t="n">
        <v>5</v>
      </c>
      <c r="C9" s="14"/>
      <c r="D9" s="15" t="n">
        <v>2487</v>
      </c>
      <c r="E9" s="15" t="n">
        <v>1588</v>
      </c>
      <c r="F9" s="13" t="n">
        <v>1</v>
      </c>
      <c r="G9" s="13" t="n">
        <f aca="false">+D9*F9</f>
        <v>2487</v>
      </c>
      <c r="H9" s="13" t="n">
        <f aca="false">+E9*F9</f>
        <v>1588</v>
      </c>
      <c r="I9" s="13" t="n">
        <f aca="false">ROUNDUP((H9/100),0)</f>
        <v>16</v>
      </c>
      <c r="J9" s="20" t="n">
        <f aca="false">TRUNC((6400/D9), 0)</f>
        <v>2</v>
      </c>
      <c r="K9" s="96" t="n">
        <f aca="false">ROUNDUP((I9/J9),0)</f>
        <v>8</v>
      </c>
      <c r="L9" s="20" t="n">
        <f aca="false">TRUNC((12000/D9), 0)</f>
        <v>4</v>
      </c>
      <c r="M9" s="96" t="n">
        <f aca="false">ROUNDUP((I9/L9),0)</f>
        <v>4</v>
      </c>
      <c r="N9" s="16" t="n">
        <f aca="false">+D9*E9/1000000</f>
        <v>3.949356</v>
      </c>
      <c r="O9" s="16" t="n">
        <f aca="false">F9*N9</f>
        <v>3.949356</v>
      </c>
      <c r="R9" s="97" t="n">
        <v>5</v>
      </c>
      <c r="S9" s="98" t="s">
        <v>18</v>
      </c>
      <c r="T9" s="98"/>
      <c r="U9" s="97" t="n">
        <v>1500</v>
      </c>
      <c r="V9" s="97" t="n">
        <f aca="false">W9-300</f>
        <v>1200</v>
      </c>
      <c r="W9" s="97" t="n">
        <v>1500</v>
      </c>
      <c r="X9" s="97" t="n">
        <f aca="false">W9*U9/1000000</f>
        <v>2.25</v>
      </c>
      <c r="AB9" s="97" t="n">
        <v>5</v>
      </c>
      <c r="AC9" s="98" t="s">
        <v>18</v>
      </c>
      <c r="AD9" s="98"/>
      <c r="AE9" s="97" t="n">
        <v>1500</v>
      </c>
      <c r="AF9" s="97" t="n">
        <f aca="false">AG9-300</f>
        <v>1200</v>
      </c>
      <c r="AG9" s="97" t="n">
        <v>1500</v>
      </c>
      <c r="AH9" s="97" t="n">
        <f aca="false">AG9*AE9/1000000</f>
        <v>2.25</v>
      </c>
    </row>
    <row r="10" customFormat="false" ht="17.35" hidden="false" customHeight="false" outlineLevel="0" collapsed="false">
      <c r="B10" s="13" t="n">
        <v>6</v>
      </c>
      <c r="C10" s="14"/>
      <c r="D10" s="15" t="n">
        <v>1995</v>
      </c>
      <c r="E10" s="15" t="n">
        <v>1682</v>
      </c>
      <c r="F10" s="13" t="n">
        <v>1</v>
      </c>
      <c r="G10" s="13" t="n">
        <f aca="false">+D10*F10</f>
        <v>1995</v>
      </c>
      <c r="H10" s="13" t="n">
        <f aca="false">+E10*F10</f>
        <v>1682</v>
      </c>
      <c r="I10" s="13" t="n">
        <f aca="false">ROUNDUP((H10/100),0)</f>
        <v>17</v>
      </c>
      <c r="J10" s="20" t="n">
        <f aca="false">TRUNC((6400/D10), 0)</f>
        <v>3</v>
      </c>
      <c r="K10" s="96" t="n">
        <f aca="false">ROUNDUP((I10/J10),0)</f>
        <v>6</v>
      </c>
      <c r="L10" s="20" t="n">
        <f aca="false">TRUNC((12000/D10), 0)</f>
        <v>6</v>
      </c>
      <c r="M10" s="96" t="n">
        <f aca="false">ROUNDUP((I10/L10),0)</f>
        <v>3</v>
      </c>
      <c r="N10" s="16" t="n">
        <f aca="false">+D10*E10/1000000</f>
        <v>3.35559</v>
      </c>
      <c r="O10" s="16" t="n">
        <f aca="false">F10*N10</f>
        <v>3.35559</v>
      </c>
      <c r="R10" s="97" t="n">
        <v>6</v>
      </c>
      <c r="S10" s="98" t="s">
        <v>18</v>
      </c>
      <c r="T10" s="98"/>
      <c r="U10" s="97" t="n">
        <v>0</v>
      </c>
      <c r="V10" s="97" t="n">
        <v>0</v>
      </c>
      <c r="W10" s="97" t="n">
        <v>0</v>
      </c>
      <c r="X10" s="97" t="n">
        <f aca="false">W10*U10/1000000</f>
        <v>0</v>
      </c>
      <c r="AB10" s="97" t="n">
        <v>6</v>
      </c>
      <c r="AC10" s="98" t="s">
        <v>18</v>
      </c>
      <c r="AD10" s="98"/>
      <c r="AE10" s="97" t="n">
        <v>0</v>
      </c>
      <c r="AF10" s="97" t="n">
        <v>0</v>
      </c>
      <c r="AG10" s="97" t="n">
        <v>0</v>
      </c>
      <c r="AH10" s="97" t="n">
        <f aca="false">AG10*AE10/1000000</f>
        <v>0</v>
      </c>
    </row>
    <row r="11" customFormat="false" ht="17.35" hidden="false" customHeight="false" outlineLevel="0" collapsed="false">
      <c r="B11" s="13" t="n">
        <v>7</v>
      </c>
      <c r="C11" s="14"/>
      <c r="D11" s="15" t="n">
        <v>2835</v>
      </c>
      <c r="E11" s="15" t="n">
        <v>1680</v>
      </c>
      <c r="F11" s="13" t="n">
        <v>1</v>
      </c>
      <c r="G11" s="13" t="n">
        <f aca="false">+D11*F11</f>
        <v>2835</v>
      </c>
      <c r="H11" s="13" t="n">
        <f aca="false">+E11*F11</f>
        <v>1680</v>
      </c>
      <c r="I11" s="13" t="n">
        <f aca="false">ROUNDUP((H11/100),0)</f>
        <v>17</v>
      </c>
      <c r="J11" s="20" t="n">
        <f aca="false">TRUNC((6400/D11), 0)</f>
        <v>2</v>
      </c>
      <c r="K11" s="96" t="n">
        <f aca="false">ROUNDUP((I11/J11),0)</f>
        <v>9</v>
      </c>
      <c r="L11" s="20" t="n">
        <f aca="false">TRUNC((12000/D11), 0)</f>
        <v>4</v>
      </c>
      <c r="M11" s="96" t="n">
        <f aca="false">ROUNDUP((I11/L11),0)</f>
        <v>5</v>
      </c>
      <c r="N11" s="16" t="n">
        <f aca="false">+D11*E11/1000000</f>
        <v>4.7628</v>
      </c>
      <c r="O11" s="16" t="n">
        <f aca="false">F11*N11</f>
        <v>4.7628</v>
      </c>
      <c r="R11" s="97" t="n">
        <v>7</v>
      </c>
      <c r="S11" s="98" t="s">
        <v>18</v>
      </c>
      <c r="T11" s="98"/>
      <c r="U11" s="97" t="n">
        <v>0</v>
      </c>
      <c r="V11" s="97" t="n">
        <v>0</v>
      </c>
      <c r="W11" s="97" t="n">
        <v>0</v>
      </c>
      <c r="X11" s="97" t="n">
        <f aca="false">W11*U11/1000000</f>
        <v>0</v>
      </c>
      <c r="AB11" s="97" t="n">
        <v>7</v>
      </c>
      <c r="AC11" s="98" t="s">
        <v>18</v>
      </c>
      <c r="AD11" s="98"/>
      <c r="AE11" s="97" t="n">
        <v>0</v>
      </c>
      <c r="AF11" s="97" t="n">
        <v>0</v>
      </c>
      <c r="AG11" s="97" t="n">
        <v>0</v>
      </c>
      <c r="AH11" s="97" t="n">
        <f aca="false">AG11*AE11/1000000</f>
        <v>0</v>
      </c>
    </row>
    <row r="12" customFormat="false" ht="17.35" hidden="false" customHeight="false" outlineLevel="0" collapsed="false">
      <c r="B12" s="13" t="n">
        <v>8</v>
      </c>
      <c r="C12" s="14"/>
      <c r="D12" s="15"/>
      <c r="E12" s="15"/>
      <c r="F12" s="13" t="n">
        <v>0</v>
      </c>
      <c r="G12" s="13" t="n">
        <f aca="false">+D12*F12</f>
        <v>0</v>
      </c>
      <c r="H12" s="13" t="n">
        <f aca="false">+E12*F12</f>
        <v>0</v>
      </c>
      <c r="I12" s="13" t="n">
        <f aca="false">ROUNDUP((H12/100),0)</f>
        <v>0</v>
      </c>
      <c r="J12" s="20"/>
      <c r="K12" s="96"/>
      <c r="L12" s="96"/>
      <c r="M12" s="96"/>
      <c r="N12" s="16" t="n">
        <f aca="false">+D12*E12/1000000</f>
        <v>0</v>
      </c>
      <c r="O12" s="16" t="n">
        <f aca="false">F12*N12</f>
        <v>0</v>
      </c>
      <c r="R12" s="97" t="n">
        <v>8</v>
      </c>
      <c r="S12" s="98" t="s">
        <v>18</v>
      </c>
      <c r="T12" s="98"/>
      <c r="U12" s="97" t="n">
        <v>0</v>
      </c>
      <c r="V12" s="97" t="n">
        <v>0</v>
      </c>
      <c r="W12" s="97" t="n">
        <v>0</v>
      </c>
      <c r="X12" s="97" t="n">
        <f aca="false">W12*U12/1000000</f>
        <v>0</v>
      </c>
      <c r="AB12" s="97" t="n">
        <v>8</v>
      </c>
      <c r="AC12" s="98" t="s">
        <v>18</v>
      </c>
      <c r="AD12" s="98"/>
      <c r="AE12" s="97" t="n">
        <v>0</v>
      </c>
      <c r="AF12" s="97" t="n">
        <v>0</v>
      </c>
      <c r="AG12" s="97" t="n">
        <v>0</v>
      </c>
      <c r="AH12" s="97" t="n">
        <f aca="false">AG12*AE12/1000000</f>
        <v>0</v>
      </c>
    </row>
    <row r="13" customFormat="false" ht="17.35" hidden="false" customHeight="false" outlineLevel="0" collapsed="false">
      <c r="B13" s="13" t="n">
        <v>9</v>
      </c>
      <c r="C13" s="14"/>
      <c r="D13" s="15"/>
      <c r="E13" s="15"/>
      <c r="F13" s="13"/>
      <c r="G13" s="13" t="n">
        <f aca="false">+D13*F13</f>
        <v>0</v>
      </c>
      <c r="H13" s="13" t="n">
        <f aca="false">+E13*F13</f>
        <v>0</v>
      </c>
      <c r="I13" s="13" t="n">
        <f aca="false">ROUNDUP((H13/100),0)</f>
        <v>0</v>
      </c>
      <c r="J13" s="20"/>
      <c r="K13" s="96"/>
      <c r="L13" s="96"/>
      <c r="M13" s="96"/>
      <c r="N13" s="16" t="n">
        <f aca="false">+D13*E13/1000000</f>
        <v>0</v>
      </c>
      <c r="O13" s="16" t="n">
        <f aca="false">F13*N13</f>
        <v>0</v>
      </c>
      <c r="R13" s="97" t="n">
        <v>9</v>
      </c>
      <c r="S13" s="98" t="s">
        <v>18</v>
      </c>
      <c r="T13" s="98"/>
      <c r="U13" s="97" t="n">
        <v>0</v>
      </c>
      <c r="V13" s="97" t="n">
        <v>0</v>
      </c>
      <c r="W13" s="97" t="n">
        <v>0</v>
      </c>
      <c r="X13" s="97" t="n">
        <f aca="false">W13*U13/1000000</f>
        <v>0</v>
      </c>
      <c r="AB13" s="97" t="n">
        <v>9</v>
      </c>
      <c r="AC13" s="98" t="s">
        <v>18</v>
      </c>
      <c r="AD13" s="98"/>
      <c r="AE13" s="97" t="n">
        <v>0</v>
      </c>
      <c r="AF13" s="97" t="n">
        <v>0</v>
      </c>
      <c r="AG13" s="97" t="n">
        <v>0</v>
      </c>
      <c r="AH13" s="97" t="n">
        <f aca="false">AG13*AE13/1000000</f>
        <v>0</v>
      </c>
    </row>
    <row r="14" customFormat="false" ht="17.35" hidden="false" customHeight="false" outlineLevel="0" collapsed="false">
      <c r="B14" s="13" t="n">
        <v>10</v>
      </c>
      <c r="C14" s="14"/>
      <c r="D14" s="15"/>
      <c r="E14" s="15"/>
      <c r="F14" s="13"/>
      <c r="G14" s="13" t="n">
        <f aca="false">+D14*F14</f>
        <v>0</v>
      </c>
      <c r="H14" s="13" t="n">
        <f aca="false">+E14*F14</f>
        <v>0</v>
      </c>
      <c r="I14" s="13" t="n">
        <f aca="false">ROUNDUP((H14/100),0)</f>
        <v>0</v>
      </c>
      <c r="J14" s="20"/>
      <c r="K14" s="96"/>
      <c r="L14" s="96"/>
      <c r="M14" s="96"/>
      <c r="N14" s="16" t="n">
        <f aca="false">+D14*E14/1000000</f>
        <v>0</v>
      </c>
      <c r="O14" s="16" t="n">
        <f aca="false">F14*N14</f>
        <v>0</v>
      </c>
      <c r="R14" s="97" t="n">
        <v>10</v>
      </c>
      <c r="S14" s="98" t="s">
        <v>18</v>
      </c>
      <c r="T14" s="98"/>
      <c r="U14" s="97" t="n">
        <v>0</v>
      </c>
      <c r="V14" s="97" t="n">
        <v>0</v>
      </c>
      <c r="W14" s="97" t="n">
        <v>0</v>
      </c>
      <c r="X14" s="97" t="n">
        <f aca="false">W14*U14/1000000</f>
        <v>0</v>
      </c>
      <c r="AB14" s="97" t="n">
        <v>10</v>
      </c>
      <c r="AC14" s="98" t="s">
        <v>18</v>
      </c>
      <c r="AD14" s="98"/>
      <c r="AE14" s="97" t="n">
        <v>0</v>
      </c>
      <c r="AF14" s="97" t="n">
        <v>0</v>
      </c>
      <c r="AG14" s="97" t="n">
        <v>0</v>
      </c>
      <c r="AH14" s="97" t="n">
        <f aca="false">AG14*AE14/1000000</f>
        <v>0</v>
      </c>
    </row>
    <row r="15" customFormat="false" ht="17.35" hidden="false" customHeight="false" outlineLevel="0" collapsed="false">
      <c r="B15" s="13" t="n">
        <v>11</v>
      </c>
      <c r="C15" s="14"/>
      <c r="D15" s="15"/>
      <c r="E15" s="15"/>
      <c r="F15" s="13"/>
      <c r="G15" s="13" t="n">
        <f aca="false">+D15*F15</f>
        <v>0</v>
      </c>
      <c r="H15" s="13" t="n">
        <f aca="false">+E15*F15</f>
        <v>0</v>
      </c>
      <c r="I15" s="13" t="n">
        <f aca="false">ROUNDUP((H15/100),0)</f>
        <v>0</v>
      </c>
      <c r="J15" s="20"/>
      <c r="K15" s="96"/>
      <c r="L15" s="96"/>
      <c r="M15" s="96"/>
      <c r="N15" s="16" t="n">
        <f aca="false">+D15*E15/1000000</f>
        <v>0</v>
      </c>
      <c r="O15" s="16" t="n">
        <f aca="false">F15*N15</f>
        <v>0</v>
      </c>
      <c r="R15" s="97" t="n">
        <v>11</v>
      </c>
      <c r="S15" s="98" t="s">
        <v>18</v>
      </c>
      <c r="T15" s="98"/>
      <c r="U15" s="97" t="n">
        <v>0</v>
      </c>
      <c r="V15" s="97" t="n">
        <v>0</v>
      </c>
      <c r="W15" s="97" t="n">
        <v>0</v>
      </c>
      <c r="X15" s="97" t="n">
        <f aca="false">W15*U15/1000000</f>
        <v>0</v>
      </c>
      <c r="AB15" s="97" t="n">
        <v>11</v>
      </c>
      <c r="AC15" s="98" t="s">
        <v>18</v>
      </c>
      <c r="AD15" s="98"/>
      <c r="AE15" s="97" t="n">
        <v>0</v>
      </c>
      <c r="AF15" s="97" t="n">
        <v>0</v>
      </c>
      <c r="AG15" s="97" t="n">
        <v>0</v>
      </c>
      <c r="AH15" s="97" t="n">
        <f aca="false">AG15*AE15/1000000</f>
        <v>0</v>
      </c>
    </row>
    <row r="16" customFormat="false" ht="17.35" hidden="false" customHeight="false" outlineLevel="0" collapsed="false">
      <c r="B16" s="13" t="n">
        <v>12</v>
      </c>
      <c r="C16" s="14"/>
      <c r="D16" s="15"/>
      <c r="E16" s="15"/>
      <c r="F16" s="13" t="n">
        <v>0</v>
      </c>
      <c r="G16" s="13" t="n">
        <f aca="false">+D16*F16</f>
        <v>0</v>
      </c>
      <c r="H16" s="13" t="n">
        <f aca="false">+E16*F16</f>
        <v>0</v>
      </c>
      <c r="I16" s="13" t="n">
        <f aca="false">ROUNDUP((H16/100),0)</f>
        <v>0</v>
      </c>
      <c r="J16" s="20"/>
      <c r="K16" s="96"/>
      <c r="L16" s="96"/>
      <c r="M16" s="96"/>
      <c r="N16" s="16" t="n">
        <f aca="false">+D16*E16/1000000</f>
        <v>0</v>
      </c>
      <c r="O16" s="16" t="n">
        <f aca="false">F16*N16</f>
        <v>0</v>
      </c>
      <c r="R16" s="97" t="n">
        <v>12</v>
      </c>
      <c r="S16" s="98" t="s">
        <v>18</v>
      </c>
      <c r="T16" s="98"/>
      <c r="U16" s="97" t="n">
        <v>0</v>
      </c>
      <c r="V16" s="97" t="n">
        <v>0</v>
      </c>
      <c r="W16" s="97" t="n">
        <v>0</v>
      </c>
      <c r="X16" s="97" t="n">
        <f aca="false">W16*U16/1000000</f>
        <v>0</v>
      </c>
      <c r="AB16" s="97" t="n">
        <v>12</v>
      </c>
      <c r="AC16" s="98" t="s">
        <v>18</v>
      </c>
      <c r="AD16" s="98"/>
      <c r="AE16" s="97" t="n">
        <v>0</v>
      </c>
      <c r="AF16" s="97" t="n">
        <v>0</v>
      </c>
      <c r="AG16" s="97" t="n">
        <v>0</v>
      </c>
      <c r="AH16" s="97" t="n">
        <f aca="false">AG16*AE16/1000000</f>
        <v>0</v>
      </c>
    </row>
    <row r="17" customFormat="false" ht="17.35" hidden="false" customHeight="false" outlineLevel="0" collapsed="false">
      <c r="B17" s="13" t="n">
        <v>13</v>
      </c>
      <c r="C17" s="14"/>
      <c r="D17" s="15"/>
      <c r="E17" s="15"/>
      <c r="F17" s="13" t="n">
        <v>0</v>
      </c>
      <c r="G17" s="13" t="n">
        <f aca="false">+D17*F17</f>
        <v>0</v>
      </c>
      <c r="H17" s="13" t="n">
        <f aca="false">+E17*F17</f>
        <v>0</v>
      </c>
      <c r="I17" s="13" t="n">
        <f aca="false">ROUNDUP((H17/100),0)</f>
        <v>0</v>
      </c>
      <c r="J17" s="20"/>
      <c r="K17" s="96"/>
      <c r="L17" s="96"/>
      <c r="M17" s="96"/>
      <c r="N17" s="16" t="n">
        <f aca="false">+D17*E17/1000000</f>
        <v>0</v>
      </c>
      <c r="O17" s="16" t="n">
        <f aca="false">F17*N17</f>
        <v>0</v>
      </c>
      <c r="R17" s="97" t="n">
        <v>13</v>
      </c>
      <c r="S17" s="98" t="s">
        <v>18</v>
      </c>
      <c r="T17" s="98"/>
      <c r="U17" s="97" t="n">
        <v>0</v>
      </c>
      <c r="V17" s="97" t="n">
        <v>0</v>
      </c>
      <c r="W17" s="97" t="n">
        <v>0</v>
      </c>
      <c r="X17" s="97" t="n">
        <f aca="false">W17*U17/1000000</f>
        <v>0</v>
      </c>
      <c r="AB17" s="97" t="n">
        <v>13</v>
      </c>
      <c r="AC17" s="98" t="s">
        <v>18</v>
      </c>
      <c r="AD17" s="98"/>
      <c r="AE17" s="97" t="n">
        <v>0</v>
      </c>
      <c r="AF17" s="97" t="n">
        <v>0</v>
      </c>
      <c r="AG17" s="97" t="n">
        <v>0</v>
      </c>
      <c r="AH17" s="97" t="n">
        <f aca="false">AG17*AE17/1000000</f>
        <v>0</v>
      </c>
    </row>
    <row r="18" customFormat="false" ht="17.35" hidden="false" customHeight="false" outlineLevel="0" collapsed="false">
      <c r="B18" s="13" t="n">
        <v>14</v>
      </c>
      <c r="C18" s="14"/>
      <c r="D18" s="15"/>
      <c r="E18" s="15"/>
      <c r="F18" s="13" t="n">
        <v>0</v>
      </c>
      <c r="G18" s="13" t="n">
        <f aca="false">+D18*F18</f>
        <v>0</v>
      </c>
      <c r="H18" s="13" t="n">
        <f aca="false">+E18*F18</f>
        <v>0</v>
      </c>
      <c r="I18" s="13" t="n">
        <f aca="false">ROUNDUP((H18/100),0)</f>
        <v>0</v>
      </c>
      <c r="J18" s="20"/>
      <c r="K18" s="96"/>
      <c r="L18" s="96"/>
      <c r="M18" s="96"/>
      <c r="N18" s="16" t="n">
        <f aca="false">+D18*E18/1000000</f>
        <v>0</v>
      </c>
      <c r="O18" s="16" t="n">
        <f aca="false">F18*N18</f>
        <v>0</v>
      </c>
      <c r="R18" s="97" t="n">
        <v>14</v>
      </c>
      <c r="S18" s="98" t="s">
        <v>18</v>
      </c>
      <c r="T18" s="98"/>
      <c r="U18" s="97" t="n">
        <v>0</v>
      </c>
      <c r="V18" s="97" t="n">
        <v>0</v>
      </c>
      <c r="W18" s="97" t="n">
        <v>0</v>
      </c>
      <c r="X18" s="97" t="n">
        <f aca="false">W18*U18/1000000</f>
        <v>0</v>
      </c>
      <c r="AB18" s="97" t="n">
        <v>14</v>
      </c>
      <c r="AC18" s="98" t="s">
        <v>18</v>
      </c>
      <c r="AD18" s="98"/>
      <c r="AE18" s="97" t="n">
        <v>0</v>
      </c>
      <c r="AF18" s="97" t="n">
        <v>0</v>
      </c>
      <c r="AG18" s="97" t="n">
        <v>0</v>
      </c>
      <c r="AH18" s="97" t="n">
        <f aca="false">AG18*AE18/1000000</f>
        <v>0</v>
      </c>
    </row>
    <row r="19" customFormat="false" ht="17.35" hidden="false" customHeight="false" outlineLevel="0" collapsed="false">
      <c r="B19" s="13" t="n">
        <v>15</v>
      </c>
      <c r="C19" s="14"/>
      <c r="D19" s="15"/>
      <c r="E19" s="15"/>
      <c r="F19" s="13" t="n">
        <v>0</v>
      </c>
      <c r="G19" s="13" t="n">
        <f aca="false">+D19*F19</f>
        <v>0</v>
      </c>
      <c r="H19" s="13" t="n">
        <f aca="false">+E19*F19</f>
        <v>0</v>
      </c>
      <c r="I19" s="13" t="n">
        <f aca="false">ROUNDUP((H19/100),0)</f>
        <v>0</v>
      </c>
      <c r="J19" s="20"/>
      <c r="K19" s="96"/>
      <c r="L19" s="96"/>
      <c r="M19" s="96"/>
      <c r="N19" s="16" t="n">
        <f aca="false">+D19*E19/1000000</f>
        <v>0</v>
      </c>
      <c r="O19" s="16" t="n">
        <f aca="false">F19*N19</f>
        <v>0</v>
      </c>
      <c r="R19" s="97" t="n">
        <v>15</v>
      </c>
      <c r="S19" s="98" t="s">
        <v>18</v>
      </c>
      <c r="T19" s="98"/>
      <c r="U19" s="97" t="n">
        <v>0</v>
      </c>
      <c r="V19" s="97" t="n">
        <v>0</v>
      </c>
      <c r="W19" s="97" t="n">
        <v>0</v>
      </c>
      <c r="X19" s="97" t="n">
        <f aca="false">W19*U19/1000000</f>
        <v>0</v>
      </c>
      <c r="AB19" s="97" t="n">
        <v>15</v>
      </c>
      <c r="AC19" s="98" t="s">
        <v>18</v>
      </c>
      <c r="AD19" s="98"/>
      <c r="AE19" s="97" t="n">
        <v>0</v>
      </c>
      <c r="AF19" s="97" t="n">
        <v>0</v>
      </c>
      <c r="AG19" s="97" t="n">
        <v>0</v>
      </c>
      <c r="AH19" s="97" t="n">
        <f aca="false">AG19*AE19/1000000</f>
        <v>0</v>
      </c>
    </row>
    <row r="20" customFormat="false" ht="17.35" hidden="false" customHeight="false" outlineLevel="0" collapsed="false">
      <c r="B20" s="13" t="n">
        <v>16</v>
      </c>
      <c r="C20" s="14"/>
      <c r="D20" s="15"/>
      <c r="E20" s="15"/>
      <c r="F20" s="13" t="n">
        <v>0</v>
      </c>
      <c r="G20" s="13" t="n">
        <f aca="false">+D20*F20</f>
        <v>0</v>
      </c>
      <c r="H20" s="13" t="n">
        <f aca="false">+E20*F20</f>
        <v>0</v>
      </c>
      <c r="I20" s="13" t="n">
        <f aca="false">ROUNDUP((H20/100),0)</f>
        <v>0</v>
      </c>
      <c r="J20" s="20"/>
      <c r="K20" s="96"/>
      <c r="L20" s="96"/>
      <c r="M20" s="96"/>
      <c r="N20" s="16" t="n">
        <f aca="false">+D20*E20/1000000</f>
        <v>0</v>
      </c>
      <c r="O20" s="16" t="n">
        <f aca="false">F20*N20</f>
        <v>0</v>
      </c>
      <c r="R20" s="97" t="n">
        <v>16</v>
      </c>
      <c r="S20" s="98" t="s">
        <v>18</v>
      </c>
      <c r="T20" s="98"/>
      <c r="U20" s="97" t="n">
        <v>0</v>
      </c>
      <c r="V20" s="97" t="n">
        <v>0</v>
      </c>
      <c r="W20" s="97" t="n">
        <v>0</v>
      </c>
      <c r="X20" s="97" t="n">
        <f aca="false">W20*U20/1000000</f>
        <v>0</v>
      </c>
      <c r="AB20" s="97" t="n">
        <v>16</v>
      </c>
      <c r="AC20" s="98" t="s">
        <v>18</v>
      </c>
      <c r="AD20" s="98"/>
      <c r="AE20" s="97" t="n">
        <v>0</v>
      </c>
      <c r="AF20" s="97" t="n">
        <v>0</v>
      </c>
      <c r="AG20" s="97" t="n">
        <v>0</v>
      </c>
      <c r="AH20" s="97" t="n">
        <f aca="false">AG20*AE20/1000000</f>
        <v>0</v>
      </c>
    </row>
    <row r="21" customFormat="false" ht="17.35" hidden="false" customHeight="false" outlineLevel="0" collapsed="false">
      <c r="B21" s="13" t="n">
        <v>17</v>
      </c>
      <c r="C21" s="14"/>
      <c r="D21" s="15"/>
      <c r="E21" s="15"/>
      <c r="F21" s="13" t="n">
        <v>0</v>
      </c>
      <c r="G21" s="13" t="n">
        <f aca="false">+D21*F21</f>
        <v>0</v>
      </c>
      <c r="H21" s="13" t="n">
        <f aca="false">+E21*F21</f>
        <v>0</v>
      </c>
      <c r="I21" s="13" t="n">
        <f aca="false">ROUNDUP((H21/100),0)</f>
        <v>0</v>
      </c>
      <c r="J21" s="20"/>
      <c r="K21" s="96"/>
      <c r="L21" s="96"/>
      <c r="M21" s="96"/>
      <c r="N21" s="16" t="n">
        <f aca="false">+D21*E21/1000000</f>
        <v>0</v>
      </c>
      <c r="O21" s="16" t="n">
        <f aca="false">F21*N21</f>
        <v>0</v>
      </c>
      <c r="R21" s="97" t="n">
        <v>17</v>
      </c>
      <c r="S21" s="98" t="s">
        <v>18</v>
      </c>
      <c r="T21" s="98"/>
      <c r="U21" s="97" t="n">
        <v>0</v>
      </c>
      <c r="V21" s="97" t="n">
        <v>0</v>
      </c>
      <c r="W21" s="97" t="n">
        <v>0</v>
      </c>
      <c r="X21" s="97" t="n">
        <f aca="false">W21*U21/1000000</f>
        <v>0</v>
      </c>
      <c r="AB21" s="97" t="n">
        <v>17</v>
      </c>
      <c r="AC21" s="98" t="s">
        <v>18</v>
      </c>
      <c r="AD21" s="98"/>
      <c r="AE21" s="97" t="n">
        <v>0</v>
      </c>
      <c r="AF21" s="97" t="n">
        <v>0</v>
      </c>
      <c r="AG21" s="97" t="n">
        <v>0</v>
      </c>
      <c r="AH21" s="97" t="n">
        <f aca="false">AG21*AE21/1000000</f>
        <v>0</v>
      </c>
    </row>
    <row r="22" customFormat="false" ht="17.35" hidden="false" customHeight="false" outlineLevel="0" collapsed="false">
      <c r="B22" s="13" t="n">
        <v>18</v>
      </c>
      <c r="C22" s="14"/>
      <c r="D22" s="15"/>
      <c r="E22" s="15"/>
      <c r="F22" s="13" t="n">
        <v>0</v>
      </c>
      <c r="G22" s="13" t="n">
        <f aca="false">+D22*F22</f>
        <v>0</v>
      </c>
      <c r="H22" s="13" t="n">
        <f aca="false">+E22*F22</f>
        <v>0</v>
      </c>
      <c r="I22" s="13" t="n">
        <f aca="false">ROUNDUP((H22/100),0)</f>
        <v>0</v>
      </c>
      <c r="J22" s="20"/>
      <c r="K22" s="96"/>
      <c r="L22" s="96"/>
      <c r="M22" s="96"/>
      <c r="N22" s="16" t="n">
        <f aca="false">+D22*E22/1000000</f>
        <v>0</v>
      </c>
      <c r="O22" s="16" t="n">
        <f aca="false">F22*N22</f>
        <v>0</v>
      </c>
      <c r="R22" s="97" t="n">
        <v>18</v>
      </c>
      <c r="S22" s="98" t="s">
        <v>18</v>
      </c>
      <c r="T22" s="98"/>
      <c r="U22" s="97" t="n">
        <v>0</v>
      </c>
      <c r="V22" s="97" t="n">
        <v>0</v>
      </c>
      <c r="W22" s="97" t="n">
        <v>0</v>
      </c>
      <c r="X22" s="97" t="n">
        <f aca="false">W22*U22/1000000</f>
        <v>0</v>
      </c>
      <c r="AB22" s="97" t="n">
        <v>18</v>
      </c>
      <c r="AC22" s="98" t="s">
        <v>18</v>
      </c>
      <c r="AD22" s="98"/>
      <c r="AE22" s="97" t="n">
        <v>0</v>
      </c>
      <c r="AF22" s="97" t="n">
        <v>0</v>
      </c>
      <c r="AG22" s="97" t="n">
        <v>0</v>
      </c>
      <c r="AH22" s="97" t="n">
        <f aca="false">AG22*AE22/1000000</f>
        <v>0</v>
      </c>
    </row>
    <row r="23" customFormat="false" ht="17.35" hidden="false" customHeight="false" outlineLevel="0" collapsed="false">
      <c r="B23" s="13" t="n">
        <v>19</v>
      </c>
      <c r="C23" s="14"/>
      <c r="D23" s="15"/>
      <c r="E23" s="15"/>
      <c r="F23" s="13" t="n">
        <v>0</v>
      </c>
      <c r="G23" s="13" t="n">
        <f aca="false">+D23*F23</f>
        <v>0</v>
      </c>
      <c r="H23" s="13" t="n">
        <f aca="false">+E23*F23</f>
        <v>0</v>
      </c>
      <c r="I23" s="13" t="n">
        <f aca="false">ROUNDUP((H23/100),0)</f>
        <v>0</v>
      </c>
      <c r="J23" s="20"/>
      <c r="K23" s="96"/>
      <c r="L23" s="96"/>
      <c r="M23" s="96"/>
      <c r="N23" s="16" t="n">
        <f aca="false">+D23*E23/1000000</f>
        <v>0</v>
      </c>
      <c r="O23" s="16" t="n">
        <f aca="false">F23*N23</f>
        <v>0</v>
      </c>
      <c r="R23" s="97" t="n">
        <v>19</v>
      </c>
      <c r="S23" s="98" t="s">
        <v>18</v>
      </c>
      <c r="T23" s="98"/>
      <c r="U23" s="97" t="n">
        <v>0</v>
      </c>
      <c r="V23" s="97" t="n">
        <v>0</v>
      </c>
      <c r="W23" s="97" t="n">
        <v>0</v>
      </c>
      <c r="X23" s="97" t="n">
        <f aca="false">W23*U23/1000000</f>
        <v>0</v>
      </c>
      <c r="AB23" s="97" t="n">
        <v>19</v>
      </c>
      <c r="AC23" s="98" t="s">
        <v>18</v>
      </c>
      <c r="AD23" s="98"/>
      <c r="AE23" s="97" t="n">
        <v>0</v>
      </c>
      <c r="AF23" s="97" t="n">
        <v>0</v>
      </c>
      <c r="AG23" s="97" t="n">
        <v>0</v>
      </c>
      <c r="AH23" s="97" t="n">
        <f aca="false">AG23*AE23/1000000</f>
        <v>0</v>
      </c>
    </row>
    <row r="24" customFormat="false" ht="17.35" hidden="false" customHeight="false" outlineLevel="0" collapsed="false">
      <c r="B24" s="13" t="n">
        <v>20</v>
      </c>
      <c r="C24" s="14"/>
      <c r="D24" s="15"/>
      <c r="E24" s="15"/>
      <c r="F24" s="13" t="n">
        <v>0</v>
      </c>
      <c r="G24" s="13" t="n">
        <f aca="false">+D24*F24</f>
        <v>0</v>
      </c>
      <c r="H24" s="13" t="n">
        <f aca="false">+E24*F24</f>
        <v>0</v>
      </c>
      <c r="I24" s="13" t="n">
        <f aca="false">ROUNDUP((H24/100),0)</f>
        <v>0</v>
      </c>
      <c r="J24" s="20"/>
      <c r="K24" s="96"/>
      <c r="L24" s="96"/>
      <c r="M24" s="96"/>
      <c r="N24" s="16" t="n">
        <f aca="false">+D24*E24/1000000</f>
        <v>0</v>
      </c>
      <c r="O24" s="16" t="n">
        <f aca="false">F24*N24</f>
        <v>0</v>
      </c>
      <c r="R24" s="97" t="n">
        <v>20</v>
      </c>
      <c r="S24" s="98" t="s">
        <v>18</v>
      </c>
      <c r="T24" s="98"/>
      <c r="U24" s="97" t="n">
        <v>0</v>
      </c>
      <c r="V24" s="97" t="n">
        <v>0</v>
      </c>
      <c r="W24" s="97" t="n">
        <v>0</v>
      </c>
      <c r="X24" s="97" t="n">
        <f aca="false">W24*U24/1000000</f>
        <v>0</v>
      </c>
      <c r="AB24" s="97" t="n">
        <v>20</v>
      </c>
      <c r="AC24" s="98" t="s">
        <v>18</v>
      </c>
      <c r="AD24" s="98"/>
      <c r="AE24" s="97" t="n">
        <v>0</v>
      </c>
      <c r="AF24" s="97" t="n">
        <v>0</v>
      </c>
      <c r="AG24" s="97" t="n">
        <v>0</v>
      </c>
      <c r="AH24" s="97" t="n">
        <f aca="false">AG24*AE24/1000000</f>
        <v>0</v>
      </c>
    </row>
    <row r="25" customFormat="false" ht="17.35" hidden="false" customHeight="false" outlineLevel="0" collapsed="false">
      <c r="B25" s="13" t="n">
        <v>21</v>
      </c>
      <c r="C25" s="14"/>
      <c r="D25" s="15"/>
      <c r="E25" s="15"/>
      <c r="F25" s="13" t="n">
        <v>0</v>
      </c>
      <c r="G25" s="13" t="n">
        <f aca="false">+D25*F25</f>
        <v>0</v>
      </c>
      <c r="H25" s="13" t="n">
        <f aca="false">+E25*F25</f>
        <v>0</v>
      </c>
      <c r="I25" s="13" t="n">
        <f aca="false">ROUNDUP((H25/100),0)</f>
        <v>0</v>
      </c>
      <c r="J25" s="20"/>
      <c r="K25" s="96"/>
      <c r="L25" s="96"/>
      <c r="M25" s="96"/>
      <c r="N25" s="16" t="n">
        <f aca="false">+D25*E25/1000000</f>
        <v>0</v>
      </c>
      <c r="O25" s="16" t="n">
        <f aca="false">F25*N25</f>
        <v>0</v>
      </c>
      <c r="V25" s="97" t="s">
        <v>117</v>
      </c>
      <c r="W25" s="97"/>
      <c r="X25" s="97" t="n">
        <f aca="false">SUM(X5:X24)</f>
        <v>11.4</v>
      </c>
      <c r="AF25" s="97" t="s">
        <v>117</v>
      </c>
      <c r="AG25" s="97"/>
      <c r="AH25" s="97" t="n">
        <f aca="false">SUM(AH5:AH24)</f>
        <v>11.4</v>
      </c>
    </row>
    <row r="26" customFormat="false" ht="17.35" hidden="false" customHeight="false" outlineLevel="0" collapsed="false">
      <c r="B26" s="13" t="n">
        <v>22</v>
      </c>
      <c r="C26" s="14"/>
      <c r="D26" s="15"/>
      <c r="E26" s="15"/>
      <c r="F26" s="13" t="n">
        <v>0</v>
      </c>
      <c r="G26" s="13" t="n">
        <f aca="false">+D26*F26</f>
        <v>0</v>
      </c>
      <c r="H26" s="13" t="n">
        <f aca="false">+E26*F26</f>
        <v>0</v>
      </c>
      <c r="I26" s="13" t="n">
        <f aca="false">ROUNDUP((H26/100),0)</f>
        <v>0</v>
      </c>
      <c r="J26" s="20"/>
      <c r="K26" s="96"/>
      <c r="L26" s="96"/>
      <c r="M26" s="96"/>
      <c r="N26" s="16" t="n">
        <f aca="false">+D26*E26/1000000</f>
        <v>0</v>
      </c>
      <c r="O26" s="16" t="n">
        <f aca="false">F26*N26</f>
        <v>0</v>
      </c>
      <c r="P26" s="12"/>
      <c r="V26" s="95" t="s">
        <v>21</v>
      </c>
      <c r="W26" s="95" t="s">
        <v>23</v>
      </c>
      <c r="X26" s="95" t="s">
        <v>24</v>
      </c>
      <c r="Y26" s="95" t="s">
        <v>25</v>
      </c>
      <c r="Z26" s="99" t="s">
        <v>26</v>
      </c>
      <c r="AA26" s="99" t="s">
        <v>37</v>
      </c>
      <c r="AB26" s="12"/>
      <c r="AG26" s="95" t="s">
        <v>21</v>
      </c>
      <c r="AH26" s="95" t="s">
        <v>23</v>
      </c>
      <c r="AI26" s="95" t="s">
        <v>24</v>
      </c>
      <c r="AJ26" s="95" t="s">
        <v>25</v>
      </c>
      <c r="AK26" s="99" t="s">
        <v>26</v>
      </c>
      <c r="AL26" s="99" t="s">
        <v>37</v>
      </c>
      <c r="AM26" s="12"/>
    </row>
    <row r="27" customFormat="false" ht="17.35" hidden="false" customHeight="false" outlineLevel="0" collapsed="false">
      <c r="B27" s="13" t="n">
        <v>23</v>
      </c>
      <c r="C27" s="14"/>
      <c r="D27" s="15"/>
      <c r="E27" s="15"/>
      <c r="F27" s="13" t="n">
        <v>0</v>
      </c>
      <c r="G27" s="13" t="n">
        <f aca="false">+D27*F27</f>
        <v>0</v>
      </c>
      <c r="H27" s="13" t="n">
        <f aca="false">+E27*F27</f>
        <v>0</v>
      </c>
      <c r="I27" s="13" t="n">
        <f aca="false">ROUNDUP((H27/100),0)</f>
        <v>0</v>
      </c>
      <c r="J27" s="20"/>
      <c r="K27" s="96"/>
      <c r="L27" s="96"/>
      <c r="M27" s="96"/>
      <c r="N27" s="16" t="n">
        <f aca="false">+D27*E27/1000000</f>
        <v>0</v>
      </c>
      <c r="O27" s="16" t="n">
        <f aca="false">F27*N27</f>
        <v>0</v>
      </c>
      <c r="P27" s="22"/>
      <c r="U27" s="97" t="s">
        <v>118</v>
      </c>
      <c r="V27" s="97" t="n">
        <v>2015</v>
      </c>
      <c r="W27" s="97" t="n">
        <f aca="false">(U5*1)+(U6*1)+(U7*1)+(U8*1)+(U9*1)+(U10*1)+(U11*1)+(U12*1)+(U13*1)+(U14*1)+(U15*1)+(U16*1)+(U17*1)+(U18*1)+(U19*1)+(U20*1)+(U21*1)+(U22*1)+(U23*1)+(U24*1)</f>
        <v>7600</v>
      </c>
      <c r="X27" s="100" t="n">
        <f aca="false">W27+(W27*10%)</f>
        <v>8360</v>
      </c>
      <c r="Y27" s="101" t="n">
        <f aca="false">X27/6400</f>
        <v>1.30625</v>
      </c>
      <c r="Z27" s="101" t="n">
        <f aca="false">ROUNDUP(Y27,0)</f>
        <v>2</v>
      </c>
      <c r="AA27" s="102" t="n">
        <f aca="false">Z27*7.2</f>
        <v>14.4</v>
      </c>
      <c r="AB27" s="22"/>
      <c r="AF27" s="97" t="s">
        <v>118</v>
      </c>
      <c r="AG27" s="97" t="n">
        <v>1005</v>
      </c>
      <c r="AH27" s="97" t="n">
        <f aca="false">(AE5*1)+(AE6*1)+(AE7*1)+(AE8*1)+(AE9*1)+(AE10*1)+(AE11*1)+(AE12*1)+(AE13*1)+(AE14*1)+(AE15*1)+(AE16*1)+(AE17*1)+(AE18*1)+(AE19*1)+(AE20*1)+(AE21*1)+(AE22*1)+(AE23*1)+(AE24*1)</f>
        <v>7600</v>
      </c>
      <c r="AI27" s="100" t="n">
        <f aca="false">AH27+(AH27*10%)</f>
        <v>8360</v>
      </c>
      <c r="AJ27" s="101" t="n">
        <f aca="false">AH27/6400</f>
        <v>1.1875</v>
      </c>
      <c r="AK27" s="101" t="n">
        <f aca="false">ROUNDUP(AJ27,0)</f>
        <v>2</v>
      </c>
      <c r="AL27" s="102" t="n">
        <f aca="false">AK27*7.2</f>
        <v>14.4</v>
      </c>
      <c r="AM27" s="22"/>
    </row>
    <row r="28" customFormat="false" ht="17.35" hidden="false" customHeight="false" outlineLevel="0" collapsed="false">
      <c r="B28" s="13" t="n">
        <v>24</v>
      </c>
      <c r="C28" s="14"/>
      <c r="D28" s="15"/>
      <c r="E28" s="15"/>
      <c r="F28" s="13" t="n">
        <v>0</v>
      </c>
      <c r="G28" s="13" t="n">
        <f aca="false">+D28*F28</f>
        <v>0</v>
      </c>
      <c r="H28" s="13" t="n">
        <f aca="false">+E28*F28</f>
        <v>0</v>
      </c>
      <c r="I28" s="13" t="n">
        <f aca="false">ROUNDUP((H28/100),0)</f>
        <v>0</v>
      </c>
      <c r="J28" s="20"/>
      <c r="K28" s="96"/>
      <c r="L28" s="96"/>
      <c r="M28" s="96"/>
      <c r="N28" s="16" t="n">
        <f aca="false">+D28*E28/1000000</f>
        <v>0</v>
      </c>
      <c r="O28" s="16" t="n">
        <f aca="false">F28*N28</f>
        <v>0</v>
      </c>
      <c r="P28" s="22"/>
      <c r="Q28" s="22"/>
      <c r="R28" s="22"/>
      <c r="S28" s="22"/>
      <c r="T28" s="22"/>
      <c r="W28" s="97" t="s">
        <v>119</v>
      </c>
      <c r="X28" s="97" t="n">
        <v>2013</v>
      </c>
      <c r="Y28" s="97" t="n">
        <f aca="false">(U5*1)+(U6*1)+(U7*1)+(U8*1)+(U9*1)+(U10*1)+(U11*1)+(U12*1)+(U13*1)+(U14*1)+(U15*1)+(U16*1)+(U17*1)+(U18*1)+(U19*1)+(U20*1)+(U21*1)+(U22*1)+(U23*1)+(U24*1)+(V5*2)+(V6*2)+(V7*2)+(V8*2)+(V9*2)+(V10*2)+(V11*2)+(V12*2)+(V13*2)+(V14*2)+(V15*2)+(V16*2)+(V17*2)+(V18*2)+(V19*2)+(V20*2)+(V21*2)+(V22*2)+(V23*2)+(V24*2)</f>
        <v>19600</v>
      </c>
      <c r="Z28" s="100" t="n">
        <f aca="false">Y28+(Y28*10%)</f>
        <v>21560</v>
      </c>
      <c r="AA28" s="101" t="n">
        <f aca="false">Z28/6400</f>
        <v>3.36875</v>
      </c>
      <c r="AB28" s="101" t="n">
        <f aca="false">ROUNDUP(AA28,0)</f>
        <v>4</v>
      </c>
      <c r="AC28" s="102" t="n">
        <f aca="false">AB28*7.2</f>
        <v>28.8</v>
      </c>
      <c r="AD28" s="22"/>
      <c r="AH28" s="97" t="s">
        <v>120</v>
      </c>
      <c r="AI28" s="97" t="n">
        <v>1007</v>
      </c>
      <c r="AJ28" s="97" t="n">
        <f aca="false">(AF5*2)+(AF6*2)+(AF7*2)+(AF8*2)+(AF9*2)+(AF10*2)+(AF11*2)+(AF12*2)+(AF13*2)+(AF14*2)+(AF15*2)+(AF16*2)+(AF17*2)+(AF18*2)+(AF19*2)+(AF20*2)+(AF21*2)+(AF22*2)+(AF23*2)+(AF24*2)</f>
        <v>12000</v>
      </c>
      <c r="AK28" s="100" t="n">
        <f aca="false">AJ28+(AJ28*10%)</f>
        <v>13200</v>
      </c>
      <c r="AL28" s="101" t="n">
        <f aca="false">AJ28/6400</f>
        <v>1.875</v>
      </c>
      <c r="AM28" s="101" t="n">
        <f aca="false">ROUNDUP(AL28,0)</f>
        <v>2</v>
      </c>
      <c r="AN28" s="102" t="n">
        <f aca="false">AM28*7.2</f>
        <v>14.4</v>
      </c>
      <c r="AO28" s="22"/>
    </row>
    <row r="29" customFormat="false" ht="17.35" hidden="false" customHeight="false" outlineLevel="0" collapsed="false">
      <c r="B29" s="13" t="n">
        <v>25</v>
      </c>
      <c r="C29" s="14"/>
      <c r="D29" s="15"/>
      <c r="E29" s="15"/>
      <c r="F29" s="13" t="n">
        <v>0</v>
      </c>
      <c r="G29" s="13" t="n">
        <f aca="false">+D29*F29</f>
        <v>0</v>
      </c>
      <c r="H29" s="13" t="n">
        <f aca="false">+E29*F29</f>
        <v>0</v>
      </c>
      <c r="I29" s="13" t="n">
        <f aca="false">ROUNDUP((H29/100),0)</f>
        <v>0</v>
      </c>
      <c r="J29" s="20"/>
      <c r="K29" s="96"/>
      <c r="L29" s="96"/>
      <c r="M29" s="96"/>
      <c r="N29" s="16" t="n">
        <f aca="false">+D29*E29/1000000</f>
        <v>0</v>
      </c>
      <c r="O29" s="16" t="n">
        <f aca="false">F29*N29</f>
        <v>0</v>
      </c>
      <c r="P29" s="22"/>
      <c r="Q29" s="22"/>
      <c r="R29" s="22"/>
      <c r="S29" s="22"/>
      <c r="T29" s="22"/>
      <c r="W29" s="97" t="s">
        <v>121</v>
      </c>
      <c r="X29" s="97" t="n">
        <v>2005</v>
      </c>
      <c r="Y29" s="97" t="n">
        <f aca="false">(U5*1)+(U6*1)+(U7*1)+(U8*1)+(U9*1)+(U10*1)+(U11*1)+(U12*1)+(U13*1)+(U14*1)+(U15*1)+(U16*1)+(U17*1)+(U18*1)+(U19*1)+(U20*1)+(U21*1)+(U22*1)+(U23*1)+(U24*1)</f>
        <v>7600</v>
      </c>
      <c r="Z29" s="100" t="n">
        <f aca="false">Y29+(Y29*10%)</f>
        <v>8360</v>
      </c>
      <c r="AA29" s="101" t="n">
        <f aca="false">Z29/6400</f>
        <v>1.30625</v>
      </c>
      <c r="AB29" s="101" t="n">
        <f aca="false">ROUNDUP(AA29,0)</f>
        <v>2</v>
      </c>
      <c r="AC29" s="102" t="n">
        <f aca="false">AB29*7.2</f>
        <v>14.4</v>
      </c>
      <c r="AD29" s="22"/>
      <c r="AH29" s="97" t="s">
        <v>122</v>
      </c>
      <c r="AI29" s="3" t="n">
        <v>1001</v>
      </c>
      <c r="AJ29" s="3" t="n">
        <f aca="false">(AE5*1)+(AE6*1)+(AE7*1)+(AE8*1)+(AE9*1)+(AE10*1)+(AE11*1)+(AE12*1)+(AE13*1)+(AE14*1)+(AE15*1)+(AE16*1)+(AE17*1)+(AE18*1)+(AE19*1)+(AE20*1)+(AE21*1)+(AE22*1)+(AE23*1)+(AE24*1)</f>
        <v>7600</v>
      </c>
      <c r="AK29" s="100" t="n">
        <f aca="false">AJ29+(AJ29*10%)</f>
        <v>8360</v>
      </c>
      <c r="AL29" s="101" t="n">
        <f aca="false">AJ29/6400</f>
        <v>1.1875</v>
      </c>
      <c r="AM29" s="101" t="n">
        <f aca="false">ROUNDUP(AL29,0)</f>
        <v>2</v>
      </c>
      <c r="AN29" s="102" t="n">
        <f aca="false">AM29*7.2</f>
        <v>14.4</v>
      </c>
      <c r="AO29" s="22"/>
    </row>
    <row r="30" customFormat="false" ht="17.35" hidden="false" customHeight="false" outlineLevel="0" collapsed="false">
      <c r="B30" s="13" t="n">
        <v>26</v>
      </c>
      <c r="C30" s="14"/>
      <c r="D30" s="15"/>
      <c r="E30" s="15"/>
      <c r="F30" s="13" t="n">
        <v>0</v>
      </c>
      <c r="G30" s="13" t="n">
        <f aca="false">+D30*F30</f>
        <v>0</v>
      </c>
      <c r="H30" s="13" t="n">
        <f aca="false">+E30*F30</f>
        <v>0</v>
      </c>
      <c r="I30" s="13" t="n">
        <f aca="false">ROUNDUP((H30/100),0)</f>
        <v>0</v>
      </c>
      <c r="J30" s="20"/>
      <c r="K30" s="96"/>
      <c r="L30" s="96"/>
      <c r="M30" s="96"/>
      <c r="N30" s="16" t="n">
        <f aca="false">+D30*E30/1000000</f>
        <v>0</v>
      </c>
      <c r="O30" s="16" t="n">
        <f aca="false">F30*N30</f>
        <v>0</v>
      </c>
      <c r="P30" s="22"/>
      <c r="Q30" s="22"/>
      <c r="R30" s="22"/>
      <c r="S30" s="22"/>
      <c r="T30" s="22"/>
      <c r="W30" s="97" t="s">
        <v>123</v>
      </c>
      <c r="X30" s="97" t="n">
        <v>2007</v>
      </c>
      <c r="Y30" s="103" t="n">
        <f aca="false">(U5*1)+(U6*1)+(U7*1)+(U8*1)+(U9*1)+(U10*1)+(U11*1)+(U12*1)+(U13*1)+(U14*1)+(U15*1)+(U16*1)+(U17*1)+(U18*1)+(U19*1)+(U20*1)+(U21*1)+(U22*1)+(U23*1)+(U24*1)</f>
        <v>7600</v>
      </c>
      <c r="Z30" s="100" t="n">
        <f aca="false">Y30+(Y30*10%)</f>
        <v>8360</v>
      </c>
      <c r="AA30" s="101" t="n">
        <f aca="false">Z30/6400</f>
        <v>1.30625</v>
      </c>
      <c r="AB30" s="101" t="n">
        <f aca="false">ROUNDUP(AA30,0)</f>
        <v>2</v>
      </c>
      <c r="AC30" s="102" t="n">
        <f aca="false">AB30*7.2</f>
        <v>14.4</v>
      </c>
      <c r="AD30" s="21"/>
      <c r="AH30" s="97" t="s">
        <v>121</v>
      </c>
      <c r="AI30" s="97" t="n">
        <v>1009</v>
      </c>
      <c r="AJ30" s="97" t="n">
        <f aca="false">(AE5*1)+(AE6*1)+(AE7*1)+(AE8*1)+(AE9*1)+(AE10*1)+(AE11*1)+(AE12*1)+(AE13*1)+(AE14*1)+(AE15*1)+(AE16*1)+(AE17*1)+(AE18*1)+(AE19*1)+(AE20*1)+(AE21*1)+(AE22*1)+(AE23*1)+(AE24*1)</f>
        <v>7600</v>
      </c>
      <c r="AK30" s="100" t="n">
        <f aca="false">AJ30+(AJ30*10%)</f>
        <v>8360</v>
      </c>
      <c r="AL30" s="101" t="n">
        <f aca="false">AJ30/6400</f>
        <v>1.1875</v>
      </c>
      <c r="AM30" s="101" t="n">
        <f aca="false">ROUNDUP(AL30,0)</f>
        <v>2</v>
      </c>
      <c r="AN30" s="102" t="n">
        <f aca="false">AM30*7.2</f>
        <v>14.4</v>
      </c>
      <c r="AO30" s="21"/>
    </row>
    <row r="31" customFormat="false" ht="17.35" hidden="false" customHeight="false" outlineLevel="0" collapsed="false">
      <c r="B31" s="13" t="n">
        <v>27</v>
      </c>
      <c r="C31" s="14"/>
      <c r="D31" s="15"/>
      <c r="E31" s="15"/>
      <c r="F31" s="13" t="n">
        <v>0</v>
      </c>
      <c r="G31" s="13" t="n">
        <f aca="false">+D31*F31</f>
        <v>0</v>
      </c>
      <c r="H31" s="13" t="n">
        <f aca="false">+E31*F31</f>
        <v>0</v>
      </c>
      <c r="I31" s="13" t="n">
        <f aca="false">ROUNDUP((H31/100),0)</f>
        <v>0</v>
      </c>
      <c r="J31" s="20"/>
      <c r="K31" s="96"/>
      <c r="L31" s="96"/>
      <c r="M31" s="96"/>
      <c r="N31" s="16" t="n">
        <f aca="false">+D31*E31/1000000</f>
        <v>0</v>
      </c>
      <c r="O31" s="16" t="n">
        <f aca="false">F31*N31</f>
        <v>0</v>
      </c>
      <c r="P31" s="23"/>
      <c r="Q31" s="23"/>
      <c r="R31" s="23"/>
      <c r="S31" s="23"/>
      <c r="T31" s="23"/>
      <c r="W31" s="97" t="s">
        <v>124</v>
      </c>
      <c r="X31" s="97" t="n">
        <v>2009</v>
      </c>
      <c r="Y31" s="97" t="n">
        <f aca="false">(V5*2)+(V6*2)+(V7*2)+(V8*2)+(V9*2)+(V10*2)+(V11*2)+(V12*2)+(V13*2)+(V14*2)+(V15*2)+(V16*2)+(V17*2)+(V18*2)+(V19*2)+(V20*2)+(V21*2)+(V22*2)+(V23*2)+(V24*2)</f>
        <v>12000</v>
      </c>
      <c r="Z31" s="100" t="n">
        <f aca="false">Y31+(Y31*10%)</f>
        <v>13200</v>
      </c>
      <c r="AA31" s="101" t="n">
        <f aca="false">Z31/6400</f>
        <v>2.0625</v>
      </c>
      <c r="AB31" s="101" t="n">
        <f aca="false">ROUNDUP(AA31,0)</f>
        <v>3</v>
      </c>
      <c r="AC31" s="102" t="n">
        <f aca="false">AB31*7.2</f>
        <v>21.6</v>
      </c>
      <c r="AD31" s="21"/>
      <c r="AH31" s="97" t="s">
        <v>123</v>
      </c>
      <c r="AI31" s="97" t="n">
        <v>1011</v>
      </c>
      <c r="AJ31" s="103" t="n">
        <f aca="false">(AE5*1)+(AE6*1)+(AE7*1)+(AE8*1)+(AE9*1)+(AE10*1)+(AE11*1)+(AE12*1)+(AE13*1)+(AE14*1)+(AE15*1)+(AE16*1)+(AE17*1)+(AE18*1)+(AE19*1)+(AE20*1)+(AE21*1)+(AE22*1)+(AE23*1)+(AE24*1)</f>
        <v>7600</v>
      </c>
      <c r="AK31" s="100" t="n">
        <f aca="false">AJ31+(AJ31*10%)</f>
        <v>8360</v>
      </c>
      <c r="AL31" s="101" t="n">
        <f aca="false">AJ31/6400</f>
        <v>1.1875</v>
      </c>
      <c r="AM31" s="101" t="n">
        <f aca="false">ROUNDUP(AL31,0)</f>
        <v>2</v>
      </c>
      <c r="AN31" s="102" t="n">
        <f aca="false">AM31*7.2</f>
        <v>14.4</v>
      </c>
      <c r="AO31" s="21"/>
    </row>
    <row r="32" customFormat="false" ht="17.35" hidden="false" customHeight="false" outlineLevel="0" collapsed="false">
      <c r="B32" s="13" t="n">
        <v>28</v>
      </c>
      <c r="C32" s="14"/>
      <c r="D32" s="15"/>
      <c r="E32" s="15"/>
      <c r="F32" s="13" t="n">
        <v>0</v>
      </c>
      <c r="G32" s="13" t="n">
        <f aca="false">+D32*F32</f>
        <v>0</v>
      </c>
      <c r="H32" s="13" t="n">
        <f aca="false">+E32*F32</f>
        <v>0</v>
      </c>
      <c r="I32" s="13" t="n">
        <f aca="false">ROUNDUP((H32/100),0)</f>
        <v>0</v>
      </c>
      <c r="J32" s="20"/>
      <c r="K32" s="96"/>
      <c r="L32" s="96"/>
      <c r="M32" s="96"/>
      <c r="N32" s="16" t="n">
        <f aca="false">+D32*E32/1000000</f>
        <v>0</v>
      </c>
      <c r="O32" s="16" t="n">
        <f aca="false">F32*N32</f>
        <v>0</v>
      </c>
      <c r="V32" s="25"/>
      <c r="W32" s="97" t="s">
        <v>125</v>
      </c>
      <c r="X32" s="97" t="n">
        <v>2011</v>
      </c>
      <c r="Y32" s="97" t="n">
        <f aca="false">(V5*2)+(V6*2)+(V7*2)+(V8*2)+(V9*2)+(V10*2)+(V11*2)+(V12*2)+(V13*2)+(V14*2)+(V15*2)+(V16*2)+(V17*2)+(V18*2)+(V19*2)+(V20*2)+(V21*2)+(V22*2)+(V23*2)+(V24*2)</f>
        <v>12000</v>
      </c>
      <c r="Z32" s="100" t="n">
        <f aca="false">Y32+(Y32*10%)</f>
        <v>13200</v>
      </c>
      <c r="AA32" s="101" t="n">
        <f aca="false">Z32/6400</f>
        <v>2.0625</v>
      </c>
      <c r="AB32" s="101" t="n">
        <f aca="false">ROUNDUP(AA32,0)</f>
        <v>3</v>
      </c>
      <c r="AC32" s="102" t="n">
        <f aca="false">AB32*7.2</f>
        <v>21.6</v>
      </c>
      <c r="AD32" s="21"/>
      <c r="AH32" s="97" t="s">
        <v>124</v>
      </c>
      <c r="AI32" s="97" t="n">
        <v>1013</v>
      </c>
      <c r="AJ32" s="97" t="n">
        <f aca="false">(AF5*2)+(AF6*2)+(AF7*2)+(AF8*2)+(AF9*2)+(AF10*2)+(AF11*2)+(AF12*2)+(AF13*2)+(AF14*2)+(AF15*2)+(AF16*2)+(AF17*2)+(AF18*2)+(AF19*2)+(AF20*2)+(AF21*2)+(AF22*2)+(AF23*2)+(AF24*2)</f>
        <v>12000</v>
      </c>
      <c r="AK32" s="100" t="n">
        <f aca="false">AJ32+(AJ32*10%)</f>
        <v>13200</v>
      </c>
      <c r="AL32" s="101" t="n">
        <f aca="false">AJ32/6400</f>
        <v>1.875</v>
      </c>
      <c r="AM32" s="101" t="n">
        <f aca="false">ROUNDUP(AL32,0)</f>
        <v>2</v>
      </c>
      <c r="AN32" s="102" t="n">
        <f aca="false">AM32*7.2</f>
        <v>14.4</v>
      </c>
      <c r="AO32" s="21"/>
    </row>
    <row r="33" customFormat="false" ht="17.35" hidden="false" customHeight="false" outlineLevel="0" collapsed="false">
      <c r="B33" s="13" t="n">
        <v>29</v>
      </c>
      <c r="C33" s="14"/>
      <c r="D33" s="15"/>
      <c r="E33" s="15"/>
      <c r="F33" s="13" t="n">
        <v>0</v>
      </c>
      <c r="G33" s="13" t="n">
        <f aca="false">+D33*F33</f>
        <v>0</v>
      </c>
      <c r="H33" s="13" t="n">
        <f aca="false">+E33*F33</f>
        <v>0</v>
      </c>
      <c r="I33" s="13" t="n">
        <f aca="false">ROUNDUP((H33/100),0)</f>
        <v>0</v>
      </c>
      <c r="J33" s="20"/>
      <c r="K33" s="96"/>
      <c r="L33" s="96"/>
      <c r="M33" s="96"/>
      <c r="N33" s="16" t="n">
        <f aca="false">+D33*E33/1000000</f>
        <v>0</v>
      </c>
      <c r="O33" s="16" t="n">
        <f aca="false">F33*N33</f>
        <v>0</v>
      </c>
      <c r="P33" s="22"/>
      <c r="R33" s="25"/>
      <c r="S33" s="25"/>
      <c r="T33" s="25"/>
      <c r="U33" s="97" t="s">
        <v>126</v>
      </c>
      <c r="V33" s="3" t="n">
        <v>2025</v>
      </c>
      <c r="W33" s="97" t="n">
        <f aca="false">(U5*1)+(U6*1)+(U7*1)+(U8*1)+(U9*1)+(U10*1)+(U11*1)+(U12*1)+(U13*1)+(U14*1)+(U15*1)+(U16*1)+(U17*1)+(U18*1)+(U19*1)+(U20*1)+(U21*1)+(U22*1)+(U23*1)+(U24*1)+(V5*2)+(V6*2)+(V7*2)+(V8*2)+(V9*2)+(V10*2)+(V11*2)+(V12*2)+(V13*2)+(V14*2)+(V15*2)+(V16*2)+(V17*2)+(V18*2)+(V19*2)+(V20*2)+(V21*2)+(V22*2)+(V23*2)+(V24*2)</f>
        <v>19600</v>
      </c>
      <c r="X33" s="100" t="n">
        <f aca="false">W33+(W33*10%)</f>
        <v>21560</v>
      </c>
      <c r="Y33" s="101" t="n">
        <f aca="false">X33/6400</f>
        <v>3.36875</v>
      </c>
      <c r="Z33" s="101" t="n">
        <f aca="false">ROUNDUP(Y33,0)</f>
        <v>4</v>
      </c>
      <c r="AA33" s="102" t="n">
        <f aca="false">Z33*7.2</f>
        <v>28.8</v>
      </c>
      <c r="AB33" s="23"/>
      <c r="AF33" s="97" t="s">
        <v>125</v>
      </c>
      <c r="AG33" s="97" t="n">
        <v>1017</v>
      </c>
      <c r="AH33" s="97" t="n">
        <f aca="false">(AF5*2)+(AF6*2)+(AF7*2)+(AF8*2)+(AF9*2)+(AF10*2)+(AF11*2)+(AF12*2)+(AF13*2)+(AF14*2)+(AF15*2)+(AF16*2)+(AF17*2)+(AF18*2)+(AF19*2)+(AF20*2)+(AF21*2)+(AF22*2)+(AF23*2)+(AF24*2)</f>
        <v>12000</v>
      </c>
      <c r="AI33" s="100" t="n">
        <f aca="false">AH33+(AH33*10%)</f>
        <v>13200</v>
      </c>
      <c r="AJ33" s="101" t="n">
        <f aca="false">AH33/6400</f>
        <v>1.875</v>
      </c>
      <c r="AK33" s="101" t="n">
        <f aca="false">ROUNDUP(AJ33,0)</f>
        <v>2</v>
      </c>
      <c r="AL33" s="102" t="n">
        <f aca="false">AK33*7.2</f>
        <v>14.4</v>
      </c>
      <c r="AM33" s="23"/>
    </row>
    <row r="34" customFormat="false" ht="17.35" hidden="false" customHeight="false" outlineLevel="0" collapsed="false">
      <c r="B34" s="13" t="n">
        <v>30</v>
      </c>
      <c r="C34" s="14"/>
      <c r="D34" s="15"/>
      <c r="E34" s="15"/>
      <c r="F34" s="13" t="n">
        <v>0</v>
      </c>
      <c r="G34" s="13" t="n">
        <f aca="false">+D34*F34</f>
        <v>0</v>
      </c>
      <c r="H34" s="13" t="n">
        <f aca="false">+E34*F34</f>
        <v>0</v>
      </c>
      <c r="I34" s="13" t="n">
        <f aca="false">ROUNDUP((H34/100),0)</f>
        <v>0</v>
      </c>
      <c r="J34" s="20"/>
      <c r="K34" s="96"/>
      <c r="L34" s="96"/>
      <c r="M34" s="96"/>
      <c r="N34" s="16" t="n">
        <f aca="false">+D34*E34/1000000</f>
        <v>0</v>
      </c>
      <c r="O34" s="16" t="n">
        <f aca="false">F34*N34</f>
        <v>0</v>
      </c>
      <c r="S34" s="6"/>
      <c r="T34" s="6"/>
      <c r="U34" s="104" t="s">
        <v>127</v>
      </c>
      <c r="V34" s="104"/>
      <c r="Z34" s="101"/>
      <c r="AA34" s="23"/>
      <c r="AF34" s="97" t="s">
        <v>128</v>
      </c>
      <c r="AG34" s="97" t="n">
        <v>1019</v>
      </c>
      <c r="AH34" s="97" t="n">
        <f aca="false">(AE5*1)+(AE6*1)+(AE7*1)+(AE8*1)+(AE9*1)+(AE10*1)+(AE11*1)+(AE12*1)+(AE13*1)+(AE14*1)+(AE15*1)+(AE16*1)+(AE17*1)+(AE18*1)+(AE19*1)+(AE20*1)+(AE21*1)+(AE22*1)+(AE23*1)+(AE24*1)+(AF5*2)+(AF6*2)+(AF7*2)+(AF8*2)+(AF9*2)+(AF10*2)+(AF11*2)+(AF12*2)+(AF13*2)+(AF14*2)+(AF15*2)+(AF16*2)+(AF17*2)+(AF18*2)+(AF19*2)+(AF20*2)+(AF21*2)+(AF22*2)+(AF23*2)+(AF24*2)</f>
        <v>19600</v>
      </c>
      <c r="AI34" s="100" t="n">
        <f aca="false">AH34+(AH34*10%)</f>
        <v>21560</v>
      </c>
      <c r="AJ34" s="101" t="n">
        <f aca="false">AH34/6400</f>
        <v>3.0625</v>
      </c>
      <c r="AK34" s="101" t="n">
        <f aca="false">ROUNDUP(AJ34,0)</f>
        <v>4</v>
      </c>
      <c r="AL34" s="102" t="n">
        <f aca="false">AK34*7.2</f>
        <v>28.8</v>
      </c>
    </row>
    <row r="35" customFormat="false" ht="17.35" hidden="false" customHeight="false" outlineLevel="0" collapsed="false">
      <c r="A35" s="4"/>
      <c r="B35" s="13" t="n">
        <v>31</v>
      </c>
      <c r="C35" s="14"/>
      <c r="D35" s="15"/>
      <c r="E35" s="15"/>
      <c r="F35" s="13" t="n">
        <v>0</v>
      </c>
      <c r="G35" s="13" t="n">
        <f aca="false">+D35*F35</f>
        <v>0</v>
      </c>
      <c r="H35" s="13" t="n">
        <f aca="false">+E35*F35</f>
        <v>0</v>
      </c>
      <c r="I35" s="13" t="n">
        <f aca="false">ROUNDUP((H35/100),0)</f>
        <v>0</v>
      </c>
      <c r="J35" s="20"/>
      <c r="K35" s="96"/>
      <c r="L35" s="96"/>
      <c r="M35" s="96"/>
      <c r="N35" s="16" t="n">
        <f aca="false">+D35*E35/1000000</f>
        <v>0</v>
      </c>
      <c r="O35" s="16" t="n">
        <f aca="false">F35*N35</f>
        <v>0</v>
      </c>
      <c r="S35" s="6"/>
      <c r="T35" s="6"/>
      <c r="U35" s="12"/>
      <c r="V35" s="25"/>
      <c r="W35" s="105" t="s">
        <v>129</v>
      </c>
      <c r="X35" s="97" t="n">
        <v>7007</v>
      </c>
      <c r="Y35" s="97" t="n">
        <f aca="false">(U5*2)+(U6*2)+(U7*2)+(U8*2)+(U9*2)+(U10*2)+(U11*2)+(U12*2)+(U13*2)+(U14*2)+(U15*2)+(U16*2)+(U17*2)+(U18*2)+(U19*2)+(U20*2)+(U21*2)+(U22*2)+(U23*2)+(U24*2)+(300*8)</f>
        <v>17600</v>
      </c>
      <c r="Z35" s="100" t="n">
        <f aca="false">Y35+(Y35*10%)</f>
        <v>19360</v>
      </c>
      <c r="AA35" s="101" t="n">
        <f aca="false">Z35/6400</f>
        <v>3.025</v>
      </c>
      <c r="AB35" s="101" t="n">
        <f aca="false">ROUNDUP(AA35,0)</f>
        <v>4</v>
      </c>
      <c r="AC35" s="102" t="n">
        <f aca="false">AB35*7.2</f>
        <v>28.8</v>
      </c>
      <c r="AH35" s="106" t="s">
        <v>127</v>
      </c>
      <c r="AI35" s="106"/>
      <c r="AM35" s="101"/>
      <c r="AN35" s="23"/>
    </row>
    <row r="36" customFormat="false" ht="17.35" hidden="false" customHeight="false" outlineLevel="0" collapsed="false">
      <c r="A36" s="27"/>
      <c r="B36" s="13" t="n">
        <v>32</v>
      </c>
      <c r="C36" s="14"/>
      <c r="D36" s="15"/>
      <c r="E36" s="15"/>
      <c r="F36" s="13" t="n">
        <v>0</v>
      </c>
      <c r="G36" s="13" t="n">
        <f aca="false">+D36*F36</f>
        <v>0</v>
      </c>
      <c r="H36" s="13" t="n">
        <f aca="false">+E36*F36</f>
        <v>0</v>
      </c>
      <c r="I36" s="13" t="n">
        <f aca="false">ROUNDUP((H36/100),0)</f>
        <v>0</v>
      </c>
      <c r="J36" s="20"/>
      <c r="K36" s="96"/>
      <c r="L36" s="96"/>
      <c r="M36" s="96"/>
      <c r="N36" s="16" t="n">
        <f aca="false">+D36*E36/1000000</f>
        <v>0</v>
      </c>
      <c r="O36" s="16" t="n">
        <f aca="false">F36*N36</f>
        <v>0</v>
      </c>
      <c r="S36" s="4"/>
      <c r="T36" s="4"/>
      <c r="U36" s="22"/>
      <c r="W36" s="25"/>
      <c r="X36" s="105" t="s">
        <v>129</v>
      </c>
      <c r="Y36" s="97" t="n">
        <v>1544</v>
      </c>
      <c r="Z36" s="97" t="n">
        <f aca="false">300*8</f>
        <v>2400</v>
      </c>
      <c r="AA36" s="100" t="n">
        <f aca="false">Z36+(Z36*10%)</f>
        <v>2640</v>
      </c>
      <c r="AB36" s="101" t="n">
        <f aca="false">AA36/6400</f>
        <v>0.4125</v>
      </c>
      <c r="AC36" s="101" t="n">
        <f aca="false">ROUNDUP(AB36,0)</f>
        <v>1</v>
      </c>
      <c r="AD36" s="102" t="n">
        <f aca="false">AC36*7.2</f>
        <v>7.2</v>
      </c>
      <c r="AH36" s="97" t="s">
        <v>120</v>
      </c>
      <c r="AI36" s="105" t="s">
        <v>129</v>
      </c>
      <c r="AJ36" s="97" t="n">
        <v>1021</v>
      </c>
      <c r="AK36" s="97" t="n">
        <f aca="false">300*8</f>
        <v>2400</v>
      </c>
      <c r="AL36" s="100" t="n">
        <f aca="false">AK36+(AK36*10%)</f>
        <v>2640</v>
      </c>
      <c r="AM36" s="101" t="n">
        <f aca="false">AK36/6400</f>
        <v>0.375</v>
      </c>
      <c r="AN36" s="101" t="n">
        <f aca="false">ROUNDUP(AM36,0)</f>
        <v>1</v>
      </c>
      <c r="AO36" s="102" t="n">
        <f aca="false">AN36*7.2</f>
        <v>7.2</v>
      </c>
    </row>
    <row r="37" customFormat="false" ht="17.35" hidden="false" customHeight="false" outlineLevel="0" collapsed="false">
      <c r="A37" s="27"/>
      <c r="B37" s="13" t="n">
        <v>33</v>
      </c>
      <c r="C37" s="14"/>
      <c r="D37" s="15"/>
      <c r="E37" s="15"/>
      <c r="F37" s="13" t="n">
        <v>0</v>
      </c>
      <c r="G37" s="13" t="n">
        <f aca="false">+D37*F37</f>
        <v>0</v>
      </c>
      <c r="H37" s="13" t="n">
        <f aca="false">+E37*F37</f>
        <v>0</v>
      </c>
      <c r="I37" s="13" t="n">
        <f aca="false">ROUNDUP((H37/100),0)</f>
        <v>0</v>
      </c>
      <c r="J37" s="20"/>
      <c r="K37" s="96"/>
      <c r="L37" s="96"/>
      <c r="M37" s="96"/>
      <c r="N37" s="16" t="n">
        <f aca="false">+D37*E37/1000000</f>
        <v>0</v>
      </c>
      <c r="O37" s="16" t="n">
        <f aca="false">F37*N37</f>
        <v>0</v>
      </c>
      <c r="S37" s="4"/>
      <c r="T37" s="4"/>
      <c r="U37" s="22"/>
      <c r="X37" s="105" t="s">
        <v>130</v>
      </c>
      <c r="Y37" s="97" t="n">
        <v>6515</v>
      </c>
      <c r="Z37" s="97" t="n">
        <f aca="false">(U24*5)+(U5*5)+(U6*5)+(U7*5)+(U8*5)+(U9*5)+(U10*5)+(U11*5)+(U12*5)+(U13*5)+(U14*5)+(U15*5)+(U16*5)+(U17*5)+(U18*5)+(U19*5)+(U20*5)+(U21*5)+(U22*5)+(U23*5)</f>
        <v>38000</v>
      </c>
      <c r="AA37" s="100" t="n">
        <f aca="false">Z37+(Z37*10%)</f>
        <v>41800</v>
      </c>
      <c r="AB37" s="101" t="n">
        <f aca="false">AA37/6400</f>
        <v>6.53125</v>
      </c>
      <c r="AC37" s="101" t="n">
        <f aca="false">ROUNDUP(AB37,0)</f>
        <v>7</v>
      </c>
      <c r="AD37" s="102" t="n">
        <f aca="false">AC37*7.2</f>
        <v>50.4</v>
      </c>
      <c r="AH37" s="97" t="s">
        <v>131</v>
      </c>
      <c r="AI37" s="105" t="s">
        <v>132</v>
      </c>
      <c r="AJ37" s="97" t="n">
        <v>1027</v>
      </c>
      <c r="AK37" s="97" t="n">
        <f aca="false">(AE5*1)+(AE6*1)+(AE7*1)+(AE8*1)+(AE9*1)+(AE10*1)+(AE11*1)+(AE12*1)+(AE13*1)+(AE14*1)+(AE15*1)+(AE16*1)+(AE17*1)+(AE18*1)+(AE19*1)+(AE20*1)+(AE21*1)+(AE22*1)+(AE23*1)+(AE24*1)</f>
        <v>7600</v>
      </c>
      <c r="AL37" s="100" t="n">
        <f aca="false">AK37+(AK37*10%)</f>
        <v>8360</v>
      </c>
      <c r="AM37" s="101" t="n">
        <f aca="false">AK37/6400</f>
        <v>1.1875</v>
      </c>
      <c r="AN37" s="101" t="n">
        <f aca="false">ROUNDUP(AM37,0)</f>
        <v>2</v>
      </c>
      <c r="AO37" s="102" t="n">
        <f aca="false">AN37*7.2</f>
        <v>14.4</v>
      </c>
    </row>
    <row r="38" customFormat="false" ht="17.35" hidden="false" customHeight="false" outlineLevel="0" collapsed="false">
      <c r="A38" s="27"/>
      <c r="B38" s="13" t="n">
        <v>34</v>
      </c>
      <c r="C38" s="14"/>
      <c r="D38" s="15"/>
      <c r="E38" s="15"/>
      <c r="F38" s="13" t="n">
        <v>0</v>
      </c>
      <c r="G38" s="13" t="n">
        <f aca="false">+D38*F38</f>
        <v>0</v>
      </c>
      <c r="H38" s="13" t="n">
        <f aca="false">+E38*F38</f>
        <v>0</v>
      </c>
      <c r="I38" s="13" t="n">
        <f aca="false">ROUNDUP((H38/100),0)</f>
        <v>0</v>
      </c>
      <c r="J38" s="20"/>
      <c r="K38" s="96"/>
      <c r="L38" s="96"/>
      <c r="M38" s="96"/>
      <c r="N38" s="16" t="n">
        <f aca="false">+D38*E38/1000000</f>
        <v>0</v>
      </c>
      <c r="O38" s="16" t="n">
        <f aca="false">F38*N38</f>
        <v>0</v>
      </c>
      <c r="S38" s="4"/>
      <c r="T38" s="4"/>
      <c r="U38" s="22"/>
      <c r="X38" s="105" t="s">
        <v>133</v>
      </c>
      <c r="Y38" s="97" t="n">
        <v>3035</v>
      </c>
      <c r="Z38" s="97" t="n">
        <f aca="false">(U24*2)+(U5*2)+(U6*2)+(U7*2)+(U8*2)+(U9*2)+(U10*2)+(U11*2)+(U12*2)+(U13*2)+(U14*2)+(U15*2)+(U16*2)+(U17*2)+(U18*2)+(U19*2)+(U20*2)+(U21*2)+(U22*2)+(U23*2)+(300*16)</f>
        <v>20000</v>
      </c>
      <c r="AA38" s="100" t="n">
        <f aca="false">Z38+(Z38*10%)</f>
        <v>22000</v>
      </c>
      <c r="AB38" s="101" t="n">
        <f aca="false">AA38/6400</f>
        <v>3.4375</v>
      </c>
      <c r="AC38" s="101" t="n">
        <f aca="false">ROUNDUP(AB38,0)</f>
        <v>4</v>
      </c>
      <c r="AD38" s="102" t="n">
        <f aca="false">AC38*7.2</f>
        <v>28.8</v>
      </c>
      <c r="AH38" s="97" t="s">
        <v>134</v>
      </c>
      <c r="AI38" s="105" t="s">
        <v>132</v>
      </c>
      <c r="AJ38" s="97" t="n">
        <v>1029</v>
      </c>
      <c r="AK38" s="97" t="n">
        <f aca="false">300*4</f>
        <v>1200</v>
      </c>
      <c r="AL38" s="100" t="n">
        <f aca="false">AK38+(AK38*10%)</f>
        <v>1320</v>
      </c>
      <c r="AM38" s="101" t="n">
        <f aca="false">AK38/6400</f>
        <v>0.1875</v>
      </c>
      <c r="AN38" s="101" t="n">
        <f aca="false">ROUNDUP(AM38,0)</f>
        <v>1</v>
      </c>
      <c r="AO38" s="102" t="n">
        <f aca="false">AN38*7.2</f>
        <v>7.2</v>
      </c>
    </row>
    <row r="39" customFormat="false" ht="17.35" hidden="false" customHeight="false" outlineLevel="0" collapsed="false">
      <c r="A39" s="27"/>
      <c r="B39" s="13" t="n">
        <v>35</v>
      </c>
      <c r="C39" s="14"/>
      <c r="D39" s="15"/>
      <c r="E39" s="15"/>
      <c r="F39" s="13" t="n">
        <v>0</v>
      </c>
      <c r="G39" s="13" t="n">
        <f aca="false">+D39*F39</f>
        <v>0</v>
      </c>
      <c r="H39" s="13" t="n">
        <f aca="false">+E39*F39</f>
        <v>0</v>
      </c>
      <c r="I39" s="13" t="n">
        <f aca="false">ROUNDUP((H39/100),0)</f>
        <v>0</v>
      </c>
      <c r="J39" s="20"/>
      <c r="K39" s="96"/>
      <c r="L39" s="96"/>
      <c r="M39" s="96"/>
      <c r="N39" s="16" t="n">
        <f aca="false">+D39*E39/1000000</f>
        <v>0</v>
      </c>
      <c r="O39" s="16" t="n">
        <f aca="false">F39*N39</f>
        <v>0</v>
      </c>
      <c r="S39" s="4"/>
      <c r="T39" s="4"/>
      <c r="U39" s="22"/>
      <c r="X39" s="25"/>
      <c r="AB39" s="107" t="n">
        <f aca="false">SUM(Y27:Y38)</f>
        <v>87498.675</v>
      </c>
      <c r="AC39" s="107"/>
      <c r="AD39" s="108" t="n">
        <f aca="false">SUM(AA27:AA38)</f>
        <v>66496.33125</v>
      </c>
      <c r="AI39" s="105" t="s">
        <v>133</v>
      </c>
      <c r="AJ39" s="97" t="n">
        <v>3035</v>
      </c>
      <c r="AK39" s="97" t="n">
        <f aca="false">(AE24*2)+(AE5*2)+(AE6*2)+(AE7*2)+(AE8*2)+(AE9*2)+(AE10*2)+(AE11*2)+(AE12*2)+(AE13*2)+(AE14*2)+(AE15*2)+(AE16*2)+(AE17*2)+(AE18*2)+(AE19*2)+(AE20*2)+(AE21*2)+(AE22*2)+(AE23*2)+(300*16)</f>
        <v>20000</v>
      </c>
      <c r="AL39" s="100" t="n">
        <f aca="false">AK39+(AK39*10%)</f>
        <v>22000</v>
      </c>
      <c r="AM39" s="101" t="n">
        <f aca="false">AK39/6400</f>
        <v>3.125</v>
      </c>
      <c r="AN39" s="101" t="n">
        <f aca="false">ROUNDUP(AM39,0)</f>
        <v>4</v>
      </c>
      <c r="AO39" s="102" t="n">
        <f aca="false">AN39*7.2</f>
        <v>28.8</v>
      </c>
    </row>
    <row r="40" customFormat="false" ht="17.35" hidden="false" customHeight="false" outlineLevel="0" collapsed="false">
      <c r="A40" s="27"/>
      <c r="B40" s="13" t="n">
        <v>36</v>
      </c>
      <c r="C40" s="14"/>
      <c r="D40" s="15"/>
      <c r="E40" s="15"/>
      <c r="F40" s="13" t="n">
        <v>0</v>
      </c>
      <c r="G40" s="13" t="n">
        <f aca="false">+D40*F40</f>
        <v>0</v>
      </c>
      <c r="H40" s="13" t="n">
        <f aca="false">+E40*F40</f>
        <v>0</v>
      </c>
      <c r="I40" s="13" t="n">
        <f aca="false">ROUNDUP((H40/100),0)</f>
        <v>0</v>
      </c>
      <c r="J40" s="20"/>
      <c r="K40" s="96"/>
      <c r="L40" s="96"/>
      <c r="M40" s="96"/>
      <c r="N40" s="16" t="n">
        <f aca="false">+D40*E40/1000000</f>
        <v>0</v>
      </c>
      <c r="O40" s="16" t="n">
        <f aca="false">F40*N40</f>
        <v>0</v>
      </c>
      <c r="S40" s="4"/>
      <c r="T40" s="4"/>
      <c r="U40" s="22"/>
      <c r="AH40" s="105" t="s">
        <v>132</v>
      </c>
      <c r="AI40" s="97" t="n">
        <v>1544</v>
      </c>
      <c r="AJ40" s="97" t="n">
        <f aca="false">300*4</f>
        <v>1200</v>
      </c>
      <c r="AK40" s="100" t="n">
        <f aca="false">AJ40+(AJ40*10%)</f>
        <v>1320</v>
      </c>
      <c r="AL40" s="101" t="n">
        <f aca="false">AK40/6400</f>
        <v>0.20625</v>
      </c>
      <c r="AM40" s="101" t="n">
        <f aca="false">AK40/6400</f>
        <v>0.20625</v>
      </c>
      <c r="AN40" s="101" t="n">
        <f aca="false">ROUNDUP(AM40,0)</f>
        <v>1</v>
      </c>
      <c r="AO40" s="102" t="n">
        <f aca="false">AN40*7.2</f>
        <v>7.2</v>
      </c>
    </row>
    <row r="41" customFormat="false" ht="17.35" hidden="false" customHeight="false" outlineLevel="0" collapsed="false">
      <c r="B41" s="13" t="n">
        <v>37</v>
      </c>
      <c r="C41" s="14"/>
      <c r="D41" s="15"/>
      <c r="E41" s="15"/>
      <c r="F41" s="13" t="n">
        <v>0</v>
      </c>
      <c r="G41" s="13" t="n">
        <f aca="false">+D41*F41</f>
        <v>0</v>
      </c>
      <c r="H41" s="13" t="n">
        <f aca="false">+E41*F41</f>
        <v>0</v>
      </c>
      <c r="I41" s="13" t="n">
        <f aca="false">ROUNDUP((H41/100),0)</f>
        <v>0</v>
      </c>
      <c r="J41" s="20"/>
      <c r="K41" s="96"/>
      <c r="L41" s="96"/>
      <c r="M41" s="96"/>
      <c r="N41" s="16" t="n">
        <f aca="false">+D41*E41/1000000</f>
        <v>0</v>
      </c>
      <c r="O41" s="16" t="n">
        <f aca="false">F41*N41</f>
        <v>0</v>
      </c>
      <c r="S41" s="4"/>
      <c r="T41" s="4"/>
      <c r="U41" s="23"/>
      <c r="X41" s="95" t="s">
        <v>135</v>
      </c>
      <c r="Y41" s="95"/>
      <c r="Z41" s="95"/>
      <c r="AA41" s="109" t="n">
        <f aca="false">AD39*3.7</f>
        <v>246036.425625</v>
      </c>
      <c r="AF41" s="105" t="s">
        <v>133</v>
      </c>
      <c r="AG41" s="97" t="n">
        <v>6515</v>
      </c>
      <c r="AH41" s="97" t="n">
        <f aca="false">(AE9*5)+(AE10*5)+(AE11*5)+(AE12*5)+(AE13*5)+(AE14*5)+(AE15*5)+(AE16*5)+(AE17*5)+(AE18*5)+(AE19*5)+(AE20*5)+(AE21*5)+(AE22*5)+(AE23*5)+(AE24*5)+(AE5*5)+(AE6*5)+(AE7*5)+(AE8*5)</f>
        <v>38000</v>
      </c>
      <c r="AI41" s="100" t="n">
        <f aca="false">AH41+(AH41*10%)</f>
        <v>41800</v>
      </c>
      <c r="AJ41" s="101" t="n">
        <f aca="false">AI41/6400</f>
        <v>6.53125</v>
      </c>
      <c r="AK41" s="101" t="n">
        <f aca="false">AI41/6400</f>
        <v>6.53125</v>
      </c>
      <c r="AL41" s="101" t="n">
        <f aca="false">ROUNDUP(AK41,0)</f>
        <v>7</v>
      </c>
      <c r="AM41" s="102" t="n">
        <f aca="false">AL41*7.2</f>
        <v>50.4</v>
      </c>
    </row>
    <row r="42" customFormat="false" ht="17.35" hidden="false" customHeight="false" outlineLevel="0" collapsed="false">
      <c r="B42" s="13" t="n">
        <v>38</v>
      </c>
      <c r="C42" s="14"/>
      <c r="D42" s="15"/>
      <c r="E42" s="15"/>
      <c r="F42" s="13" t="n">
        <v>0</v>
      </c>
      <c r="G42" s="13" t="n">
        <f aca="false">+D42*F42</f>
        <v>0</v>
      </c>
      <c r="H42" s="13" t="n">
        <f aca="false">+E42*F42</f>
        <v>0</v>
      </c>
      <c r="I42" s="13" t="n">
        <f aca="false">ROUNDUP((H42/100),0)</f>
        <v>0</v>
      </c>
      <c r="J42" s="20"/>
      <c r="K42" s="96"/>
      <c r="L42" s="96"/>
      <c r="M42" s="96"/>
      <c r="N42" s="16" t="n">
        <f aca="false">+D42*E42/1000000</f>
        <v>0</v>
      </c>
      <c r="O42" s="16" t="n">
        <f aca="false">F42*N42</f>
        <v>0</v>
      </c>
      <c r="AI42" s="108" t="n">
        <f aca="false">SUM(AJ27:AJ41)</f>
        <v>54124.65625</v>
      </c>
      <c r="AK42" s="101"/>
      <c r="AL42" s="110" t="n">
        <f aca="false">SUM(AL27:AL41)</f>
        <v>34392.11875</v>
      </c>
    </row>
    <row r="43" customFormat="false" ht="17.35" hidden="false" customHeight="false" outlineLevel="0" collapsed="false">
      <c r="B43" s="13" t="n">
        <v>39</v>
      </c>
      <c r="C43" s="14"/>
      <c r="D43" s="15"/>
      <c r="E43" s="15"/>
      <c r="F43" s="13" t="n">
        <v>0</v>
      </c>
      <c r="G43" s="13" t="n">
        <f aca="false">+D43*F43</f>
        <v>0</v>
      </c>
      <c r="H43" s="13" t="n">
        <f aca="false">+E43*F43</f>
        <v>0</v>
      </c>
      <c r="I43" s="13" t="n">
        <f aca="false">ROUNDUP((H43/100),0)</f>
        <v>0</v>
      </c>
      <c r="J43" s="20"/>
      <c r="K43" s="96"/>
      <c r="L43" s="96"/>
      <c r="M43" s="96"/>
      <c r="N43" s="16" t="n">
        <f aca="false">+D43*E43/1000000</f>
        <v>0</v>
      </c>
      <c r="O43" s="16" t="n">
        <f aca="false">F43*N43</f>
        <v>0</v>
      </c>
    </row>
    <row r="44" customFormat="false" ht="17.35" hidden="false" customHeight="false" outlineLevel="0" collapsed="false">
      <c r="B44" s="13" t="n">
        <v>40</v>
      </c>
      <c r="C44" s="14"/>
      <c r="D44" s="15"/>
      <c r="E44" s="15"/>
      <c r="F44" s="13" t="n">
        <v>0</v>
      </c>
      <c r="G44" s="13" t="n">
        <f aca="false">+D44*F44</f>
        <v>0</v>
      </c>
      <c r="H44" s="13" t="n">
        <f aca="false">+E44*F44</f>
        <v>0</v>
      </c>
      <c r="I44" s="13" t="n">
        <f aca="false">ROUNDUP((H44/100),0)</f>
        <v>0</v>
      </c>
      <c r="J44" s="20"/>
      <c r="K44" s="96"/>
      <c r="L44" s="96"/>
      <c r="M44" s="96"/>
      <c r="N44" s="16" t="n">
        <f aca="false">+D44*E44/1000000</f>
        <v>0</v>
      </c>
      <c r="O44" s="16" t="n">
        <f aca="false">F44*N44</f>
        <v>0</v>
      </c>
    </row>
    <row r="45" customFormat="false" ht="17.35" hidden="false" customHeight="false" outlineLevel="0" collapsed="false">
      <c r="B45" s="13" t="n">
        <v>41</v>
      </c>
      <c r="C45" s="14"/>
      <c r="D45" s="15"/>
      <c r="E45" s="15"/>
      <c r="F45" s="13" t="n">
        <v>0</v>
      </c>
      <c r="G45" s="13" t="n">
        <f aca="false">+D45*F45</f>
        <v>0</v>
      </c>
      <c r="H45" s="13" t="n">
        <f aca="false">+E45*F45</f>
        <v>0</v>
      </c>
      <c r="I45" s="13" t="n">
        <f aca="false">ROUNDUP((H45/100),0)</f>
        <v>0</v>
      </c>
      <c r="J45" s="20"/>
      <c r="K45" s="96"/>
      <c r="L45" s="96"/>
      <c r="M45" s="96"/>
      <c r="N45" s="16" t="n">
        <f aca="false">+D45*E45/1000000</f>
        <v>0</v>
      </c>
      <c r="O45" s="16" t="n">
        <f aca="false">F45*N45</f>
        <v>0</v>
      </c>
      <c r="AI45" s="95" t="s">
        <v>135</v>
      </c>
      <c r="AJ45" s="111"/>
      <c r="AK45" s="111"/>
      <c r="AL45" s="112" t="n">
        <f aca="false">AL42*3.7</f>
        <v>127250.839375</v>
      </c>
    </row>
    <row r="46" customFormat="false" ht="17.35" hidden="false" customHeight="false" outlineLevel="0" collapsed="false">
      <c r="B46" s="13" t="n">
        <v>42</v>
      </c>
      <c r="C46" s="14"/>
      <c r="D46" s="15"/>
      <c r="E46" s="15"/>
      <c r="F46" s="13" t="n">
        <v>0</v>
      </c>
      <c r="G46" s="13" t="n">
        <f aca="false">+D46*F46</f>
        <v>0</v>
      </c>
      <c r="H46" s="13" t="n">
        <f aca="false">+E46*F46</f>
        <v>0</v>
      </c>
      <c r="I46" s="13" t="n">
        <f aca="false">ROUNDUP((H46/100),0)</f>
        <v>0</v>
      </c>
      <c r="J46" s="20"/>
      <c r="K46" s="96"/>
      <c r="L46" s="96"/>
      <c r="M46" s="96"/>
      <c r="N46" s="16" t="n">
        <f aca="false">+D46*E46/1000000</f>
        <v>0</v>
      </c>
      <c r="O46" s="16" t="n">
        <f aca="false">F46*N46</f>
        <v>0</v>
      </c>
    </row>
    <row r="47" customFormat="false" ht="17.35" hidden="false" customHeight="false" outlineLevel="0" collapsed="false">
      <c r="B47" s="13" t="n">
        <v>43</v>
      </c>
      <c r="C47" s="14"/>
      <c r="D47" s="15"/>
      <c r="E47" s="15"/>
      <c r="F47" s="13" t="n">
        <v>0</v>
      </c>
      <c r="G47" s="13" t="n">
        <f aca="false">+D47*F47</f>
        <v>0</v>
      </c>
      <c r="H47" s="13" t="n">
        <f aca="false">+E47*F47</f>
        <v>0</v>
      </c>
      <c r="I47" s="13" t="n">
        <f aca="false">ROUNDUP((H47/100),0)</f>
        <v>0</v>
      </c>
      <c r="J47" s="20"/>
      <c r="K47" s="96"/>
      <c r="L47" s="96"/>
      <c r="M47" s="96"/>
      <c r="N47" s="16" t="n">
        <f aca="false">+D47*E47/1000000</f>
        <v>0</v>
      </c>
      <c r="O47" s="16" t="n">
        <f aca="false">F47*N47</f>
        <v>0</v>
      </c>
    </row>
    <row r="48" customFormat="false" ht="17.35" hidden="false" customHeight="false" outlineLevel="0" collapsed="false">
      <c r="B48" s="13" t="n">
        <v>44</v>
      </c>
      <c r="C48" s="14"/>
      <c r="D48" s="15"/>
      <c r="E48" s="15"/>
      <c r="F48" s="13" t="n">
        <v>0</v>
      </c>
      <c r="G48" s="13" t="n">
        <f aca="false">+D48*F48</f>
        <v>0</v>
      </c>
      <c r="H48" s="13" t="n">
        <f aca="false">+E48*F48</f>
        <v>0</v>
      </c>
      <c r="I48" s="13" t="n">
        <f aca="false">ROUNDUP((H48/100),0)</f>
        <v>0</v>
      </c>
      <c r="J48" s="20"/>
      <c r="K48" s="96"/>
      <c r="L48" s="96"/>
      <c r="M48" s="96"/>
      <c r="N48" s="16" t="n">
        <f aca="false">+D48*E48/1000000</f>
        <v>0</v>
      </c>
      <c r="O48" s="16" t="n">
        <f aca="false">F48*N48</f>
        <v>0</v>
      </c>
    </row>
    <row r="49" customFormat="false" ht="17.35" hidden="false" customHeight="false" outlineLevel="0" collapsed="false">
      <c r="B49" s="13" t="n">
        <v>45</v>
      </c>
      <c r="C49" s="14"/>
      <c r="D49" s="15"/>
      <c r="E49" s="15"/>
      <c r="F49" s="13" t="n">
        <v>0</v>
      </c>
      <c r="G49" s="13" t="n">
        <f aca="false">+D49*F49</f>
        <v>0</v>
      </c>
      <c r="H49" s="13" t="n">
        <f aca="false">+E49*F49</f>
        <v>0</v>
      </c>
      <c r="I49" s="13" t="n">
        <f aca="false">ROUNDUP((H49/100),0)</f>
        <v>0</v>
      </c>
      <c r="J49" s="20"/>
      <c r="K49" s="96"/>
      <c r="L49" s="96"/>
      <c r="M49" s="96"/>
      <c r="N49" s="16" t="n">
        <f aca="false">+D49*E49/1000000</f>
        <v>0</v>
      </c>
      <c r="O49" s="16" t="n">
        <f aca="false">F49*N49</f>
        <v>0</v>
      </c>
    </row>
    <row r="50" customFormat="false" ht="17.35" hidden="false" customHeight="false" outlineLevel="0" collapsed="false">
      <c r="B50" s="13" t="n">
        <v>46</v>
      </c>
      <c r="C50" s="14"/>
      <c r="D50" s="15"/>
      <c r="E50" s="15"/>
      <c r="F50" s="13" t="n">
        <v>0</v>
      </c>
      <c r="G50" s="13" t="n">
        <f aca="false">+D50*F50</f>
        <v>0</v>
      </c>
      <c r="H50" s="13" t="n">
        <f aca="false">+E50*F50</f>
        <v>0</v>
      </c>
      <c r="I50" s="13" t="n">
        <f aca="false">ROUNDUP((H50/100),0)</f>
        <v>0</v>
      </c>
      <c r="J50" s="20"/>
      <c r="K50" s="96"/>
      <c r="L50" s="96"/>
      <c r="M50" s="96"/>
      <c r="N50" s="16" t="n">
        <f aca="false">+D50*E50/1000000</f>
        <v>0</v>
      </c>
      <c r="O50" s="16" t="n">
        <f aca="false">F50*N50</f>
        <v>0</v>
      </c>
    </row>
    <row r="51" customFormat="false" ht="17.35" hidden="false" customHeight="false" outlineLevel="0" collapsed="false">
      <c r="B51" s="13" t="n">
        <v>47</v>
      </c>
      <c r="C51" s="14"/>
      <c r="D51" s="15"/>
      <c r="E51" s="15"/>
      <c r="F51" s="13" t="n">
        <v>0</v>
      </c>
      <c r="G51" s="13" t="n">
        <f aca="false">+D51*F51</f>
        <v>0</v>
      </c>
      <c r="H51" s="13" t="n">
        <f aca="false">+E51*F51</f>
        <v>0</v>
      </c>
      <c r="I51" s="13" t="n">
        <f aca="false">ROUNDUP((H51/100),0)</f>
        <v>0</v>
      </c>
      <c r="J51" s="20"/>
      <c r="K51" s="96"/>
      <c r="L51" s="96"/>
      <c r="M51" s="96"/>
      <c r="N51" s="16" t="n">
        <f aca="false">+D51*E51/1000000</f>
        <v>0</v>
      </c>
      <c r="O51" s="16" t="n">
        <f aca="false">F51*N51</f>
        <v>0</v>
      </c>
    </row>
    <row r="52" customFormat="false" ht="17.35" hidden="false" customHeight="false" outlineLevel="0" collapsed="false">
      <c r="B52" s="13" t="n">
        <v>48</v>
      </c>
      <c r="C52" s="14"/>
      <c r="D52" s="15"/>
      <c r="E52" s="15"/>
      <c r="F52" s="13" t="n">
        <v>0</v>
      </c>
      <c r="G52" s="13" t="n">
        <f aca="false">+D52*F52</f>
        <v>0</v>
      </c>
      <c r="H52" s="13" t="n">
        <f aca="false">+E52*F52</f>
        <v>0</v>
      </c>
      <c r="I52" s="13" t="n">
        <f aca="false">ROUNDUP((H52/100),0)</f>
        <v>0</v>
      </c>
      <c r="J52" s="20"/>
      <c r="K52" s="96"/>
      <c r="L52" s="96"/>
      <c r="M52" s="96"/>
      <c r="N52" s="16" t="n">
        <f aca="false">+D52*E52/1000000</f>
        <v>0</v>
      </c>
      <c r="O52" s="16" t="n">
        <f aca="false">F52*N52</f>
        <v>0</v>
      </c>
    </row>
    <row r="53" customFormat="false" ht="17.35" hidden="false" customHeight="false" outlineLevel="0" collapsed="false">
      <c r="B53" s="13" t="n">
        <v>49</v>
      </c>
      <c r="C53" s="14"/>
      <c r="D53" s="15"/>
      <c r="E53" s="15"/>
      <c r="F53" s="13" t="n">
        <v>0</v>
      </c>
      <c r="G53" s="13" t="n">
        <f aca="false">+D53*F53</f>
        <v>0</v>
      </c>
      <c r="H53" s="13" t="n">
        <f aca="false">+E53*F53</f>
        <v>0</v>
      </c>
      <c r="I53" s="13" t="n">
        <f aca="false">ROUNDUP((H53/100),0)</f>
        <v>0</v>
      </c>
      <c r="J53" s="20"/>
      <c r="K53" s="96"/>
      <c r="L53" s="96"/>
      <c r="M53" s="96"/>
      <c r="N53" s="16" t="n">
        <f aca="false">+D53*E53/1000000</f>
        <v>0</v>
      </c>
      <c r="O53" s="16" t="n">
        <f aca="false">F53*N53</f>
        <v>0</v>
      </c>
    </row>
    <row r="54" customFormat="false" ht="17.35" hidden="false" customHeight="false" outlineLevel="0" collapsed="false">
      <c r="B54" s="13" t="n">
        <v>50</v>
      </c>
      <c r="C54" s="14"/>
      <c r="D54" s="15"/>
      <c r="E54" s="15"/>
      <c r="F54" s="13" t="n">
        <v>0</v>
      </c>
      <c r="G54" s="13" t="n">
        <f aca="false">+D54*F54</f>
        <v>0</v>
      </c>
      <c r="H54" s="13" t="n">
        <f aca="false">+E54*F54</f>
        <v>0</v>
      </c>
      <c r="I54" s="13" t="n">
        <f aca="false">ROUNDUP((H54/100),0)</f>
        <v>0</v>
      </c>
      <c r="J54" s="20"/>
      <c r="K54" s="96"/>
      <c r="L54" s="96"/>
      <c r="M54" s="96"/>
      <c r="N54" s="16" t="n">
        <f aca="false">+D54*E54/1000000</f>
        <v>0</v>
      </c>
      <c r="O54" s="16" t="n">
        <f aca="false">F54*N54</f>
        <v>0</v>
      </c>
    </row>
    <row r="55" customFormat="false" ht="17.35" hidden="false" customHeight="false" outlineLevel="0" collapsed="false">
      <c r="B55" s="13" t="n">
        <v>51</v>
      </c>
      <c r="C55" s="14"/>
      <c r="D55" s="15"/>
      <c r="E55" s="15"/>
      <c r="F55" s="13" t="n">
        <v>0</v>
      </c>
      <c r="G55" s="13" t="n">
        <f aca="false">+D55*F55</f>
        <v>0</v>
      </c>
      <c r="H55" s="13" t="n">
        <f aca="false">+E55*F55</f>
        <v>0</v>
      </c>
      <c r="I55" s="13" t="n">
        <f aca="false">ROUNDUP((H55/100),0)</f>
        <v>0</v>
      </c>
      <c r="J55" s="20"/>
      <c r="K55" s="96"/>
      <c r="L55" s="96"/>
      <c r="M55" s="96"/>
      <c r="N55" s="16" t="n">
        <f aca="false">+D55*E55/1000000</f>
        <v>0</v>
      </c>
      <c r="O55" s="16" t="n">
        <f aca="false">F55*N55</f>
        <v>0</v>
      </c>
    </row>
    <row r="56" customFormat="false" ht="17.35" hidden="false" customHeight="false" outlineLevel="0" collapsed="false">
      <c r="B56" s="13" t="n">
        <v>52</v>
      </c>
      <c r="C56" s="14"/>
      <c r="D56" s="15"/>
      <c r="E56" s="15"/>
      <c r="F56" s="13" t="n">
        <v>0</v>
      </c>
      <c r="G56" s="13" t="n">
        <f aca="false">+D56*F56</f>
        <v>0</v>
      </c>
      <c r="H56" s="13" t="n">
        <f aca="false">+E56*F56</f>
        <v>0</v>
      </c>
      <c r="I56" s="13" t="n">
        <f aca="false">ROUNDUP((H56/100),0)</f>
        <v>0</v>
      </c>
      <c r="J56" s="20"/>
      <c r="K56" s="96"/>
      <c r="L56" s="96"/>
      <c r="M56" s="96"/>
      <c r="N56" s="16" t="n">
        <f aca="false">+D56*E56/1000000</f>
        <v>0</v>
      </c>
      <c r="O56" s="16" t="n">
        <f aca="false">F56*N56</f>
        <v>0</v>
      </c>
    </row>
    <row r="57" customFormat="false" ht="17.35" hidden="false" customHeight="false" outlineLevel="0" collapsed="false">
      <c r="B57" s="13" t="n">
        <v>53</v>
      </c>
      <c r="C57" s="14"/>
      <c r="D57" s="15"/>
      <c r="E57" s="15"/>
      <c r="F57" s="13" t="n">
        <v>0</v>
      </c>
      <c r="G57" s="13" t="n">
        <f aca="false">+D57*F57</f>
        <v>0</v>
      </c>
      <c r="H57" s="13" t="n">
        <f aca="false">+E57*F57</f>
        <v>0</v>
      </c>
      <c r="I57" s="13" t="n">
        <f aca="false">ROUNDUP((H57/100),0)</f>
        <v>0</v>
      </c>
      <c r="J57" s="20"/>
      <c r="K57" s="96"/>
      <c r="L57" s="96"/>
      <c r="M57" s="96"/>
      <c r="N57" s="16" t="n">
        <f aca="false">+D57*E57/1000000</f>
        <v>0</v>
      </c>
      <c r="O57" s="16" t="n">
        <f aca="false">F57*N57</f>
        <v>0</v>
      </c>
    </row>
    <row r="58" customFormat="false" ht="17.35" hidden="false" customHeight="false" outlineLevel="0" collapsed="false">
      <c r="B58" s="13" t="n">
        <v>54</v>
      </c>
      <c r="C58" s="14"/>
      <c r="D58" s="15"/>
      <c r="E58" s="15"/>
      <c r="F58" s="13" t="n">
        <v>0</v>
      </c>
      <c r="G58" s="13" t="n">
        <f aca="false">+D58*F58</f>
        <v>0</v>
      </c>
      <c r="H58" s="13" t="n">
        <f aca="false">+E58*F58</f>
        <v>0</v>
      </c>
      <c r="I58" s="13" t="n">
        <f aca="false">ROUNDUP((H58/100),0)</f>
        <v>0</v>
      </c>
      <c r="J58" s="20"/>
      <c r="K58" s="96"/>
      <c r="L58" s="96"/>
      <c r="M58" s="96"/>
      <c r="N58" s="16" t="n">
        <f aca="false">+D58*E58/1000000</f>
        <v>0</v>
      </c>
      <c r="O58" s="16" t="n">
        <f aca="false">F58*N58</f>
        <v>0</v>
      </c>
    </row>
    <row r="59" customFormat="false" ht="17.35" hidden="false" customHeight="false" outlineLevel="0" collapsed="false">
      <c r="B59" s="13" t="n">
        <v>55</v>
      </c>
      <c r="C59" s="14"/>
      <c r="D59" s="15"/>
      <c r="E59" s="15"/>
      <c r="F59" s="13" t="n">
        <v>0</v>
      </c>
      <c r="G59" s="13" t="n">
        <f aca="false">+D59*F59</f>
        <v>0</v>
      </c>
      <c r="H59" s="13" t="n">
        <f aca="false">+E59*F59</f>
        <v>0</v>
      </c>
      <c r="I59" s="13" t="n">
        <f aca="false">ROUNDUP((H59/100),0)</f>
        <v>0</v>
      </c>
      <c r="J59" s="20"/>
      <c r="K59" s="96"/>
      <c r="L59" s="96"/>
      <c r="M59" s="96"/>
      <c r="N59" s="16" t="n">
        <f aca="false">+D59*E59/1000000</f>
        <v>0</v>
      </c>
      <c r="O59" s="16" t="n">
        <f aca="false">F59*N59</f>
        <v>0</v>
      </c>
    </row>
    <row r="60" customFormat="false" ht="17.35" hidden="false" customHeight="false" outlineLevel="0" collapsed="false">
      <c r="B60" s="13" t="n">
        <v>56</v>
      </c>
      <c r="C60" s="14"/>
      <c r="D60" s="15"/>
      <c r="E60" s="15"/>
      <c r="F60" s="13" t="n">
        <v>0</v>
      </c>
      <c r="G60" s="13" t="n">
        <f aca="false">+D60*F60</f>
        <v>0</v>
      </c>
      <c r="H60" s="13" t="n">
        <f aca="false">+E60*F60</f>
        <v>0</v>
      </c>
      <c r="I60" s="13" t="n">
        <f aca="false">ROUNDUP((H60/100),0)</f>
        <v>0</v>
      </c>
      <c r="J60" s="20"/>
      <c r="K60" s="96"/>
      <c r="L60" s="96"/>
      <c r="M60" s="96"/>
      <c r="N60" s="16" t="n">
        <f aca="false">+D60*E60/1000000</f>
        <v>0</v>
      </c>
      <c r="O60" s="16" t="n">
        <f aca="false">F60*N60</f>
        <v>0</v>
      </c>
    </row>
    <row r="61" customFormat="false" ht="17.35" hidden="false" customHeight="false" outlineLevel="0" collapsed="false">
      <c r="B61" s="13" t="n">
        <v>57</v>
      </c>
      <c r="C61" s="14"/>
      <c r="D61" s="15"/>
      <c r="E61" s="15"/>
      <c r="F61" s="13" t="n">
        <v>0</v>
      </c>
      <c r="G61" s="13" t="n">
        <f aca="false">+D61*F61</f>
        <v>0</v>
      </c>
      <c r="H61" s="13" t="n">
        <f aca="false">+E61*F61</f>
        <v>0</v>
      </c>
      <c r="I61" s="13" t="n">
        <f aca="false">ROUNDUP((H61/100),0)</f>
        <v>0</v>
      </c>
      <c r="J61" s="20"/>
      <c r="K61" s="96"/>
      <c r="L61" s="96"/>
      <c r="M61" s="96"/>
      <c r="N61" s="16" t="n">
        <f aca="false">+D61*E61/1000000</f>
        <v>0</v>
      </c>
      <c r="O61" s="16" t="n">
        <f aca="false">F61*N61</f>
        <v>0</v>
      </c>
    </row>
    <row r="62" customFormat="false" ht="17.35" hidden="false" customHeight="false" outlineLevel="0" collapsed="false">
      <c r="B62" s="13" t="n">
        <v>58</v>
      </c>
      <c r="C62" s="14"/>
      <c r="D62" s="15"/>
      <c r="E62" s="15"/>
      <c r="F62" s="13" t="n">
        <v>0</v>
      </c>
      <c r="G62" s="13" t="n">
        <f aca="false">+D62*F62</f>
        <v>0</v>
      </c>
      <c r="H62" s="13" t="n">
        <f aca="false">+E62*F62</f>
        <v>0</v>
      </c>
      <c r="I62" s="13" t="n">
        <f aca="false">ROUNDUP((H62/100),0)</f>
        <v>0</v>
      </c>
      <c r="J62" s="20"/>
      <c r="K62" s="96"/>
      <c r="L62" s="96"/>
      <c r="M62" s="96"/>
      <c r="N62" s="16" t="n">
        <f aca="false">+D62*E62/1000000</f>
        <v>0</v>
      </c>
      <c r="O62" s="16" t="n">
        <f aca="false">F62*N62</f>
        <v>0</v>
      </c>
    </row>
    <row r="63" customFormat="false" ht="17.35" hidden="false" customHeight="false" outlineLevel="0" collapsed="false">
      <c r="B63" s="13" t="n">
        <v>59</v>
      </c>
      <c r="C63" s="14"/>
      <c r="D63" s="15"/>
      <c r="E63" s="15"/>
      <c r="F63" s="13" t="n">
        <v>0</v>
      </c>
      <c r="G63" s="13" t="n">
        <f aca="false">+D63*F63</f>
        <v>0</v>
      </c>
      <c r="H63" s="13" t="n">
        <f aca="false">+E63*F63</f>
        <v>0</v>
      </c>
      <c r="I63" s="13" t="n">
        <f aca="false">ROUNDUP((H63/100),0)</f>
        <v>0</v>
      </c>
      <c r="J63" s="20"/>
      <c r="K63" s="96"/>
      <c r="L63" s="96"/>
      <c r="M63" s="96"/>
      <c r="N63" s="16" t="n">
        <f aca="false">+D63*E63/1000000</f>
        <v>0</v>
      </c>
      <c r="O63" s="16" t="n">
        <f aca="false">F63*N63</f>
        <v>0</v>
      </c>
    </row>
    <row r="64" customFormat="false" ht="17.35" hidden="false" customHeight="false" outlineLevel="0" collapsed="false">
      <c r="B64" s="13" t="n">
        <v>60</v>
      </c>
      <c r="C64" s="14"/>
      <c r="D64" s="15"/>
      <c r="E64" s="15"/>
      <c r="F64" s="13" t="n">
        <v>0</v>
      </c>
      <c r="G64" s="13" t="n">
        <f aca="false">+D64*F64</f>
        <v>0</v>
      </c>
      <c r="H64" s="13" t="n">
        <f aca="false">+E64*F64</f>
        <v>0</v>
      </c>
      <c r="I64" s="13" t="n">
        <f aca="false">ROUNDUP((H64/100),0)</f>
        <v>0</v>
      </c>
      <c r="J64" s="20"/>
      <c r="K64" s="96"/>
      <c r="L64" s="96"/>
      <c r="M64" s="96"/>
      <c r="N64" s="16" t="n">
        <f aca="false">+D64*E64/1000000</f>
        <v>0</v>
      </c>
      <c r="O64" s="16" t="n">
        <f aca="false">F64*N64</f>
        <v>0</v>
      </c>
    </row>
    <row r="65" customFormat="false" ht="17.35" hidden="false" customHeight="false" outlineLevel="0" collapsed="false">
      <c r="B65" s="13" t="n">
        <v>61</v>
      </c>
      <c r="C65" s="14"/>
      <c r="D65" s="15"/>
      <c r="E65" s="15"/>
      <c r="F65" s="13" t="n">
        <v>0</v>
      </c>
      <c r="G65" s="13" t="n">
        <f aca="false">+D65*F65</f>
        <v>0</v>
      </c>
      <c r="H65" s="13" t="n">
        <f aca="false">+E65*F65</f>
        <v>0</v>
      </c>
      <c r="I65" s="13" t="n">
        <f aca="false">ROUNDUP((H65/100),0)</f>
        <v>0</v>
      </c>
      <c r="J65" s="20"/>
      <c r="K65" s="96"/>
      <c r="L65" s="96"/>
      <c r="M65" s="96"/>
      <c r="N65" s="16" t="n">
        <f aca="false">+D65*E65/1000000</f>
        <v>0</v>
      </c>
      <c r="O65" s="16" t="n">
        <f aca="false">F65*N65</f>
        <v>0</v>
      </c>
    </row>
    <row r="66" customFormat="false" ht="17.35" hidden="false" customHeight="false" outlineLevel="0" collapsed="false">
      <c r="B66" s="13" t="n">
        <v>62</v>
      </c>
      <c r="C66" s="14"/>
      <c r="D66" s="15"/>
      <c r="E66" s="15"/>
      <c r="F66" s="13"/>
      <c r="G66" s="13" t="n">
        <f aca="false">+D66*F66</f>
        <v>0</v>
      </c>
      <c r="H66" s="13" t="n">
        <f aca="false">+E66*F66</f>
        <v>0</v>
      </c>
      <c r="I66" s="13" t="n">
        <f aca="false">ROUNDUP((H66/100),0)</f>
        <v>0</v>
      </c>
      <c r="J66" s="20"/>
      <c r="K66" s="96"/>
      <c r="L66" s="96"/>
      <c r="M66" s="96"/>
      <c r="N66" s="16" t="n">
        <f aca="false">+D66*E66/1000000</f>
        <v>0</v>
      </c>
      <c r="O66" s="16" t="n">
        <f aca="false">F66*N66</f>
        <v>0</v>
      </c>
    </row>
    <row r="67" customFormat="false" ht="17.35" hidden="false" customHeight="false" outlineLevel="0" collapsed="false">
      <c r="B67" s="13" t="n">
        <v>63</v>
      </c>
      <c r="C67" s="14"/>
      <c r="D67" s="15"/>
      <c r="E67" s="15"/>
      <c r="F67" s="13"/>
      <c r="G67" s="13" t="n">
        <f aca="false">+D67*F67</f>
        <v>0</v>
      </c>
      <c r="H67" s="13" t="n">
        <f aca="false">+E67*F67</f>
        <v>0</v>
      </c>
      <c r="I67" s="13" t="n">
        <f aca="false">ROUNDUP((H67/100),0)</f>
        <v>0</v>
      </c>
      <c r="J67" s="20"/>
      <c r="K67" s="96"/>
      <c r="L67" s="96"/>
      <c r="M67" s="96"/>
      <c r="N67" s="16" t="n">
        <f aca="false">+D67*E67/1000000</f>
        <v>0</v>
      </c>
      <c r="O67" s="16" t="n">
        <f aca="false">F67*N67</f>
        <v>0</v>
      </c>
    </row>
    <row r="68" customFormat="false" ht="17.35" hidden="false" customHeight="false" outlineLevel="0" collapsed="false">
      <c r="B68" s="13" t="n">
        <v>64</v>
      </c>
      <c r="C68" s="14"/>
      <c r="D68" s="15"/>
      <c r="E68" s="15"/>
      <c r="F68" s="13"/>
      <c r="G68" s="13" t="n">
        <f aca="false">+D68*F68</f>
        <v>0</v>
      </c>
      <c r="H68" s="13" t="n">
        <f aca="false">+E68*F68</f>
        <v>0</v>
      </c>
      <c r="I68" s="13" t="n">
        <f aca="false">ROUNDUP((H68/100),0)</f>
        <v>0</v>
      </c>
      <c r="J68" s="20"/>
      <c r="K68" s="96"/>
      <c r="L68" s="96"/>
      <c r="M68" s="96"/>
      <c r="N68" s="16" t="n">
        <f aca="false">+D68*E68/1000000</f>
        <v>0</v>
      </c>
      <c r="O68" s="16" t="n">
        <f aca="false">F68*N68</f>
        <v>0</v>
      </c>
    </row>
    <row r="69" customFormat="false" ht="17.35" hidden="false" customHeight="false" outlineLevel="0" collapsed="false">
      <c r="B69" s="13" t="n">
        <v>65</v>
      </c>
      <c r="C69" s="14" t="s">
        <v>18</v>
      </c>
      <c r="D69" s="15" t="n">
        <v>0</v>
      </c>
      <c r="E69" s="15" t="n">
        <v>0</v>
      </c>
      <c r="F69" s="13"/>
      <c r="G69" s="13" t="n">
        <f aca="false">+D69*F69</f>
        <v>0</v>
      </c>
      <c r="H69" s="13" t="n">
        <f aca="false">+E69*F69</f>
        <v>0</v>
      </c>
      <c r="I69" s="13" t="n">
        <f aca="false">ROUNDUP((H69/100),0)</f>
        <v>0</v>
      </c>
      <c r="J69" s="20"/>
      <c r="K69" s="96"/>
      <c r="L69" s="96"/>
      <c r="M69" s="96"/>
      <c r="N69" s="16" t="n">
        <f aca="false">+D69*E69/1000000</f>
        <v>0</v>
      </c>
      <c r="O69" s="16" t="n">
        <f aca="false">F69*N69</f>
        <v>0</v>
      </c>
    </row>
    <row r="70" customFormat="false" ht="17.35" hidden="false" customHeight="false" outlineLevel="0" collapsed="false">
      <c r="B70" s="13" t="n">
        <v>66</v>
      </c>
      <c r="C70" s="14" t="s">
        <v>18</v>
      </c>
      <c r="D70" s="15" t="n">
        <v>0</v>
      </c>
      <c r="E70" s="15" t="n">
        <v>0</v>
      </c>
      <c r="F70" s="13"/>
      <c r="G70" s="13" t="n">
        <f aca="false">+D70*F70</f>
        <v>0</v>
      </c>
      <c r="H70" s="13" t="n">
        <f aca="false">+E70*F70</f>
        <v>0</v>
      </c>
      <c r="I70" s="13" t="n">
        <f aca="false">ROUNDUP((H70/100),0)</f>
        <v>0</v>
      </c>
      <c r="J70" s="20"/>
      <c r="K70" s="96"/>
      <c r="L70" s="96"/>
      <c r="M70" s="96"/>
      <c r="N70" s="16" t="n">
        <f aca="false">+D70*E70/1000000</f>
        <v>0</v>
      </c>
      <c r="O70" s="16" t="n">
        <f aca="false">F70*N70</f>
        <v>0</v>
      </c>
    </row>
    <row r="71" customFormat="false" ht="17.35" hidden="false" customHeight="false" outlineLevel="0" collapsed="false">
      <c r="B71" s="13" t="n">
        <v>67</v>
      </c>
      <c r="C71" s="14" t="s">
        <v>18</v>
      </c>
      <c r="D71" s="15" t="n">
        <v>0</v>
      </c>
      <c r="E71" s="15" t="n">
        <v>0</v>
      </c>
      <c r="F71" s="13"/>
      <c r="G71" s="13" t="n">
        <f aca="false">+D71*F71</f>
        <v>0</v>
      </c>
      <c r="H71" s="13" t="n">
        <f aca="false">+E71*F71</f>
        <v>0</v>
      </c>
      <c r="I71" s="13" t="n">
        <f aca="false">ROUNDUP((H71/100),0)</f>
        <v>0</v>
      </c>
      <c r="J71" s="20"/>
      <c r="K71" s="96"/>
      <c r="L71" s="96"/>
      <c r="M71" s="96"/>
      <c r="N71" s="16" t="n">
        <f aca="false">+D71*E71/1000000</f>
        <v>0</v>
      </c>
      <c r="O71" s="16" t="n">
        <f aca="false">F71*N71</f>
        <v>0</v>
      </c>
    </row>
    <row r="72" customFormat="false" ht="17.35" hidden="false" customHeight="false" outlineLevel="0" collapsed="false">
      <c r="B72" s="13" t="n">
        <v>68</v>
      </c>
      <c r="C72" s="14" t="s">
        <v>18</v>
      </c>
      <c r="D72" s="15" t="n">
        <v>0</v>
      </c>
      <c r="E72" s="15" t="n">
        <v>0</v>
      </c>
      <c r="F72" s="13"/>
      <c r="G72" s="13" t="n">
        <f aca="false">+D72*F72</f>
        <v>0</v>
      </c>
      <c r="H72" s="13" t="n">
        <f aca="false">+E72*F72</f>
        <v>0</v>
      </c>
      <c r="I72" s="13" t="n">
        <f aca="false">ROUNDUP((H72/100),0)</f>
        <v>0</v>
      </c>
      <c r="J72" s="20"/>
      <c r="K72" s="96"/>
      <c r="L72" s="96"/>
      <c r="M72" s="96"/>
      <c r="N72" s="16" t="n">
        <f aca="false">+D72*E72/1000000</f>
        <v>0</v>
      </c>
      <c r="O72" s="16" t="n">
        <f aca="false">F72*N72</f>
        <v>0</v>
      </c>
    </row>
    <row r="73" customFormat="false" ht="17.35" hidden="false" customHeight="false" outlineLevel="0" collapsed="false">
      <c r="B73" s="13" t="n">
        <v>69</v>
      </c>
      <c r="C73" s="14" t="s">
        <v>18</v>
      </c>
      <c r="D73" s="15" t="n">
        <v>0</v>
      </c>
      <c r="E73" s="15" t="n">
        <v>0</v>
      </c>
      <c r="F73" s="13"/>
      <c r="G73" s="13" t="n">
        <f aca="false">+D73*F73</f>
        <v>0</v>
      </c>
      <c r="H73" s="13" t="n">
        <f aca="false">+E73*F73</f>
        <v>0</v>
      </c>
      <c r="I73" s="13" t="n">
        <f aca="false">ROUNDUP((H73/100),0)</f>
        <v>0</v>
      </c>
      <c r="J73" s="20"/>
      <c r="K73" s="96"/>
      <c r="L73" s="96"/>
      <c r="M73" s="96"/>
      <c r="N73" s="16" t="n">
        <f aca="false">+D73*E73/1000000</f>
        <v>0</v>
      </c>
      <c r="O73" s="16" t="n">
        <f aca="false">F73*N73</f>
        <v>0</v>
      </c>
    </row>
    <row r="74" customFormat="false" ht="17.35" hidden="false" customHeight="false" outlineLevel="0" collapsed="false">
      <c r="B74" s="13" t="n">
        <v>70</v>
      </c>
      <c r="C74" s="14" t="s">
        <v>18</v>
      </c>
      <c r="D74" s="15" t="n">
        <v>0</v>
      </c>
      <c r="E74" s="15" t="n">
        <v>0</v>
      </c>
      <c r="F74" s="13"/>
      <c r="G74" s="13" t="n">
        <f aca="false">+D74*F74</f>
        <v>0</v>
      </c>
      <c r="H74" s="13" t="n">
        <f aca="false">+E74*F74</f>
        <v>0</v>
      </c>
      <c r="I74" s="13" t="n">
        <f aca="false">ROUNDUP((H74/100),0)</f>
        <v>0</v>
      </c>
      <c r="J74" s="20"/>
      <c r="K74" s="96"/>
      <c r="L74" s="96"/>
      <c r="M74" s="96"/>
      <c r="N74" s="16" t="n">
        <f aca="false">+D74*E74/1000000</f>
        <v>0</v>
      </c>
      <c r="O74" s="16" t="n">
        <f aca="false">F74*N74</f>
        <v>0</v>
      </c>
    </row>
    <row r="75" customFormat="false" ht="17.35" hidden="false" customHeight="false" outlineLevel="0" collapsed="false">
      <c r="B75" s="13" t="n">
        <v>71</v>
      </c>
      <c r="C75" s="14" t="s">
        <v>18</v>
      </c>
      <c r="D75" s="15" t="n">
        <v>0</v>
      </c>
      <c r="E75" s="15" t="n">
        <v>0</v>
      </c>
      <c r="F75" s="13"/>
      <c r="G75" s="13" t="n">
        <f aca="false">+D75*F75</f>
        <v>0</v>
      </c>
      <c r="H75" s="13" t="n">
        <f aca="false">+E75*F75</f>
        <v>0</v>
      </c>
      <c r="I75" s="13" t="n">
        <f aca="false">ROUNDUP((H75/100),0)</f>
        <v>0</v>
      </c>
      <c r="J75" s="20"/>
      <c r="K75" s="96"/>
      <c r="L75" s="96"/>
      <c r="M75" s="96"/>
      <c r="N75" s="16" t="n">
        <f aca="false">+D75*E75/1000000</f>
        <v>0</v>
      </c>
      <c r="O75" s="16" t="n">
        <f aca="false">F75*N75</f>
        <v>0</v>
      </c>
    </row>
    <row r="76" customFormat="false" ht="17.35" hidden="false" customHeight="false" outlineLevel="0" collapsed="false">
      <c r="B76" s="13" t="n">
        <v>72</v>
      </c>
      <c r="C76" s="14" t="s">
        <v>18</v>
      </c>
      <c r="D76" s="15" t="n">
        <v>0</v>
      </c>
      <c r="E76" s="15" t="n">
        <v>0</v>
      </c>
      <c r="F76" s="13"/>
      <c r="G76" s="13" t="n">
        <f aca="false">+D76*F76</f>
        <v>0</v>
      </c>
      <c r="H76" s="13" t="n">
        <f aca="false">+E76*F76</f>
        <v>0</v>
      </c>
      <c r="I76" s="13" t="n">
        <f aca="false">ROUNDUP((H76/100),0)</f>
        <v>0</v>
      </c>
      <c r="J76" s="20"/>
      <c r="K76" s="96"/>
      <c r="L76" s="96"/>
      <c r="M76" s="96"/>
      <c r="N76" s="16" t="n">
        <f aca="false">+D76*E76/1000000</f>
        <v>0</v>
      </c>
      <c r="O76" s="16" t="n">
        <f aca="false">F76*N76</f>
        <v>0</v>
      </c>
    </row>
    <row r="77" customFormat="false" ht="17.35" hidden="false" customHeight="false" outlineLevel="0" collapsed="false">
      <c r="B77" s="13" t="n">
        <v>73</v>
      </c>
      <c r="C77" s="14" t="s">
        <v>18</v>
      </c>
      <c r="D77" s="15" t="n">
        <v>0</v>
      </c>
      <c r="E77" s="15" t="n">
        <v>0</v>
      </c>
      <c r="F77" s="13"/>
      <c r="G77" s="13" t="n">
        <f aca="false">+D77*F77</f>
        <v>0</v>
      </c>
      <c r="H77" s="13" t="n">
        <f aca="false">+E77*F77</f>
        <v>0</v>
      </c>
      <c r="I77" s="13" t="n">
        <f aca="false">ROUNDUP((H77/100),0)</f>
        <v>0</v>
      </c>
      <c r="J77" s="20"/>
      <c r="K77" s="96"/>
      <c r="L77" s="96"/>
      <c r="M77" s="96"/>
      <c r="N77" s="16" t="n">
        <f aca="false">+D77*E77/1000000</f>
        <v>0</v>
      </c>
      <c r="O77" s="16" t="n">
        <f aca="false">F77*N77</f>
        <v>0</v>
      </c>
    </row>
    <row r="78" customFormat="false" ht="17.35" hidden="false" customHeight="false" outlineLevel="0" collapsed="false">
      <c r="B78" s="13" t="n">
        <v>74</v>
      </c>
      <c r="C78" s="14" t="s">
        <v>18</v>
      </c>
      <c r="D78" s="15" t="n">
        <v>0</v>
      </c>
      <c r="E78" s="15" t="n">
        <v>0</v>
      </c>
      <c r="F78" s="13"/>
      <c r="G78" s="13" t="n">
        <f aca="false">+D78*F78</f>
        <v>0</v>
      </c>
      <c r="H78" s="13" t="n">
        <f aca="false">+E78*F78</f>
        <v>0</v>
      </c>
      <c r="I78" s="13" t="n">
        <f aca="false">ROUNDUP((H78/100),0)</f>
        <v>0</v>
      </c>
      <c r="J78" s="20"/>
      <c r="K78" s="96"/>
      <c r="L78" s="96"/>
      <c r="M78" s="96"/>
      <c r="N78" s="16" t="n">
        <f aca="false">+D78*E78/1000000</f>
        <v>0</v>
      </c>
      <c r="O78" s="16" t="n">
        <f aca="false">F78*N78</f>
        <v>0</v>
      </c>
    </row>
    <row r="79" customFormat="false" ht="17.35" hidden="false" customHeight="false" outlineLevel="0" collapsed="false">
      <c r="B79" s="13" t="n">
        <v>75</v>
      </c>
      <c r="C79" s="14" t="s">
        <v>18</v>
      </c>
      <c r="D79" s="15" t="n">
        <v>0</v>
      </c>
      <c r="E79" s="15" t="n">
        <v>0</v>
      </c>
      <c r="F79" s="13"/>
      <c r="G79" s="13" t="n">
        <f aca="false">+D79*F79</f>
        <v>0</v>
      </c>
      <c r="H79" s="13" t="n">
        <f aca="false">+E79*F79</f>
        <v>0</v>
      </c>
      <c r="I79" s="13" t="n">
        <f aca="false">ROUNDUP((H79/100),0)</f>
        <v>0</v>
      </c>
      <c r="J79" s="20"/>
      <c r="K79" s="96"/>
      <c r="L79" s="96"/>
      <c r="M79" s="96"/>
      <c r="N79" s="16" t="n">
        <f aca="false">+D79*E79/1000000</f>
        <v>0</v>
      </c>
      <c r="O79" s="16" t="n">
        <f aca="false">F79*N79</f>
        <v>0</v>
      </c>
    </row>
    <row r="80" customFormat="false" ht="17.35" hidden="false" customHeight="false" outlineLevel="0" collapsed="false">
      <c r="B80" s="13" t="n">
        <v>76</v>
      </c>
      <c r="C80" s="14" t="s">
        <v>18</v>
      </c>
      <c r="D80" s="15" t="n">
        <v>0</v>
      </c>
      <c r="E80" s="15" t="n">
        <v>0</v>
      </c>
      <c r="F80" s="13"/>
      <c r="G80" s="13" t="n">
        <f aca="false">+D80*F80</f>
        <v>0</v>
      </c>
      <c r="H80" s="13" t="n">
        <f aca="false">+E80*F80</f>
        <v>0</v>
      </c>
      <c r="I80" s="13" t="n">
        <f aca="false">ROUNDUP((H80/100),0)</f>
        <v>0</v>
      </c>
      <c r="J80" s="20"/>
      <c r="K80" s="96"/>
      <c r="L80" s="96"/>
      <c r="M80" s="96"/>
      <c r="N80" s="16" t="n">
        <f aca="false">+D80*E80/1000000</f>
        <v>0</v>
      </c>
      <c r="O80" s="16" t="n">
        <f aca="false">F80*N80</f>
        <v>0</v>
      </c>
    </row>
    <row r="81" customFormat="false" ht="17.35" hidden="false" customHeight="false" outlineLevel="0" collapsed="false">
      <c r="B81" s="13" t="n">
        <v>77</v>
      </c>
      <c r="C81" s="14" t="s">
        <v>18</v>
      </c>
      <c r="D81" s="15" t="n">
        <v>0</v>
      </c>
      <c r="E81" s="15" t="n">
        <v>0</v>
      </c>
      <c r="F81" s="13"/>
      <c r="G81" s="13" t="n">
        <f aca="false">+D81*F81</f>
        <v>0</v>
      </c>
      <c r="H81" s="13" t="n">
        <f aca="false">+E81*F81</f>
        <v>0</v>
      </c>
      <c r="I81" s="13" t="n">
        <f aca="false">ROUNDUP((H81/100),0)</f>
        <v>0</v>
      </c>
      <c r="J81" s="20"/>
      <c r="K81" s="96"/>
      <c r="L81" s="96"/>
      <c r="M81" s="96"/>
      <c r="N81" s="16" t="n">
        <f aca="false">+D81*E81/1000000</f>
        <v>0</v>
      </c>
      <c r="O81" s="16" t="n">
        <f aca="false">F81*N81</f>
        <v>0</v>
      </c>
    </row>
    <row r="82" customFormat="false" ht="17.35" hidden="false" customHeight="false" outlineLevel="0" collapsed="false">
      <c r="B82" s="13" t="n">
        <v>78</v>
      </c>
      <c r="C82" s="14" t="s">
        <v>18</v>
      </c>
      <c r="D82" s="15" t="n">
        <v>0</v>
      </c>
      <c r="E82" s="15" t="n">
        <v>0</v>
      </c>
      <c r="F82" s="13"/>
      <c r="G82" s="13" t="n">
        <f aca="false">+D82*F82</f>
        <v>0</v>
      </c>
      <c r="H82" s="13" t="n">
        <f aca="false">+E82*F82</f>
        <v>0</v>
      </c>
      <c r="I82" s="13" t="n">
        <f aca="false">ROUNDUP((H82/100),0)</f>
        <v>0</v>
      </c>
      <c r="J82" s="20"/>
      <c r="K82" s="96"/>
      <c r="L82" s="96"/>
      <c r="M82" s="96"/>
      <c r="N82" s="16" t="n">
        <f aca="false">+D82*E82/1000000</f>
        <v>0</v>
      </c>
      <c r="O82" s="16" t="n">
        <f aca="false">F82*N82</f>
        <v>0</v>
      </c>
    </row>
    <row r="83" customFormat="false" ht="17.35" hidden="false" customHeight="false" outlineLevel="0" collapsed="false">
      <c r="B83" s="13" t="n">
        <v>79</v>
      </c>
      <c r="C83" s="14" t="s">
        <v>18</v>
      </c>
      <c r="D83" s="15" t="n">
        <v>0</v>
      </c>
      <c r="E83" s="15" t="n">
        <v>0</v>
      </c>
      <c r="F83" s="13"/>
      <c r="G83" s="13" t="n">
        <f aca="false">+D83*F83</f>
        <v>0</v>
      </c>
      <c r="H83" s="13" t="n">
        <f aca="false">+E83*F83</f>
        <v>0</v>
      </c>
      <c r="I83" s="13" t="n">
        <f aca="false">ROUNDUP((H83/100),0)</f>
        <v>0</v>
      </c>
      <c r="J83" s="20"/>
      <c r="K83" s="96"/>
      <c r="L83" s="96"/>
      <c r="M83" s="96"/>
      <c r="N83" s="16" t="n">
        <f aca="false">+D83*E83/1000000</f>
        <v>0</v>
      </c>
      <c r="O83" s="16" t="n">
        <f aca="false">F83*N83</f>
        <v>0</v>
      </c>
    </row>
    <row r="84" customFormat="false" ht="17.35" hidden="false" customHeight="false" outlineLevel="0" collapsed="false">
      <c r="B84" s="31" t="s">
        <v>19</v>
      </c>
      <c r="C84" s="31"/>
      <c r="D84" s="32" t="n">
        <f aca="false">SUM(D5:D83)</f>
        <v>16067</v>
      </c>
      <c r="E84" s="33" t="n">
        <f aca="false">SUM(E5:E83)</f>
        <v>11879</v>
      </c>
      <c r="F84" s="34" t="n">
        <f aca="false">SUM(F5:F83)</f>
        <v>17</v>
      </c>
      <c r="G84" s="32" t="n">
        <f aca="false">SUM(G5:G83)</f>
        <v>39927</v>
      </c>
      <c r="H84" s="32" t="n">
        <f aca="false">SUM(H5:H83)</f>
        <v>29477</v>
      </c>
      <c r="I84" s="32" t="n">
        <f aca="false">SUM(I5:I83)</f>
        <v>297</v>
      </c>
      <c r="J84" s="32"/>
      <c r="K84" s="32" t="n">
        <f aca="false">SUM(K5:K83)</f>
        <v>136</v>
      </c>
      <c r="L84" s="32"/>
      <c r="M84" s="32" t="n">
        <f aca="false">SUM(M5:M83)</f>
        <v>70</v>
      </c>
      <c r="N84" s="35" t="n">
        <f aca="false">SUM(N5:N83)</f>
        <v>27.281246</v>
      </c>
      <c r="O84" s="36" t="n">
        <f aca="false">SUM(O5:O83)</f>
        <v>69.354026</v>
      </c>
    </row>
    <row r="85" customFormat="false" ht="17.35" hidden="false" customHeight="false" outlineLevel="0" collapsed="false">
      <c r="B85" s="4"/>
      <c r="C85" s="4"/>
      <c r="D85" s="4"/>
      <c r="E85" s="38"/>
      <c r="F85" s="39"/>
      <c r="G85" s="39"/>
      <c r="H85" s="4"/>
      <c r="I85" s="12"/>
      <c r="J85" s="12"/>
    </row>
    <row r="86" customFormat="false" ht="17.35" hidden="false" customHeight="false" outlineLevel="0" collapsed="false">
      <c r="B86" s="40" t="s">
        <v>20</v>
      </c>
      <c r="C86" s="40"/>
      <c r="D86" s="40"/>
      <c r="E86" s="40"/>
      <c r="F86" s="40"/>
      <c r="G86" s="40"/>
      <c r="H86" s="40"/>
      <c r="I86" s="40"/>
      <c r="J86" s="40"/>
    </row>
    <row r="87" customFormat="false" ht="17.35" hidden="false" customHeight="false" outlineLevel="0" collapsed="false">
      <c r="B87" s="9" t="s">
        <v>5</v>
      </c>
      <c r="C87" s="42" t="s">
        <v>21</v>
      </c>
      <c r="D87" s="42" t="s">
        <v>22</v>
      </c>
      <c r="E87" s="42" t="s">
        <v>23</v>
      </c>
      <c r="F87" s="42" t="s">
        <v>24</v>
      </c>
      <c r="G87" s="42" t="s">
        <v>25</v>
      </c>
      <c r="H87" s="42" t="s">
        <v>26</v>
      </c>
      <c r="I87" s="42" t="s">
        <v>27</v>
      </c>
      <c r="J87" s="42" t="s">
        <v>28</v>
      </c>
      <c r="K87" s="6"/>
      <c r="L87" s="5"/>
    </row>
    <row r="88" customFormat="false" ht="17.35" hidden="false" customHeight="false" outlineLevel="0" collapsed="false">
      <c r="B88" s="13" t="n">
        <v>1</v>
      </c>
      <c r="C88" s="13" t="n">
        <v>5017</v>
      </c>
      <c r="D88" s="13" t="s">
        <v>29</v>
      </c>
      <c r="E88" s="15" t="n">
        <f aca="false">+G84*2+H84*2</f>
        <v>138808</v>
      </c>
      <c r="F88" s="15" t="n">
        <f aca="false">E88+(E88*10%)</f>
        <v>152688.8</v>
      </c>
      <c r="G88" s="43" t="n">
        <f aca="false">F88/6400</f>
        <v>23.857625</v>
      </c>
      <c r="H88" s="43" t="n">
        <f aca="false">ROUNDUP(G88,0)</f>
        <v>24</v>
      </c>
      <c r="I88" s="44" t="n">
        <v>7.23</v>
      </c>
      <c r="J88" s="44" t="n">
        <f aca="false">+I88*H88</f>
        <v>173.52</v>
      </c>
      <c r="K88" s="6"/>
      <c r="L88" s="5"/>
    </row>
    <row r="89" customFormat="false" ht="17.35" hidden="false" customHeight="false" outlineLevel="0" collapsed="false">
      <c r="B89" s="13" t="n">
        <v>2</v>
      </c>
      <c r="C89" s="13" t="n">
        <v>5019</v>
      </c>
      <c r="D89" s="13" t="s">
        <v>30</v>
      </c>
      <c r="E89" s="15" t="n">
        <f aca="false">+G84*3+H84*6</f>
        <v>296643</v>
      </c>
      <c r="F89" s="15" t="n">
        <f aca="false">E89+(E89*10%)</f>
        <v>326307.3</v>
      </c>
      <c r="G89" s="43" t="n">
        <f aca="false">F89/6400</f>
        <v>50.985515625</v>
      </c>
      <c r="H89" s="43" t="n">
        <f aca="false">ROUNDUP(G89,0)</f>
        <v>51</v>
      </c>
      <c r="I89" s="44" t="n">
        <v>4.6</v>
      </c>
      <c r="J89" s="44" t="n">
        <f aca="false">+I89*H89</f>
        <v>234.6</v>
      </c>
    </row>
    <row r="90" customFormat="false" ht="17.35" hidden="false" customHeight="false" outlineLevel="0" collapsed="false">
      <c r="B90" s="13" t="n">
        <v>3</v>
      </c>
      <c r="C90" s="13" t="n">
        <v>5023</v>
      </c>
      <c r="D90" s="13" t="s">
        <v>31</v>
      </c>
      <c r="E90" s="15" t="n">
        <f aca="false">+H84*3</f>
        <v>88431</v>
      </c>
      <c r="F90" s="15" t="n">
        <f aca="false">E90+(E90*10%)</f>
        <v>97274.1</v>
      </c>
      <c r="G90" s="43" t="n">
        <f aca="false">F90/6400</f>
        <v>15.199078125</v>
      </c>
      <c r="H90" s="43" t="n">
        <f aca="false">ROUNDUP(G90,0)</f>
        <v>16</v>
      </c>
      <c r="I90" s="44" t="n">
        <v>2.3</v>
      </c>
      <c r="J90" s="44" t="n">
        <f aca="false">+I90*H90</f>
        <v>36.8</v>
      </c>
    </row>
    <row r="91" customFormat="false" ht="17.35" hidden="false" customHeight="false" outlineLevel="0" collapsed="false">
      <c r="B91" s="13" t="n">
        <v>4</v>
      </c>
      <c r="C91" s="13" t="n">
        <v>5025</v>
      </c>
      <c r="D91" s="13" t="s">
        <v>32</v>
      </c>
      <c r="E91" s="15" t="n">
        <f aca="false">+G84*1+H84*2</f>
        <v>98881</v>
      </c>
      <c r="F91" s="15" t="n">
        <f aca="false">E91+(E91*10%)</f>
        <v>108769.1</v>
      </c>
      <c r="G91" s="43" t="n">
        <f aca="false">F91/6400</f>
        <v>16.995171875</v>
      </c>
      <c r="H91" s="43" t="n">
        <f aca="false">ROUNDUP(G91,0)</f>
        <v>17</v>
      </c>
      <c r="I91" s="44" t="n">
        <v>1</v>
      </c>
      <c r="J91" s="44" t="n">
        <f aca="false">+I91*H91</f>
        <v>17</v>
      </c>
    </row>
    <row r="92" customFormat="false" ht="17.35" hidden="false" customHeight="false" outlineLevel="0" collapsed="false">
      <c r="B92" s="13" t="n">
        <v>5</v>
      </c>
      <c r="C92" s="13" t="n">
        <v>7201</v>
      </c>
      <c r="D92" s="13" t="s">
        <v>136</v>
      </c>
      <c r="E92" s="15"/>
      <c r="F92" s="15"/>
      <c r="G92" s="43"/>
      <c r="H92" s="43" t="n">
        <f aca="false">+K84</f>
        <v>136</v>
      </c>
      <c r="I92" s="44" t="n">
        <v>1.25</v>
      </c>
      <c r="J92" s="44" t="n">
        <f aca="false">+I92*H92</f>
        <v>170</v>
      </c>
    </row>
    <row r="93" customFormat="false" ht="17.35" hidden="false" customHeight="false" outlineLevel="0" collapsed="false">
      <c r="B93" s="13" t="n">
        <v>6</v>
      </c>
      <c r="C93" s="113" t="n">
        <v>7105</v>
      </c>
      <c r="D93" s="13" t="s">
        <v>137</v>
      </c>
      <c r="E93" s="15" t="n">
        <f aca="false">+H84*1</f>
        <v>29477</v>
      </c>
      <c r="F93" s="15" t="n">
        <f aca="false">E93+(E93*10%)</f>
        <v>32424.7</v>
      </c>
      <c r="G93" s="43" t="n">
        <f aca="false">F93/6400</f>
        <v>5.066359375</v>
      </c>
      <c r="H93" s="43" t="n">
        <f aca="false">ROUNDUP(G93,0)</f>
        <v>6</v>
      </c>
      <c r="I93" s="44" t="n">
        <v>4.3</v>
      </c>
      <c r="J93" s="44" t="n">
        <f aca="false">+I93*H93</f>
        <v>25.8</v>
      </c>
    </row>
    <row r="94" customFormat="false" ht="17.35" hidden="false" customHeight="false" outlineLevel="0" collapsed="false">
      <c r="H94" s="23"/>
      <c r="I94" s="57" t="s">
        <v>19</v>
      </c>
      <c r="J94" s="56" t="n">
        <f aca="false">SUM(J88:J93)</f>
        <v>657.72</v>
      </c>
    </row>
    <row r="96" customFormat="false" ht="17.35" hidden="false" customHeight="false" outlineLevel="0" collapsed="false">
      <c r="B96" s="42" t="s">
        <v>50</v>
      </c>
      <c r="C96" s="42"/>
      <c r="D96" s="42"/>
      <c r="E96" s="42"/>
      <c r="F96" s="42"/>
      <c r="G96" s="42"/>
      <c r="H96" s="42"/>
    </row>
    <row r="97" customFormat="false" ht="17.35" hidden="false" customHeight="false" outlineLevel="0" collapsed="false">
      <c r="B97" s="9" t="s">
        <v>5</v>
      </c>
      <c r="C97" s="9" t="s">
        <v>22</v>
      </c>
      <c r="D97" s="9" t="s">
        <v>51</v>
      </c>
      <c r="E97" s="9" t="s">
        <v>52</v>
      </c>
      <c r="F97" s="9" t="s">
        <v>53</v>
      </c>
      <c r="G97" s="9" t="s">
        <v>54</v>
      </c>
      <c r="H97" s="9" t="s">
        <v>55</v>
      </c>
    </row>
    <row r="98" customFormat="false" ht="17.35" hidden="false" customHeight="false" outlineLevel="0" collapsed="false">
      <c r="B98" s="13" t="n">
        <v>1</v>
      </c>
      <c r="C98" s="13" t="s">
        <v>56</v>
      </c>
      <c r="D98" s="58" t="s">
        <v>57</v>
      </c>
      <c r="E98" s="13" t="n">
        <v>4</v>
      </c>
      <c r="F98" s="13" t="n">
        <f aca="false">+E98*$F$84</f>
        <v>68</v>
      </c>
      <c r="G98" s="15" t="n">
        <v>4000</v>
      </c>
      <c r="H98" s="15" t="n">
        <f aca="false">+F98*G98</f>
        <v>272000</v>
      </c>
    </row>
    <row r="99" customFormat="false" ht="17.35" hidden="false" customHeight="false" outlineLevel="0" collapsed="false">
      <c r="B99" s="13" t="n">
        <v>2</v>
      </c>
      <c r="C99" s="13" t="s">
        <v>58</v>
      </c>
      <c r="D99" s="58" t="s">
        <v>57</v>
      </c>
      <c r="E99" s="13" t="n">
        <v>2</v>
      </c>
      <c r="F99" s="13" t="n">
        <f aca="false">+E99*$F$84</f>
        <v>34</v>
      </c>
      <c r="G99" s="15" t="n">
        <v>10000</v>
      </c>
      <c r="H99" s="15" t="n">
        <f aca="false">+F99*G99</f>
        <v>340000</v>
      </c>
    </row>
    <row r="100" customFormat="false" ht="17.35" hidden="false" customHeight="false" outlineLevel="0" collapsed="false">
      <c r="B100" s="13" t="n">
        <v>3</v>
      </c>
      <c r="C100" s="13" t="s">
        <v>59</v>
      </c>
      <c r="D100" s="58" t="s">
        <v>57</v>
      </c>
      <c r="E100" s="13" t="n">
        <v>12</v>
      </c>
      <c r="F100" s="13" t="n">
        <f aca="false">+E100*$F$84</f>
        <v>204</v>
      </c>
      <c r="G100" s="15" t="n">
        <v>3500</v>
      </c>
      <c r="H100" s="15" t="n">
        <f aca="false">+F100*G100</f>
        <v>714000</v>
      </c>
    </row>
    <row r="101" customFormat="false" ht="17.35" hidden="false" customHeight="false" outlineLevel="0" collapsed="false">
      <c r="B101" s="13" t="n">
        <v>4</v>
      </c>
      <c r="C101" s="13" t="s">
        <v>60</v>
      </c>
      <c r="D101" s="58" t="s">
        <v>57</v>
      </c>
      <c r="E101" s="13" t="n">
        <v>24</v>
      </c>
      <c r="F101" s="13" t="n">
        <f aca="false">+E101*$F$84</f>
        <v>408</v>
      </c>
      <c r="G101" s="15" t="n">
        <v>400</v>
      </c>
      <c r="H101" s="15" t="n">
        <f aca="false">+F101*G101</f>
        <v>163200</v>
      </c>
    </row>
    <row r="102" customFormat="false" ht="17.35" hidden="false" customHeight="false" outlineLevel="0" collapsed="false">
      <c r="B102" s="13" t="n">
        <v>5</v>
      </c>
      <c r="C102" s="13" t="s">
        <v>61</v>
      </c>
      <c r="D102" s="58" t="s">
        <v>62</v>
      </c>
      <c r="E102" s="13" t="s">
        <v>63</v>
      </c>
      <c r="F102" s="16" t="n">
        <f aca="false">+(G84*3+H84*8)/1000</f>
        <v>355.597</v>
      </c>
      <c r="G102" s="15" t="n">
        <v>335</v>
      </c>
      <c r="H102" s="15" t="n">
        <f aca="false">+F102*G102</f>
        <v>119124.995</v>
      </c>
    </row>
    <row r="103" customFormat="false" ht="29.85" hidden="false" customHeight="false" outlineLevel="0" collapsed="false">
      <c r="B103" s="46" t="n">
        <v>6</v>
      </c>
      <c r="C103" s="58" t="s">
        <v>64</v>
      </c>
      <c r="D103" s="58" t="s">
        <v>62</v>
      </c>
      <c r="E103" s="59" t="s">
        <v>138</v>
      </c>
      <c r="F103" s="60" t="n">
        <f aca="false">+(G84*6+H84*12)/1000</f>
        <v>593.286</v>
      </c>
      <c r="G103" s="61" t="n">
        <v>1000</v>
      </c>
      <c r="H103" s="48" t="n">
        <f aca="false">+F103*G103</f>
        <v>593286</v>
      </c>
    </row>
    <row r="104" customFormat="false" ht="17.35" hidden="false" customHeight="false" outlineLevel="0" collapsed="false">
      <c r="B104" s="13" t="n">
        <v>7</v>
      </c>
      <c r="C104" s="13" t="s">
        <v>66</v>
      </c>
      <c r="D104" s="58" t="s">
        <v>57</v>
      </c>
      <c r="E104" s="13" t="n">
        <v>12</v>
      </c>
      <c r="F104" s="13" t="n">
        <f aca="false">+E104*$F$84</f>
        <v>204</v>
      </c>
      <c r="G104" s="15" t="n">
        <v>50</v>
      </c>
      <c r="H104" s="15" t="n">
        <f aca="false">+F104*G104</f>
        <v>10200</v>
      </c>
    </row>
    <row r="105" customFormat="false" ht="17.35" hidden="false" customHeight="false" outlineLevel="0" collapsed="false">
      <c r="B105" s="13" t="n">
        <v>8</v>
      </c>
      <c r="C105" s="13" t="s">
        <v>67</v>
      </c>
      <c r="D105" s="58" t="s">
        <v>57</v>
      </c>
      <c r="E105" s="13" t="n">
        <v>12</v>
      </c>
      <c r="F105" s="13" t="n">
        <f aca="false">+E105*$F$84</f>
        <v>204</v>
      </c>
      <c r="G105" s="15" t="n">
        <v>40</v>
      </c>
      <c r="H105" s="15" t="n">
        <f aca="false">+F105*G105</f>
        <v>8160</v>
      </c>
    </row>
    <row r="106" customFormat="false" ht="17.35" hidden="false" customHeight="false" outlineLevel="0" collapsed="false">
      <c r="B106" s="13" t="n">
        <v>9</v>
      </c>
      <c r="C106" s="13" t="s">
        <v>68</v>
      </c>
      <c r="D106" s="58" t="s">
        <v>57</v>
      </c>
      <c r="E106" s="13" t="n">
        <v>2</v>
      </c>
      <c r="F106" s="13" t="n">
        <f aca="false">+E106*$F$84</f>
        <v>34</v>
      </c>
      <c r="G106" s="15" t="n">
        <v>16000</v>
      </c>
      <c r="H106" s="15" t="n">
        <f aca="false">+F106*G106</f>
        <v>544000</v>
      </c>
    </row>
    <row r="107" customFormat="false" ht="29.85" hidden="false" customHeight="false" outlineLevel="0" collapsed="false">
      <c r="B107" s="46" t="n">
        <v>10</v>
      </c>
      <c r="C107" s="46" t="s">
        <v>70</v>
      </c>
      <c r="D107" s="58" t="s">
        <v>14</v>
      </c>
      <c r="E107" s="47" t="s">
        <v>71</v>
      </c>
      <c r="F107" s="62" t="n">
        <f aca="false">O84</f>
        <v>69.354026</v>
      </c>
      <c r="G107" s="48" t="n">
        <v>55000</v>
      </c>
      <c r="H107" s="48" t="n">
        <f aca="false">+F107*G107</f>
        <v>3814471.43</v>
      </c>
    </row>
    <row r="108" customFormat="false" ht="17.35" hidden="false" customHeight="false" outlineLevel="0" collapsed="false">
      <c r="B108" s="13" t="n">
        <v>11</v>
      </c>
      <c r="C108" s="13" t="s">
        <v>47</v>
      </c>
      <c r="D108" s="58" t="s">
        <v>14</v>
      </c>
      <c r="E108" s="58" t="s">
        <v>139</v>
      </c>
      <c r="F108" s="16" t="n">
        <f aca="false">O84*50%</f>
        <v>34.677013</v>
      </c>
      <c r="G108" s="63" t="n">
        <v>3060</v>
      </c>
      <c r="H108" s="15" t="n">
        <f aca="false">+F108*G108</f>
        <v>106111.65978</v>
      </c>
    </row>
    <row r="109" customFormat="false" ht="29.85" hidden="false" customHeight="false" outlineLevel="0" collapsed="false">
      <c r="B109" s="46" t="n">
        <v>12</v>
      </c>
      <c r="C109" s="47" t="s">
        <v>140</v>
      </c>
      <c r="D109" s="58" t="s">
        <v>141</v>
      </c>
      <c r="E109" s="59"/>
      <c r="F109" s="60" t="n">
        <f aca="false">M84</f>
        <v>70</v>
      </c>
      <c r="G109" s="69" t="n">
        <v>35000</v>
      </c>
      <c r="H109" s="48" t="n">
        <f aca="false">+F109*G109</f>
        <v>2450000</v>
      </c>
    </row>
    <row r="110" customFormat="false" ht="17.35" hidden="false" customHeight="false" outlineLevel="0" collapsed="false">
      <c r="B110" s="46" t="n">
        <v>13</v>
      </c>
      <c r="C110" s="47" t="s">
        <v>142</v>
      </c>
      <c r="D110" s="58" t="s">
        <v>141</v>
      </c>
      <c r="E110" s="59" t="s">
        <v>143</v>
      </c>
      <c r="F110" s="60" t="n">
        <f aca="false">+H84/100*4</f>
        <v>1179.08</v>
      </c>
      <c r="G110" s="69" t="n">
        <v>1000</v>
      </c>
      <c r="H110" s="48" t="n">
        <f aca="false">+F110*G110</f>
        <v>1179080</v>
      </c>
      <c r="K110" s="3" t="n">
        <f aca="false">450000/6.94</f>
        <v>64841.4985590778</v>
      </c>
      <c r="L110" s="3" t="n">
        <f aca="false">+K110+(K110*20%)</f>
        <v>77809.7982708934</v>
      </c>
    </row>
    <row r="111" customFormat="false" ht="17.35" hidden="false" customHeight="false" outlineLevel="0" collapsed="false">
      <c r="B111" s="46" t="n">
        <v>14</v>
      </c>
      <c r="C111" s="47" t="s">
        <v>144</v>
      </c>
      <c r="D111" s="58" t="s">
        <v>145</v>
      </c>
      <c r="E111" s="59" t="s">
        <v>146</v>
      </c>
      <c r="F111" s="60" t="n">
        <f aca="false">+H84/100*2</f>
        <v>589.54</v>
      </c>
      <c r="G111" s="69" t="n">
        <v>100</v>
      </c>
      <c r="H111" s="48" t="n">
        <f aca="false">+F111*G111</f>
        <v>58954</v>
      </c>
    </row>
    <row r="112" customFormat="false" ht="17.35" hidden="false" customHeight="false" outlineLevel="0" collapsed="false">
      <c r="B112" s="46" t="n">
        <v>15</v>
      </c>
      <c r="C112" s="47" t="s">
        <v>147</v>
      </c>
      <c r="D112" s="58" t="s">
        <v>145</v>
      </c>
      <c r="E112" s="59" t="s">
        <v>148</v>
      </c>
      <c r="F112" s="60" t="n">
        <f aca="false">+H84/100</f>
        <v>294.77</v>
      </c>
      <c r="G112" s="69" t="n">
        <v>2000</v>
      </c>
      <c r="H112" s="48" t="n">
        <f aca="false">+F112*G112</f>
        <v>589540</v>
      </c>
    </row>
    <row r="113" customFormat="false" ht="29.85" hidden="false" customHeight="false" outlineLevel="0" collapsed="false">
      <c r="B113" s="46" t="n">
        <v>13</v>
      </c>
      <c r="C113" s="47" t="s">
        <v>149</v>
      </c>
      <c r="D113" s="58" t="s">
        <v>88</v>
      </c>
      <c r="E113" s="47" t="s">
        <v>89</v>
      </c>
      <c r="F113" s="62" t="n">
        <f aca="false">30*O84</f>
        <v>2080.62078</v>
      </c>
      <c r="G113" s="70" t="n">
        <f aca="false">0.015*3700</f>
        <v>55.5</v>
      </c>
      <c r="H113" s="71" t="n">
        <f aca="false">+F113*G113</f>
        <v>115474.45329</v>
      </c>
    </row>
    <row r="114" customFormat="false" ht="29.85" hidden="false" customHeight="false" outlineLevel="0" collapsed="false">
      <c r="B114" s="46" t="n">
        <v>14</v>
      </c>
      <c r="C114" s="47" t="s">
        <v>90</v>
      </c>
      <c r="D114" s="58" t="s">
        <v>62</v>
      </c>
      <c r="E114" s="47" t="s">
        <v>91</v>
      </c>
      <c r="F114" s="62" t="n">
        <f aca="false">+((H84*2)+(G84*2))/1000</f>
        <v>138.808</v>
      </c>
      <c r="G114" s="71" t="n">
        <f aca="false">0.33*3700</f>
        <v>1221</v>
      </c>
      <c r="H114" s="71" t="n">
        <f aca="false">+F114*G114</f>
        <v>169484.568</v>
      </c>
    </row>
    <row r="115" customFormat="false" ht="29.85" hidden="false" customHeight="false" outlineLevel="0" collapsed="false">
      <c r="B115" s="46" t="n">
        <v>15</v>
      </c>
      <c r="C115" s="47" t="s">
        <v>92</v>
      </c>
      <c r="D115" s="58" t="s">
        <v>57</v>
      </c>
      <c r="E115" s="58" t="n">
        <v>4</v>
      </c>
      <c r="F115" s="46" t="n">
        <f aca="false">+F84*E133</f>
        <v>68</v>
      </c>
      <c r="G115" s="69" t="n">
        <f aca="false">0.5*3700</f>
        <v>1850</v>
      </c>
      <c r="H115" s="71" t="n">
        <f aca="false">+F115*G115</f>
        <v>125800</v>
      </c>
    </row>
    <row r="116" customFormat="false" ht="19.7" hidden="false" customHeight="false" outlineLevel="0" collapsed="false">
      <c r="G116" s="64" t="s">
        <v>19</v>
      </c>
      <c r="H116" s="114" t="n">
        <f aca="false">SUM(H98:H115)</f>
        <v>11372887.10607</v>
      </c>
    </row>
    <row r="118" customFormat="false" ht="17.35" hidden="false" customHeight="false" outlineLevel="0" collapsed="false">
      <c r="B118" s="42" t="s">
        <v>73</v>
      </c>
      <c r="C118" s="42"/>
      <c r="D118" s="42"/>
      <c r="E118" s="42"/>
      <c r="F118" s="42"/>
      <c r="G118" s="42"/>
      <c r="H118" s="42"/>
    </row>
    <row r="119" customFormat="false" ht="17.35" hidden="false" customHeight="false" outlineLevel="0" collapsed="false">
      <c r="B119" s="9" t="s">
        <v>5</v>
      </c>
      <c r="C119" s="9" t="s">
        <v>22</v>
      </c>
      <c r="D119" s="9" t="s">
        <v>51</v>
      </c>
      <c r="E119" s="9" t="s">
        <v>74</v>
      </c>
      <c r="F119" s="9" t="s">
        <v>75</v>
      </c>
      <c r="G119" s="9" t="s">
        <v>54</v>
      </c>
      <c r="H119" s="9" t="s">
        <v>55</v>
      </c>
    </row>
    <row r="120" customFormat="false" ht="17.35" hidden="false" customHeight="false" outlineLevel="0" collapsed="false">
      <c r="B120" s="46" t="n">
        <v>1</v>
      </c>
      <c r="C120" s="46" t="s">
        <v>56</v>
      </c>
      <c r="D120" s="58" t="s">
        <v>57</v>
      </c>
      <c r="E120" s="46" t="n">
        <v>6</v>
      </c>
      <c r="F120" s="46" t="n">
        <f aca="false">+E120*$F$84</f>
        <v>102</v>
      </c>
      <c r="G120" s="48" t="n">
        <v>4000</v>
      </c>
      <c r="H120" s="48" t="n">
        <f aca="false">+F120*G120</f>
        <v>408000</v>
      </c>
    </row>
    <row r="121" customFormat="false" ht="17.35" hidden="false" customHeight="false" outlineLevel="0" collapsed="false">
      <c r="B121" s="46" t="n">
        <v>2</v>
      </c>
      <c r="C121" s="46" t="s">
        <v>58</v>
      </c>
      <c r="D121" s="58" t="s">
        <v>57</v>
      </c>
      <c r="E121" s="46" t="n">
        <v>3</v>
      </c>
      <c r="F121" s="46" t="n">
        <f aca="false">+E121*$F$84</f>
        <v>51</v>
      </c>
      <c r="G121" s="48" t="n">
        <v>10000</v>
      </c>
      <c r="H121" s="48" t="n">
        <f aca="false">+F121*G121</f>
        <v>510000</v>
      </c>
    </row>
    <row r="122" customFormat="false" ht="17.35" hidden="false" customHeight="false" outlineLevel="0" collapsed="false">
      <c r="B122" s="46" t="n">
        <v>4</v>
      </c>
      <c r="C122" s="46" t="s">
        <v>59</v>
      </c>
      <c r="D122" s="58" t="s">
        <v>57</v>
      </c>
      <c r="E122" s="46" t="n">
        <v>12</v>
      </c>
      <c r="F122" s="46" t="n">
        <f aca="false">+E122*$F$84</f>
        <v>204</v>
      </c>
      <c r="G122" s="48" t="n">
        <v>3500</v>
      </c>
      <c r="H122" s="48" t="n">
        <f aca="false">+F122*G122</f>
        <v>714000</v>
      </c>
    </row>
    <row r="123" customFormat="false" ht="17.35" hidden="false" customHeight="false" outlineLevel="0" collapsed="false">
      <c r="B123" s="46" t="n">
        <v>5</v>
      </c>
      <c r="C123" s="46" t="s">
        <v>60</v>
      </c>
      <c r="D123" s="58" t="s">
        <v>57</v>
      </c>
      <c r="E123" s="46" t="n">
        <v>24</v>
      </c>
      <c r="F123" s="46" t="n">
        <f aca="false">+E123*$F$84</f>
        <v>408</v>
      </c>
      <c r="G123" s="48" t="n">
        <v>400</v>
      </c>
      <c r="H123" s="48" t="n">
        <f aca="false">+F123*G123</f>
        <v>163200</v>
      </c>
    </row>
    <row r="124" customFormat="false" ht="17.35" hidden="false" customHeight="false" outlineLevel="0" collapsed="false">
      <c r="B124" s="46" t="n">
        <v>6</v>
      </c>
      <c r="C124" s="46" t="s">
        <v>61</v>
      </c>
      <c r="D124" s="58" t="s">
        <v>62</v>
      </c>
      <c r="E124" s="58" t="s">
        <v>63</v>
      </c>
      <c r="F124" s="60" t="n">
        <f aca="false">+(G84*3+H84*8)/1000</f>
        <v>355.597</v>
      </c>
      <c r="G124" s="48" t="n">
        <v>335</v>
      </c>
      <c r="H124" s="48" t="n">
        <f aca="false">+F124*G124</f>
        <v>119124.995</v>
      </c>
    </row>
    <row r="125" customFormat="false" ht="29.85" hidden="false" customHeight="false" outlineLevel="0" collapsed="false">
      <c r="B125" s="66" t="n">
        <v>7</v>
      </c>
      <c r="C125" s="58" t="s">
        <v>64</v>
      </c>
      <c r="D125" s="58" t="s">
        <v>62</v>
      </c>
      <c r="E125" s="59" t="s">
        <v>138</v>
      </c>
      <c r="F125" s="60" t="n">
        <f aca="false">+(G84*6+H84*12)/1000</f>
        <v>593.286</v>
      </c>
      <c r="G125" s="61" t="n">
        <v>1000</v>
      </c>
      <c r="H125" s="48" t="n">
        <f aca="false">+F125*G125</f>
        <v>593286</v>
      </c>
    </row>
    <row r="126" customFormat="false" ht="17.35" hidden="false" customHeight="false" outlineLevel="0" collapsed="false">
      <c r="B126" s="46" t="n">
        <v>8</v>
      </c>
      <c r="C126" s="46" t="s">
        <v>66</v>
      </c>
      <c r="D126" s="58" t="s">
        <v>57</v>
      </c>
      <c r="E126" s="46" t="n">
        <v>12</v>
      </c>
      <c r="F126" s="46" t="n">
        <f aca="false">+E126*$F$84</f>
        <v>204</v>
      </c>
      <c r="G126" s="48" t="n">
        <v>50</v>
      </c>
      <c r="H126" s="48" t="n">
        <f aca="false">+F126*G126</f>
        <v>10200</v>
      </c>
    </row>
    <row r="127" customFormat="false" ht="17.35" hidden="false" customHeight="false" outlineLevel="0" collapsed="false">
      <c r="B127" s="46" t="n">
        <v>9</v>
      </c>
      <c r="C127" s="46" t="s">
        <v>67</v>
      </c>
      <c r="D127" s="58" t="s">
        <v>57</v>
      </c>
      <c r="E127" s="46" t="n">
        <v>12</v>
      </c>
      <c r="F127" s="46" t="n">
        <f aca="false">+E127*$F$84</f>
        <v>204</v>
      </c>
      <c r="G127" s="48" t="n">
        <v>40</v>
      </c>
      <c r="H127" s="48" t="n">
        <f aca="false">+F127*G127</f>
        <v>8160</v>
      </c>
    </row>
    <row r="128" customFormat="false" ht="17.35" hidden="false" customHeight="false" outlineLevel="0" collapsed="false">
      <c r="B128" s="46" t="n">
        <v>10</v>
      </c>
      <c r="C128" s="46" t="s">
        <v>68</v>
      </c>
      <c r="D128" s="58" t="s">
        <v>57</v>
      </c>
      <c r="E128" s="46" t="n">
        <v>2</v>
      </c>
      <c r="F128" s="46" t="n">
        <f aca="false">+E128*$F$84</f>
        <v>34</v>
      </c>
      <c r="G128" s="48" t="n">
        <v>16000</v>
      </c>
      <c r="H128" s="48" t="n">
        <f aca="false">+F128*G128</f>
        <v>544000</v>
      </c>
    </row>
    <row r="129" customFormat="false" ht="17.35" hidden="false" customHeight="false" outlineLevel="0" collapsed="false">
      <c r="B129" s="46" t="n">
        <v>11</v>
      </c>
      <c r="C129" s="46" t="s">
        <v>70</v>
      </c>
      <c r="D129" s="58" t="s">
        <v>14</v>
      </c>
      <c r="E129" s="47" t="s">
        <v>150</v>
      </c>
      <c r="F129" s="62" t="n">
        <f aca="false">O84</f>
        <v>69.354026</v>
      </c>
      <c r="G129" s="48" t="n">
        <v>55000</v>
      </c>
      <c r="H129" s="48" t="n">
        <f aca="false">+F129*G129</f>
        <v>3814471.43</v>
      </c>
    </row>
    <row r="130" customFormat="false" ht="17.35" hidden="false" customHeight="false" outlineLevel="0" collapsed="false">
      <c r="B130" s="46" t="n">
        <v>12</v>
      </c>
      <c r="C130" s="46" t="s">
        <v>47</v>
      </c>
      <c r="D130" s="58" t="s">
        <v>14</v>
      </c>
      <c r="E130" s="58" t="s">
        <v>139</v>
      </c>
      <c r="F130" s="46" t="n">
        <f aca="false">+O84*50%</f>
        <v>34.677013</v>
      </c>
      <c r="G130" s="69" t="n">
        <v>3060</v>
      </c>
      <c r="H130" s="48" t="n">
        <f aca="false">+F130*G130</f>
        <v>106111.65978</v>
      </c>
    </row>
    <row r="131" customFormat="false" ht="29.85" hidden="false" customHeight="false" outlineLevel="0" collapsed="false">
      <c r="B131" s="46" t="n">
        <v>13</v>
      </c>
      <c r="C131" s="47" t="s">
        <v>149</v>
      </c>
      <c r="D131" s="58" t="s">
        <v>88</v>
      </c>
      <c r="E131" s="47" t="s">
        <v>89</v>
      </c>
      <c r="F131" s="62" t="n">
        <f aca="false">30*O84</f>
        <v>2080.62078</v>
      </c>
      <c r="G131" s="70" t="n">
        <f aca="false">0.015*3700</f>
        <v>55.5</v>
      </c>
      <c r="H131" s="71" t="n">
        <v>0</v>
      </c>
    </row>
    <row r="132" customFormat="false" ht="29.85" hidden="false" customHeight="false" outlineLevel="0" collapsed="false">
      <c r="B132" s="46" t="n">
        <v>14</v>
      </c>
      <c r="C132" s="47" t="s">
        <v>90</v>
      </c>
      <c r="D132" s="58" t="s">
        <v>62</v>
      </c>
      <c r="E132" s="47" t="s">
        <v>91</v>
      </c>
      <c r="F132" s="62" t="n">
        <f aca="false">+((H84*2)+(G84*2))/1000</f>
        <v>138.808</v>
      </c>
      <c r="G132" s="71" t="n">
        <f aca="false">0.33*3700</f>
        <v>1221</v>
      </c>
      <c r="H132" s="71" t="n">
        <v>0</v>
      </c>
    </row>
    <row r="133" customFormat="false" ht="29.85" hidden="false" customHeight="false" outlineLevel="0" collapsed="false">
      <c r="B133" s="46" t="n">
        <v>15</v>
      </c>
      <c r="C133" s="47" t="s">
        <v>92</v>
      </c>
      <c r="D133" s="58" t="s">
        <v>57</v>
      </c>
      <c r="E133" s="58" t="n">
        <v>4</v>
      </c>
      <c r="F133" s="46" t="n">
        <f aca="false">+F84*E133</f>
        <v>68</v>
      </c>
      <c r="G133" s="69" t="n">
        <f aca="false">0.5*3700</f>
        <v>1850</v>
      </c>
      <c r="H133" s="48" t="n">
        <v>0</v>
      </c>
    </row>
    <row r="134" customFormat="false" ht="19.7" hidden="false" customHeight="false" outlineLevel="0" collapsed="false">
      <c r="B134" s="72"/>
      <c r="C134" s="72"/>
      <c r="D134" s="72"/>
      <c r="E134" s="72"/>
      <c r="F134" s="72"/>
      <c r="G134" s="73" t="s">
        <v>19</v>
      </c>
      <c r="H134" s="115" t="n">
        <f aca="false">SUM(H120:H133)</f>
        <v>6990554.08478</v>
      </c>
    </row>
    <row r="136" customFormat="false" ht="24.45" hidden="false" customHeight="false" outlineLevel="0" collapsed="false">
      <c r="B136" s="75" t="s">
        <v>93</v>
      </c>
      <c r="C136" s="75"/>
      <c r="D136" s="75"/>
      <c r="E136" s="76"/>
      <c r="F136" s="75" t="s">
        <v>94</v>
      </c>
      <c r="G136" s="75"/>
      <c r="H136" s="75"/>
      <c r="I136" s="68"/>
    </row>
    <row r="137" customFormat="false" ht="37.3" hidden="false" customHeight="false" outlineLevel="0" collapsed="false">
      <c r="B137" s="77" t="s">
        <v>95</v>
      </c>
      <c r="C137" s="77" t="s">
        <v>96</v>
      </c>
      <c r="D137" s="77" t="s">
        <v>97</v>
      </c>
      <c r="F137" s="77" t="s">
        <v>95</v>
      </c>
      <c r="G137" s="77" t="s">
        <v>96</v>
      </c>
      <c r="H137" s="77" t="s">
        <v>97</v>
      </c>
    </row>
    <row r="138" customFormat="false" ht="22.05" hidden="false" customHeight="false" outlineLevel="0" collapsed="false">
      <c r="B138" s="78" t="n">
        <v>1</v>
      </c>
      <c r="C138" s="79" t="s">
        <v>98</v>
      </c>
      <c r="D138" s="80" t="n">
        <f aca="false">+J94*4</f>
        <v>2630.88</v>
      </c>
      <c r="F138" s="78" t="n">
        <v>1</v>
      </c>
      <c r="G138" s="79" t="s">
        <v>98</v>
      </c>
      <c r="H138" s="80" t="n">
        <f aca="false">+J94*4</f>
        <v>2630.88</v>
      </c>
    </row>
    <row r="139" customFormat="false" ht="22.05" hidden="false" customHeight="false" outlineLevel="0" collapsed="false">
      <c r="B139" s="78" t="n">
        <v>2</v>
      </c>
      <c r="C139" s="79" t="s">
        <v>99</v>
      </c>
      <c r="D139" s="80" t="n">
        <f aca="false">+H116/3650</f>
        <v>3115.85948111507</v>
      </c>
      <c r="F139" s="78" t="n">
        <v>2</v>
      </c>
      <c r="G139" s="79" t="s">
        <v>99</v>
      </c>
      <c r="H139" s="80" t="n">
        <f aca="false">+H134/3650</f>
        <v>1915.2202972</v>
      </c>
    </row>
    <row r="140" customFormat="false" ht="22.05" hidden="false" customHeight="false" outlineLevel="0" collapsed="false">
      <c r="B140" s="78" t="n">
        <v>3</v>
      </c>
      <c r="C140" s="79" t="s">
        <v>100</v>
      </c>
      <c r="D140" s="80" t="n">
        <f aca="false">+O84*15</f>
        <v>1040.31039</v>
      </c>
      <c r="F140" s="78" t="n">
        <v>3</v>
      </c>
      <c r="G140" s="79" t="s">
        <v>100</v>
      </c>
      <c r="H140" s="80" t="n">
        <f aca="false">+O84*15</f>
        <v>1040.31039</v>
      </c>
    </row>
    <row r="141" customFormat="false" ht="22.05" hidden="false" customHeight="false" outlineLevel="0" collapsed="false">
      <c r="B141" s="78" t="n">
        <v>4</v>
      </c>
      <c r="C141" s="79" t="s">
        <v>101</v>
      </c>
      <c r="D141" s="80" t="n">
        <v>0</v>
      </c>
      <c r="F141" s="78" t="n">
        <v>4</v>
      </c>
      <c r="G141" s="79" t="s">
        <v>101</v>
      </c>
      <c r="H141" s="80" t="n">
        <v>0</v>
      </c>
    </row>
    <row r="142" customFormat="false" ht="22.05" hidden="false" customHeight="false" outlineLevel="0" collapsed="false">
      <c r="C142" s="81" t="s">
        <v>19</v>
      </c>
      <c r="D142" s="80" t="n">
        <f aca="false">SUM(D138:D141)</f>
        <v>6787.04987111507</v>
      </c>
      <c r="G142" s="81" t="s">
        <v>19</v>
      </c>
      <c r="H142" s="80" t="n">
        <f aca="false">SUM(H138:H141)</f>
        <v>5586.4106872</v>
      </c>
      <c r="I142" s="6"/>
      <c r="J142" s="6"/>
    </row>
    <row r="143" customFormat="false" ht="22.05" hidden="false" customHeight="false" outlineLevel="0" collapsed="false">
      <c r="C143" s="81" t="s">
        <v>102</v>
      </c>
      <c r="D143" s="82" t="n">
        <f aca="false">+D142*30%</f>
        <v>2036.11496133452</v>
      </c>
      <c r="G143" s="81" t="s">
        <v>102</v>
      </c>
      <c r="H143" s="82" t="n">
        <f aca="false">+H142*30%</f>
        <v>1675.92320616</v>
      </c>
      <c r="I143" s="6"/>
      <c r="J143" s="6"/>
    </row>
    <row r="144" customFormat="false" ht="22.05" hidden="false" customHeight="false" outlineLevel="0" collapsed="false">
      <c r="C144" s="83" t="s">
        <v>103</v>
      </c>
      <c r="D144" s="84" t="n">
        <f aca="false">+D142+D143</f>
        <v>8823.16483244959</v>
      </c>
      <c r="G144" s="83" t="s">
        <v>103</v>
      </c>
      <c r="H144" s="84" t="n">
        <f aca="false">+H142+H143</f>
        <v>7262.33389336</v>
      </c>
    </row>
    <row r="145" customFormat="false" ht="22.05" hidden="false" customHeight="false" outlineLevel="0" collapsed="false">
      <c r="C145" s="87" t="s">
        <v>104</v>
      </c>
      <c r="D145" s="88" t="n">
        <f aca="false">+D142/O84</f>
        <v>97.8609355874318</v>
      </c>
      <c r="G145" s="87" t="s">
        <v>104</v>
      </c>
      <c r="H145" s="88" t="n">
        <f aca="false">+H142/O84</f>
        <v>80.5491910044271</v>
      </c>
    </row>
    <row r="146" customFormat="false" ht="37.3" hidden="false" customHeight="false" outlineLevel="0" collapsed="false">
      <c r="C146" s="89" t="s">
        <v>105</v>
      </c>
      <c r="D146" s="90" t="n">
        <f aca="false">+D144/O84</f>
        <v>127.219216263661</v>
      </c>
      <c r="G146" s="89" t="s">
        <v>105</v>
      </c>
      <c r="H146" s="90" t="n">
        <f aca="false">+H144/O84</f>
        <v>104.713948305755</v>
      </c>
    </row>
  </sheetData>
  <mergeCells count="52">
    <mergeCell ref="P2:T3"/>
    <mergeCell ref="Z2:AD3"/>
    <mergeCell ref="B3:J3"/>
    <mergeCell ref="S4:T4"/>
    <mergeCell ref="AC4:AD4"/>
    <mergeCell ref="S5:T5"/>
    <mergeCell ref="AC5:AD5"/>
    <mergeCell ref="S6:T6"/>
    <mergeCell ref="AC6:AD6"/>
    <mergeCell ref="S7:T7"/>
    <mergeCell ref="AC7:AD7"/>
    <mergeCell ref="S8:T8"/>
    <mergeCell ref="AC8:AD8"/>
    <mergeCell ref="S9:T9"/>
    <mergeCell ref="AC9:AD9"/>
    <mergeCell ref="S10:T10"/>
    <mergeCell ref="AC10:AD10"/>
    <mergeCell ref="S11:T11"/>
    <mergeCell ref="AC11:AD11"/>
    <mergeCell ref="S12:T12"/>
    <mergeCell ref="AC12:AD12"/>
    <mergeCell ref="S13:T13"/>
    <mergeCell ref="AC13:AD13"/>
    <mergeCell ref="S14:T14"/>
    <mergeCell ref="AC14:AD14"/>
    <mergeCell ref="S15:T15"/>
    <mergeCell ref="AC15:AD15"/>
    <mergeCell ref="S16:T16"/>
    <mergeCell ref="AC16:AD16"/>
    <mergeCell ref="S17:T17"/>
    <mergeCell ref="AC17:AD17"/>
    <mergeCell ref="S18:T18"/>
    <mergeCell ref="AC18:AD18"/>
    <mergeCell ref="S19:T19"/>
    <mergeCell ref="AC19:AD19"/>
    <mergeCell ref="S20:T20"/>
    <mergeCell ref="AC20:AD20"/>
    <mergeCell ref="S21:T21"/>
    <mergeCell ref="AC21:AD21"/>
    <mergeCell ref="S22:T22"/>
    <mergeCell ref="AC22:AD22"/>
    <mergeCell ref="S23:T23"/>
    <mergeCell ref="AC23:AD23"/>
    <mergeCell ref="S24:T24"/>
    <mergeCell ref="AC24:AD24"/>
    <mergeCell ref="U34:V34"/>
    <mergeCell ref="B84:C84"/>
    <mergeCell ref="B86:J86"/>
    <mergeCell ref="B96:H96"/>
    <mergeCell ref="B118:H118"/>
    <mergeCell ref="B136:D136"/>
    <mergeCell ref="F136:H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K13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10.8203125" defaultRowHeight="17.35" zeroHeight="false" outlineLevelRow="0" outlineLevelCol="0"/>
  <cols>
    <col collapsed="false" customWidth="true" hidden="false" outlineLevel="0" max="1" min="1" style="3" width="18"/>
    <col collapsed="false" customWidth="true" hidden="false" outlineLevel="0" max="2" min="2" style="3" width="7.84"/>
    <col collapsed="false" customWidth="true" hidden="false" outlineLevel="0" max="3" min="3" style="3" width="22"/>
    <col collapsed="false" customWidth="true" hidden="false" outlineLevel="0" max="4" min="4" style="3" width="20.17"/>
    <col collapsed="false" customWidth="true" hidden="false" outlineLevel="0" max="5" min="5" style="3" width="22.67"/>
    <col collapsed="false" customWidth="true" hidden="false" outlineLevel="0" max="6" min="6" style="3" width="16.84"/>
    <col collapsed="false" customWidth="true" hidden="false" outlineLevel="0" max="7" min="7" style="3" width="22.33"/>
    <col collapsed="false" customWidth="true" hidden="false" outlineLevel="0" max="8" min="8" style="3" width="17.5"/>
    <col collapsed="false" customWidth="true" hidden="false" outlineLevel="0" max="9" min="9" style="3" width="15.16"/>
    <col collapsed="false" customWidth="true" hidden="false" outlineLevel="0" max="10" min="10" style="3" width="13.5"/>
    <col collapsed="false" customWidth="true" hidden="false" outlineLevel="0" max="13" min="11" style="3" width="15.16"/>
    <col collapsed="false" customWidth="true" hidden="false" outlineLevel="0" max="14" min="14" style="3" width="15.33"/>
    <col collapsed="false" customWidth="true" hidden="false" outlineLevel="0" max="15" min="15" style="3" width="13.67"/>
    <col collapsed="false" customWidth="true" hidden="false" outlineLevel="0" max="17" min="16" style="3" width="11"/>
    <col collapsed="false" customWidth="true" hidden="false" outlineLevel="0" max="18" min="18" style="3" width="14.82"/>
    <col collapsed="false" customWidth="true" hidden="false" outlineLevel="0" max="19" min="19" style="3" width="11"/>
    <col collapsed="false" customWidth="true" hidden="false" outlineLevel="0" max="20" min="20" style="3" width="12"/>
    <col collapsed="false" customWidth="true" hidden="false" outlineLevel="0" max="22" min="21" style="3" width="11"/>
    <col collapsed="false" customWidth="true" hidden="false" outlineLevel="0" max="23" min="23" style="3" width="17.33"/>
    <col collapsed="false" customWidth="true" hidden="false" outlineLevel="0" max="26" min="24" style="3" width="11"/>
    <col collapsed="false" customWidth="true" hidden="false" outlineLevel="0" max="27" min="27" style="3" width="13.67"/>
    <col collapsed="false" customWidth="true" hidden="false" outlineLevel="0" max="28" min="28" style="3" width="20.83"/>
    <col collapsed="false" customWidth="true" hidden="false" outlineLevel="0" max="33" min="29" style="3" width="11"/>
    <col collapsed="false" customWidth="false" hidden="false" outlineLevel="0" max="1024" min="34" style="3" width="10.83"/>
  </cols>
  <sheetData>
    <row r="2" customFormat="false" ht="16" hidden="false" customHeight="true" outlineLevel="0" collapsed="false">
      <c r="B2" s="4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94" t="s">
        <v>106</v>
      </c>
      <c r="Q2" s="94"/>
      <c r="R2" s="94"/>
      <c r="S2" s="94"/>
      <c r="T2" s="94"/>
      <c r="U2" s="6"/>
      <c r="Y2" s="5"/>
      <c r="Z2" s="94" t="s">
        <v>107</v>
      </c>
      <c r="AA2" s="94"/>
      <c r="AB2" s="94"/>
      <c r="AC2" s="94"/>
      <c r="AD2" s="94"/>
      <c r="AE2" s="6"/>
    </row>
    <row r="3" customFormat="false" ht="31" hidden="false" customHeight="true" outlineLevel="0" collapsed="false"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5"/>
      <c r="P3" s="94"/>
      <c r="Q3" s="94"/>
      <c r="R3" s="94"/>
      <c r="S3" s="94"/>
      <c r="T3" s="94"/>
      <c r="U3" s="6"/>
      <c r="Y3" s="5"/>
      <c r="Z3" s="94"/>
      <c r="AA3" s="94"/>
      <c r="AB3" s="94"/>
      <c r="AC3" s="94"/>
      <c r="AD3" s="94"/>
      <c r="AE3" s="6"/>
    </row>
    <row r="4" s="8" customFormat="true" ht="29.85" hidden="false" customHeight="false" outlineLevel="0" collapsed="false">
      <c r="B4" s="9" t="s">
        <v>5</v>
      </c>
      <c r="C4" s="9" t="s">
        <v>6</v>
      </c>
      <c r="D4" s="9" t="s">
        <v>114</v>
      </c>
      <c r="E4" s="10" t="s">
        <v>8</v>
      </c>
      <c r="F4" s="10" t="s">
        <v>9</v>
      </c>
      <c r="G4" s="9" t="s">
        <v>10</v>
      </c>
      <c r="H4" s="9" t="s">
        <v>23</v>
      </c>
      <c r="I4" s="10" t="s">
        <v>12</v>
      </c>
      <c r="J4" s="9" t="s">
        <v>13</v>
      </c>
      <c r="K4" s="9" t="s">
        <v>14</v>
      </c>
      <c r="L4" s="10" t="s">
        <v>15</v>
      </c>
      <c r="M4" s="9" t="s">
        <v>111</v>
      </c>
      <c r="N4" s="10" t="s">
        <v>17</v>
      </c>
      <c r="Q4" s="95" t="s">
        <v>112</v>
      </c>
      <c r="R4" s="95" t="s">
        <v>113</v>
      </c>
      <c r="S4" s="95"/>
      <c r="T4" s="95" t="s">
        <v>114</v>
      </c>
      <c r="U4" s="95" t="s">
        <v>115</v>
      </c>
      <c r="V4" s="95" t="s">
        <v>109</v>
      </c>
      <c r="W4" s="95" t="s">
        <v>116</v>
      </c>
      <c r="AA4" s="95" t="s">
        <v>112</v>
      </c>
      <c r="AB4" s="95" t="s">
        <v>113</v>
      </c>
      <c r="AC4" s="95"/>
      <c r="AD4" s="95" t="s">
        <v>114</v>
      </c>
      <c r="AE4" s="95" t="s">
        <v>115</v>
      </c>
      <c r="AF4" s="95" t="s">
        <v>109</v>
      </c>
      <c r="AG4" s="95" t="s">
        <v>116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4100</v>
      </c>
      <c r="E5" s="15" t="n">
        <f aca="false">F5-300</f>
        <v>2100</v>
      </c>
      <c r="F5" s="15" t="n">
        <v>2400</v>
      </c>
      <c r="G5" s="13" t="n">
        <v>9</v>
      </c>
      <c r="H5" s="13" t="n">
        <f aca="false">+D5*G5</f>
        <v>36900</v>
      </c>
      <c r="I5" s="15" t="n">
        <f aca="false">+F5*G5</f>
        <v>21600</v>
      </c>
      <c r="J5" s="13" t="n">
        <f aca="false">+E5*G5</f>
        <v>18900</v>
      </c>
      <c r="K5" s="16" t="n">
        <f aca="false">+D5*E5/1000000</f>
        <v>8.61</v>
      </c>
      <c r="L5" s="16" t="n">
        <f aca="false">+D5*F5/1000000</f>
        <v>9.84</v>
      </c>
      <c r="M5" s="16" t="n">
        <f aca="false">+G5*K5</f>
        <v>77.49</v>
      </c>
      <c r="N5" s="17" t="n">
        <f aca="false">+G5*L5</f>
        <v>88.56</v>
      </c>
      <c r="Q5" s="97" t="n">
        <v>1</v>
      </c>
      <c r="R5" s="98" t="s">
        <v>18</v>
      </c>
      <c r="S5" s="98"/>
      <c r="T5" s="97" t="n">
        <v>1500</v>
      </c>
      <c r="U5" s="97" t="n">
        <f aca="false">V5-300</f>
        <v>1200</v>
      </c>
      <c r="V5" s="97" t="n">
        <v>1500</v>
      </c>
      <c r="W5" s="97" t="n">
        <f aca="false">V5*T5/1000000</f>
        <v>2.25</v>
      </c>
      <c r="AA5" s="97" t="n">
        <v>1</v>
      </c>
      <c r="AB5" s="98" t="s">
        <v>18</v>
      </c>
      <c r="AC5" s="98"/>
      <c r="AD5" s="97" t="n">
        <v>1500</v>
      </c>
      <c r="AE5" s="97" t="n">
        <f aca="false">AF5-300</f>
        <v>1200</v>
      </c>
      <c r="AF5" s="97" t="n">
        <v>1500</v>
      </c>
      <c r="AG5" s="97" t="n">
        <f aca="false">AF5*AD5/1000000</f>
        <v>2.25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9" t="n">
        <v>3300</v>
      </c>
      <c r="E6" s="19" t="n">
        <f aca="false">F6-300</f>
        <v>2400</v>
      </c>
      <c r="F6" s="19" t="n">
        <v>2700</v>
      </c>
      <c r="G6" s="13" t="n">
        <v>2</v>
      </c>
      <c r="H6" s="19" t="n">
        <f aca="false">+D6*G6</f>
        <v>6600</v>
      </c>
      <c r="I6" s="19" t="n">
        <f aca="false">+F6*G6</f>
        <v>5400</v>
      </c>
      <c r="J6" s="19" t="n">
        <f aca="false">+E6*G6</f>
        <v>4800</v>
      </c>
      <c r="K6" s="16" t="n">
        <f aca="false">+D6*E6/1000000</f>
        <v>7.92</v>
      </c>
      <c r="L6" s="16" t="n">
        <f aca="false">+D6*F6/1000000</f>
        <v>8.91</v>
      </c>
      <c r="M6" s="16" t="n">
        <f aca="false">+G6*K6</f>
        <v>15.84</v>
      </c>
      <c r="N6" s="17" t="n">
        <f aca="false">+G6*L6</f>
        <v>17.82</v>
      </c>
      <c r="Q6" s="97" t="n">
        <v>2</v>
      </c>
      <c r="R6" s="98" t="s">
        <v>18</v>
      </c>
      <c r="S6" s="98"/>
      <c r="T6" s="97" t="n">
        <v>1200</v>
      </c>
      <c r="U6" s="97" t="n">
        <f aca="false">V6-300</f>
        <v>1200</v>
      </c>
      <c r="V6" s="97" t="n">
        <v>1500</v>
      </c>
      <c r="W6" s="97" t="n">
        <f aca="false">V6*T6/1000000</f>
        <v>1.8</v>
      </c>
      <c r="AA6" s="97" t="n">
        <v>2</v>
      </c>
      <c r="AB6" s="98" t="s">
        <v>18</v>
      </c>
      <c r="AC6" s="98"/>
      <c r="AD6" s="97" t="n">
        <v>1200</v>
      </c>
      <c r="AE6" s="97" t="n">
        <f aca="false">AF6-300</f>
        <v>1200</v>
      </c>
      <c r="AF6" s="97" t="n">
        <v>1500</v>
      </c>
      <c r="AG6" s="97" t="n">
        <f aca="false">AF6*AD6/1000000</f>
        <v>1.8</v>
      </c>
    </row>
    <row r="7" customFormat="false" ht="17.35" hidden="false" customHeight="false" outlineLevel="0" collapsed="false">
      <c r="B7" s="20" t="n">
        <v>3</v>
      </c>
      <c r="C7" s="14" t="s">
        <v>18</v>
      </c>
      <c r="D7" s="19" t="n">
        <v>3300</v>
      </c>
      <c r="E7" s="19" t="n">
        <f aca="false">F7-300</f>
        <v>2100</v>
      </c>
      <c r="F7" s="19" t="n">
        <v>2400</v>
      </c>
      <c r="G7" s="13" t="n">
        <v>2</v>
      </c>
      <c r="H7" s="19" t="n">
        <f aca="false">+D7*G7</f>
        <v>6600</v>
      </c>
      <c r="I7" s="19" t="n">
        <f aca="false">+F7*G7</f>
        <v>4800</v>
      </c>
      <c r="J7" s="19" t="n">
        <f aca="false">+E7*G7</f>
        <v>4200</v>
      </c>
      <c r="K7" s="16" t="n">
        <f aca="false">+D7*E7/1000000</f>
        <v>6.93</v>
      </c>
      <c r="L7" s="16" t="n">
        <f aca="false">+D7*F7/1000000</f>
        <v>7.92</v>
      </c>
      <c r="M7" s="16" t="n">
        <f aca="false">+G7*K7</f>
        <v>13.86</v>
      </c>
      <c r="N7" s="17" t="n">
        <f aca="false">+G7*L7</f>
        <v>15.84</v>
      </c>
      <c r="Q7" s="97" t="n">
        <v>3</v>
      </c>
      <c r="R7" s="98" t="s">
        <v>18</v>
      </c>
      <c r="S7" s="98"/>
      <c r="T7" s="97" t="n">
        <v>1800</v>
      </c>
      <c r="U7" s="97" t="n">
        <f aca="false">V7-300</f>
        <v>1200</v>
      </c>
      <c r="V7" s="97" t="n">
        <v>1500</v>
      </c>
      <c r="W7" s="97" t="n">
        <f aca="false">V7*T7/1000000</f>
        <v>2.7</v>
      </c>
      <c r="AA7" s="97" t="n">
        <v>3</v>
      </c>
      <c r="AB7" s="98" t="s">
        <v>18</v>
      </c>
      <c r="AC7" s="98"/>
      <c r="AD7" s="97" t="n">
        <v>1800</v>
      </c>
      <c r="AE7" s="97" t="n">
        <f aca="false">AF7-300</f>
        <v>1200</v>
      </c>
      <c r="AF7" s="97" t="n">
        <v>1500</v>
      </c>
      <c r="AG7" s="97" t="n">
        <f aca="false">AF7*AD7/1000000</f>
        <v>2.7</v>
      </c>
    </row>
    <row r="8" customFormat="false" ht="17.35" hidden="false" customHeight="false" outlineLevel="0" collapsed="false">
      <c r="B8" s="20" t="n">
        <f aca="false">+B7+1</f>
        <v>4</v>
      </c>
      <c r="C8" s="14" t="s">
        <v>18</v>
      </c>
      <c r="D8" s="19" t="n">
        <v>1500</v>
      </c>
      <c r="E8" s="19" t="n">
        <f aca="false">F8-300</f>
        <v>2400</v>
      </c>
      <c r="F8" s="19" t="n">
        <v>2700</v>
      </c>
      <c r="G8" s="13" t="n">
        <v>2</v>
      </c>
      <c r="H8" s="19" t="n">
        <f aca="false">+D8*G8</f>
        <v>3000</v>
      </c>
      <c r="I8" s="19" t="n">
        <f aca="false">+F8*G8</f>
        <v>5400</v>
      </c>
      <c r="J8" s="19" t="n">
        <f aca="false">+E8*G8</f>
        <v>4800</v>
      </c>
      <c r="K8" s="16" t="n">
        <f aca="false">+D8*E8/1000000</f>
        <v>3.6</v>
      </c>
      <c r="L8" s="16" t="n">
        <f aca="false">+D8*F8/1000000</f>
        <v>4.05</v>
      </c>
      <c r="M8" s="16" t="n">
        <f aca="false">+G8*K8</f>
        <v>7.2</v>
      </c>
      <c r="N8" s="17" t="n">
        <f aca="false">+G8*L8</f>
        <v>8.1</v>
      </c>
      <c r="Q8" s="97" t="n">
        <v>4</v>
      </c>
      <c r="R8" s="98" t="s">
        <v>18</v>
      </c>
      <c r="S8" s="98"/>
      <c r="T8" s="97" t="n">
        <v>1600</v>
      </c>
      <c r="U8" s="97" t="n">
        <f aca="false">V8-300</f>
        <v>1200</v>
      </c>
      <c r="V8" s="97" t="n">
        <v>1500</v>
      </c>
      <c r="W8" s="97" t="n">
        <f aca="false">V8*T8/1000000</f>
        <v>2.4</v>
      </c>
      <c r="AA8" s="97" t="n">
        <v>4</v>
      </c>
      <c r="AB8" s="98" t="s">
        <v>18</v>
      </c>
      <c r="AC8" s="98"/>
      <c r="AD8" s="97" t="n">
        <v>1600</v>
      </c>
      <c r="AE8" s="97" t="n">
        <f aca="false">AF8-300</f>
        <v>1200</v>
      </c>
      <c r="AF8" s="97" t="n">
        <v>1500</v>
      </c>
      <c r="AG8" s="97" t="n">
        <f aca="false">AF8*AD8/1000000</f>
        <v>2.4</v>
      </c>
    </row>
    <row r="9" customFormat="false" ht="17.35" hidden="false" customHeight="false" outlineLevel="0" collapsed="false">
      <c r="B9" s="13" t="n">
        <v>5</v>
      </c>
      <c r="C9" s="14" t="s">
        <v>18</v>
      </c>
      <c r="D9" s="15"/>
      <c r="E9" s="15"/>
      <c r="F9" s="15"/>
      <c r="G9" s="13" t="n">
        <v>0</v>
      </c>
      <c r="H9" s="13" t="n">
        <f aca="false">+D9*G9</f>
        <v>0</v>
      </c>
      <c r="I9" s="15" t="n">
        <f aca="false">+F9*G9</f>
        <v>0</v>
      </c>
      <c r="J9" s="13" t="n">
        <f aca="false">+E9*G9</f>
        <v>0</v>
      </c>
      <c r="K9" s="16" t="n">
        <f aca="false">+D9*E9/1000000</f>
        <v>0</v>
      </c>
      <c r="L9" s="16" t="n">
        <f aca="false">+D9*F9/1000000</f>
        <v>0</v>
      </c>
      <c r="M9" s="16" t="n">
        <f aca="false">G9*K9</f>
        <v>0</v>
      </c>
      <c r="N9" s="17" t="n">
        <f aca="false">+G9*L9</f>
        <v>0</v>
      </c>
      <c r="Q9" s="97" t="n">
        <v>5</v>
      </c>
      <c r="R9" s="98" t="s">
        <v>18</v>
      </c>
      <c r="S9" s="98"/>
      <c r="T9" s="97" t="n">
        <v>1500</v>
      </c>
      <c r="U9" s="97" t="n">
        <f aca="false">V9-300</f>
        <v>1200</v>
      </c>
      <c r="V9" s="97" t="n">
        <v>1500</v>
      </c>
      <c r="W9" s="97" t="n">
        <f aca="false">V9*T9/1000000</f>
        <v>2.25</v>
      </c>
      <c r="AA9" s="97" t="n">
        <v>5</v>
      </c>
      <c r="AB9" s="98" t="s">
        <v>18</v>
      </c>
      <c r="AC9" s="98"/>
      <c r="AD9" s="97" t="n">
        <v>1500</v>
      </c>
      <c r="AE9" s="97" t="n">
        <f aca="false">AF9-300</f>
        <v>1200</v>
      </c>
      <c r="AF9" s="97" t="n">
        <v>1500</v>
      </c>
      <c r="AG9" s="97" t="n">
        <f aca="false">AF9*AD9/1000000</f>
        <v>2.25</v>
      </c>
    </row>
    <row r="10" customFormat="false" ht="17.35" hidden="false" customHeight="false" outlineLevel="0" collapsed="false">
      <c r="B10" s="13" t="n">
        <v>6</v>
      </c>
      <c r="C10" s="14" t="s">
        <v>18</v>
      </c>
      <c r="D10" s="15" t="n">
        <v>0</v>
      </c>
      <c r="E10" s="15" t="n">
        <v>0</v>
      </c>
      <c r="F10" s="15" t="n">
        <v>0</v>
      </c>
      <c r="G10" s="13"/>
      <c r="H10" s="13" t="n">
        <f aca="false">+D10*G10</f>
        <v>0</v>
      </c>
      <c r="I10" s="15" t="n">
        <f aca="false">+F10*G10</f>
        <v>0</v>
      </c>
      <c r="J10" s="13" t="n">
        <f aca="false">+E10*G10</f>
        <v>0</v>
      </c>
      <c r="K10" s="16" t="n">
        <f aca="false">+D10*E10/1000000</f>
        <v>0</v>
      </c>
      <c r="L10" s="16" t="n">
        <f aca="false">+D10*F10/1000000</f>
        <v>0</v>
      </c>
      <c r="M10" s="16" t="n">
        <f aca="false">G10*K10</f>
        <v>0</v>
      </c>
      <c r="N10" s="17" t="n">
        <f aca="false">+G10*L10</f>
        <v>0</v>
      </c>
      <c r="Q10" s="97" t="n">
        <v>6</v>
      </c>
      <c r="R10" s="98" t="s">
        <v>18</v>
      </c>
      <c r="S10" s="98"/>
      <c r="T10" s="97" t="n">
        <v>0</v>
      </c>
      <c r="U10" s="97" t="n">
        <v>0</v>
      </c>
      <c r="V10" s="97" t="n">
        <v>0</v>
      </c>
      <c r="W10" s="97" t="n">
        <f aca="false">V10*T10/1000000</f>
        <v>0</v>
      </c>
      <c r="AA10" s="97" t="n">
        <v>6</v>
      </c>
      <c r="AB10" s="98" t="s">
        <v>18</v>
      </c>
      <c r="AC10" s="98"/>
      <c r="AD10" s="97" t="n">
        <v>0</v>
      </c>
      <c r="AE10" s="97" t="n">
        <v>0</v>
      </c>
      <c r="AF10" s="97" t="n">
        <v>0</v>
      </c>
      <c r="AG10" s="97" t="n">
        <f aca="false">AF10*AD10/1000000</f>
        <v>0</v>
      </c>
    </row>
    <row r="11" customFormat="false" ht="17.35" hidden="false" customHeight="false" outlineLevel="0" collapsed="false">
      <c r="B11" s="13" t="n">
        <v>7</v>
      </c>
      <c r="C11" s="14" t="s">
        <v>18</v>
      </c>
      <c r="D11" s="15" t="n">
        <v>0</v>
      </c>
      <c r="E11" s="15" t="n">
        <v>0</v>
      </c>
      <c r="F11" s="15" t="n">
        <v>0</v>
      </c>
      <c r="G11" s="13"/>
      <c r="H11" s="13" t="n">
        <f aca="false">+D11*G11</f>
        <v>0</v>
      </c>
      <c r="I11" s="15" t="n">
        <f aca="false">+F11*G11</f>
        <v>0</v>
      </c>
      <c r="J11" s="13" t="n">
        <f aca="false">+E11*G11</f>
        <v>0</v>
      </c>
      <c r="K11" s="16" t="n">
        <f aca="false">+D11*E11/1000000</f>
        <v>0</v>
      </c>
      <c r="L11" s="16" t="n">
        <f aca="false">+D11*F11/1000000</f>
        <v>0</v>
      </c>
      <c r="M11" s="16" t="n">
        <f aca="false">G11*K11</f>
        <v>0</v>
      </c>
      <c r="N11" s="17" t="n">
        <f aca="false">+G11*L11</f>
        <v>0</v>
      </c>
      <c r="Q11" s="97" t="n">
        <v>7</v>
      </c>
      <c r="R11" s="98" t="s">
        <v>18</v>
      </c>
      <c r="S11" s="98"/>
      <c r="T11" s="97" t="n">
        <v>0</v>
      </c>
      <c r="U11" s="97" t="n">
        <v>0</v>
      </c>
      <c r="V11" s="97" t="n">
        <v>0</v>
      </c>
      <c r="W11" s="97" t="n">
        <f aca="false">V11*T11/1000000</f>
        <v>0</v>
      </c>
      <c r="AA11" s="97" t="n">
        <v>7</v>
      </c>
      <c r="AB11" s="98" t="s">
        <v>18</v>
      </c>
      <c r="AC11" s="98"/>
      <c r="AD11" s="97" t="n">
        <v>0</v>
      </c>
      <c r="AE11" s="97" t="n">
        <v>0</v>
      </c>
      <c r="AF11" s="97" t="n">
        <v>0</v>
      </c>
      <c r="AG11" s="97" t="n">
        <f aca="false">AF11*AD11/1000000</f>
        <v>0</v>
      </c>
    </row>
    <row r="12" customFormat="false" ht="17.35" hidden="false" customHeight="false" outlineLevel="0" collapsed="false">
      <c r="B12" s="13" t="n">
        <v>8</v>
      </c>
      <c r="C12" s="14" t="s">
        <v>18</v>
      </c>
      <c r="D12" s="15" t="n">
        <v>0</v>
      </c>
      <c r="E12" s="15" t="n">
        <v>0</v>
      </c>
      <c r="F12" s="15" t="n">
        <v>0</v>
      </c>
      <c r="G12" s="13"/>
      <c r="H12" s="13" t="n">
        <f aca="false">+D12*G12</f>
        <v>0</v>
      </c>
      <c r="I12" s="15" t="n">
        <f aca="false">+F12*G12</f>
        <v>0</v>
      </c>
      <c r="J12" s="13" t="n">
        <f aca="false">+E12*G12</f>
        <v>0</v>
      </c>
      <c r="K12" s="16" t="n">
        <f aca="false">+D12*E12/1000000</f>
        <v>0</v>
      </c>
      <c r="L12" s="16" t="n">
        <f aca="false">+D12*F12/1000000</f>
        <v>0</v>
      </c>
      <c r="M12" s="16" t="n">
        <f aca="false">G12*K12</f>
        <v>0</v>
      </c>
      <c r="N12" s="17" t="n">
        <f aca="false">+G12*L12</f>
        <v>0</v>
      </c>
      <c r="Q12" s="97" t="n">
        <v>8</v>
      </c>
      <c r="R12" s="98" t="s">
        <v>18</v>
      </c>
      <c r="S12" s="98"/>
      <c r="T12" s="97" t="n">
        <v>0</v>
      </c>
      <c r="U12" s="97" t="n">
        <v>0</v>
      </c>
      <c r="V12" s="97" t="n">
        <v>0</v>
      </c>
      <c r="W12" s="97" t="n">
        <f aca="false">V12*T12/1000000</f>
        <v>0</v>
      </c>
      <c r="AA12" s="97" t="n">
        <v>8</v>
      </c>
      <c r="AB12" s="98" t="s">
        <v>18</v>
      </c>
      <c r="AC12" s="98"/>
      <c r="AD12" s="97" t="n">
        <v>0</v>
      </c>
      <c r="AE12" s="97" t="n">
        <v>0</v>
      </c>
      <c r="AF12" s="97" t="n">
        <v>0</v>
      </c>
      <c r="AG12" s="97" t="n">
        <f aca="false">AF12*AD12/1000000</f>
        <v>0</v>
      </c>
    </row>
    <row r="13" customFormat="false" ht="17.35" hidden="false" customHeight="false" outlineLevel="0" collapsed="false">
      <c r="B13" s="13" t="n">
        <v>9</v>
      </c>
      <c r="C13" s="14" t="s">
        <v>18</v>
      </c>
      <c r="D13" s="15" t="n">
        <v>0</v>
      </c>
      <c r="E13" s="15" t="n">
        <v>0</v>
      </c>
      <c r="F13" s="15" t="n">
        <v>0</v>
      </c>
      <c r="G13" s="13"/>
      <c r="H13" s="13" t="n">
        <f aca="false">+D13*G13</f>
        <v>0</v>
      </c>
      <c r="I13" s="15" t="n">
        <f aca="false">+F13*G13</f>
        <v>0</v>
      </c>
      <c r="J13" s="13" t="n">
        <f aca="false">+E13*G13</f>
        <v>0</v>
      </c>
      <c r="K13" s="16" t="n">
        <f aca="false">+D13*E13/1000000</f>
        <v>0</v>
      </c>
      <c r="L13" s="16" t="n">
        <f aca="false">+D13*F13/1000000</f>
        <v>0</v>
      </c>
      <c r="M13" s="16" t="n">
        <f aca="false">G13*K13</f>
        <v>0</v>
      </c>
      <c r="N13" s="17" t="n">
        <f aca="false">+G13*L13</f>
        <v>0</v>
      </c>
      <c r="Q13" s="97" t="n">
        <v>9</v>
      </c>
      <c r="R13" s="98" t="s">
        <v>18</v>
      </c>
      <c r="S13" s="98"/>
      <c r="T13" s="97" t="n">
        <v>0</v>
      </c>
      <c r="U13" s="97" t="n">
        <v>0</v>
      </c>
      <c r="V13" s="97" t="n">
        <v>0</v>
      </c>
      <c r="W13" s="97" t="n">
        <f aca="false">V13*T13/1000000</f>
        <v>0</v>
      </c>
      <c r="AA13" s="97" t="n">
        <v>9</v>
      </c>
      <c r="AB13" s="98" t="s">
        <v>18</v>
      </c>
      <c r="AC13" s="98"/>
      <c r="AD13" s="97" t="n">
        <v>0</v>
      </c>
      <c r="AE13" s="97" t="n">
        <v>0</v>
      </c>
      <c r="AF13" s="97" t="n">
        <v>0</v>
      </c>
      <c r="AG13" s="97" t="n">
        <f aca="false">AF13*AD13/1000000</f>
        <v>0</v>
      </c>
    </row>
    <row r="14" customFormat="false" ht="17.35" hidden="false" customHeight="false" outlineLevel="0" collapsed="false">
      <c r="B14" s="13" t="n">
        <v>10</v>
      </c>
      <c r="C14" s="14" t="s">
        <v>18</v>
      </c>
      <c r="D14" s="15" t="n">
        <v>0</v>
      </c>
      <c r="E14" s="15" t="n">
        <v>0</v>
      </c>
      <c r="F14" s="15" t="n">
        <v>0</v>
      </c>
      <c r="G14" s="13"/>
      <c r="H14" s="13" t="n">
        <f aca="false">+D14*G14</f>
        <v>0</v>
      </c>
      <c r="I14" s="15" t="n">
        <f aca="false">+F14*G14</f>
        <v>0</v>
      </c>
      <c r="J14" s="13" t="n">
        <f aca="false">+E14*G14</f>
        <v>0</v>
      </c>
      <c r="K14" s="16" t="n">
        <f aca="false">+D14*E14/1000000</f>
        <v>0</v>
      </c>
      <c r="L14" s="16" t="n">
        <f aca="false">+D14*F14/1000000</f>
        <v>0</v>
      </c>
      <c r="M14" s="16" t="n">
        <f aca="false">G14*K14</f>
        <v>0</v>
      </c>
      <c r="N14" s="17" t="n">
        <f aca="false">+G14*L14</f>
        <v>0</v>
      </c>
      <c r="Q14" s="97" t="n">
        <v>10</v>
      </c>
      <c r="R14" s="98" t="s">
        <v>18</v>
      </c>
      <c r="S14" s="98"/>
      <c r="T14" s="97" t="n">
        <v>0</v>
      </c>
      <c r="U14" s="97" t="n">
        <v>0</v>
      </c>
      <c r="V14" s="97" t="n">
        <v>0</v>
      </c>
      <c r="W14" s="97" t="n">
        <f aca="false">V14*T14/1000000</f>
        <v>0</v>
      </c>
      <c r="AA14" s="97" t="n">
        <v>10</v>
      </c>
      <c r="AB14" s="98" t="s">
        <v>18</v>
      </c>
      <c r="AC14" s="98"/>
      <c r="AD14" s="97" t="n">
        <v>0</v>
      </c>
      <c r="AE14" s="97" t="n">
        <v>0</v>
      </c>
      <c r="AF14" s="97" t="n">
        <v>0</v>
      </c>
      <c r="AG14" s="97" t="n">
        <f aca="false">AF14*AD14/1000000</f>
        <v>0</v>
      </c>
    </row>
    <row r="15" customFormat="false" ht="17.35" hidden="false" customHeight="false" outlineLevel="0" collapsed="false">
      <c r="B15" s="13" t="n">
        <v>11</v>
      </c>
      <c r="C15" s="14" t="s">
        <v>18</v>
      </c>
      <c r="D15" s="15" t="n">
        <v>0</v>
      </c>
      <c r="E15" s="15" t="n">
        <v>0</v>
      </c>
      <c r="F15" s="15" t="n">
        <v>0</v>
      </c>
      <c r="G15" s="13"/>
      <c r="H15" s="13" t="n">
        <f aca="false">+D15*G15</f>
        <v>0</v>
      </c>
      <c r="I15" s="15" t="n">
        <f aca="false">+F15*G15</f>
        <v>0</v>
      </c>
      <c r="J15" s="13" t="n">
        <f aca="false">+E15*G15</f>
        <v>0</v>
      </c>
      <c r="K15" s="16" t="n">
        <f aca="false">+D15*E15/1000000</f>
        <v>0</v>
      </c>
      <c r="L15" s="16" t="n">
        <f aca="false">+D15*F15/1000000</f>
        <v>0</v>
      </c>
      <c r="M15" s="16" t="n">
        <f aca="false">G15*K15</f>
        <v>0</v>
      </c>
      <c r="N15" s="17" t="n">
        <f aca="false">+G15*L15</f>
        <v>0</v>
      </c>
      <c r="Q15" s="97" t="n">
        <v>11</v>
      </c>
      <c r="R15" s="98" t="s">
        <v>18</v>
      </c>
      <c r="S15" s="98"/>
      <c r="T15" s="97" t="n">
        <v>0</v>
      </c>
      <c r="U15" s="97" t="n">
        <v>0</v>
      </c>
      <c r="V15" s="97" t="n">
        <v>0</v>
      </c>
      <c r="W15" s="97" t="n">
        <f aca="false">V15*T15/1000000</f>
        <v>0</v>
      </c>
      <c r="AA15" s="97" t="n">
        <v>11</v>
      </c>
      <c r="AB15" s="98" t="s">
        <v>18</v>
      </c>
      <c r="AC15" s="98"/>
      <c r="AD15" s="97" t="n">
        <v>0</v>
      </c>
      <c r="AE15" s="97" t="n">
        <v>0</v>
      </c>
      <c r="AF15" s="97" t="n">
        <v>0</v>
      </c>
      <c r="AG15" s="97" t="n">
        <f aca="false">AF15*AD15/1000000</f>
        <v>0</v>
      </c>
    </row>
    <row r="16" customFormat="false" ht="17.35" hidden="false" customHeight="false" outlineLevel="0" collapsed="false">
      <c r="B16" s="13" t="n">
        <v>12</v>
      </c>
      <c r="C16" s="14" t="s">
        <v>18</v>
      </c>
      <c r="D16" s="15" t="n">
        <v>0</v>
      </c>
      <c r="E16" s="15" t="n">
        <v>0</v>
      </c>
      <c r="F16" s="15" t="n">
        <v>0</v>
      </c>
      <c r="G16" s="13"/>
      <c r="H16" s="13" t="n">
        <f aca="false">+D16*G16</f>
        <v>0</v>
      </c>
      <c r="I16" s="15" t="n">
        <f aca="false">+F16*G16</f>
        <v>0</v>
      </c>
      <c r="J16" s="13" t="n">
        <f aca="false">+E16*G16</f>
        <v>0</v>
      </c>
      <c r="K16" s="16" t="n">
        <f aca="false">+D16*E16/1000000</f>
        <v>0</v>
      </c>
      <c r="L16" s="16" t="n">
        <f aca="false">+D16*F16/1000000</f>
        <v>0</v>
      </c>
      <c r="M16" s="16" t="n">
        <f aca="false">G16*K16</f>
        <v>0</v>
      </c>
      <c r="N16" s="17" t="n">
        <f aca="false">+G16*L16</f>
        <v>0</v>
      </c>
      <c r="Q16" s="97" t="n">
        <v>12</v>
      </c>
      <c r="R16" s="98" t="s">
        <v>18</v>
      </c>
      <c r="S16" s="98"/>
      <c r="T16" s="97" t="n">
        <v>0</v>
      </c>
      <c r="U16" s="97" t="n">
        <v>0</v>
      </c>
      <c r="V16" s="97" t="n">
        <v>0</v>
      </c>
      <c r="W16" s="97" t="n">
        <f aca="false">V16*T16/1000000</f>
        <v>0</v>
      </c>
      <c r="AA16" s="97" t="n">
        <v>12</v>
      </c>
      <c r="AB16" s="98" t="s">
        <v>18</v>
      </c>
      <c r="AC16" s="98"/>
      <c r="AD16" s="97" t="n">
        <v>0</v>
      </c>
      <c r="AE16" s="97" t="n">
        <v>0</v>
      </c>
      <c r="AF16" s="97" t="n">
        <v>0</v>
      </c>
      <c r="AG16" s="97" t="n">
        <f aca="false">AF16*AD16/1000000</f>
        <v>0</v>
      </c>
    </row>
    <row r="17" customFormat="false" ht="17.35" hidden="false" customHeight="false" outlineLevel="0" collapsed="false">
      <c r="B17" s="13" t="n">
        <v>13</v>
      </c>
      <c r="C17" s="14" t="s">
        <v>18</v>
      </c>
      <c r="D17" s="15" t="n">
        <v>0</v>
      </c>
      <c r="E17" s="15" t="n">
        <v>0</v>
      </c>
      <c r="F17" s="15" t="n">
        <v>0</v>
      </c>
      <c r="G17" s="13"/>
      <c r="H17" s="13" t="n">
        <f aca="false">+D17*G17</f>
        <v>0</v>
      </c>
      <c r="I17" s="15" t="n">
        <f aca="false">+F17*G17</f>
        <v>0</v>
      </c>
      <c r="J17" s="13" t="n">
        <f aca="false">+E17*G17</f>
        <v>0</v>
      </c>
      <c r="K17" s="16" t="n">
        <f aca="false">+D17*E17/1000000</f>
        <v>0</v>
      </c>
      <c r="L17" s="16" t="n">
        <f aca="false">+D17*F17/1000000</f>
        <v>0</v>
      </c>
      <c r="M17" s="16" t="n">
        <f aca="false">G17*K17</f>
        <v>0</v>
      </c>
      <c r="N17" s="17" t="n">
        <f aca="false">+G17*L17</f>
        <v>0</v>
      </c>
      <c r="Q17" s="97" t="n">
        <v>13</v>
      </c>
      <c r="R17" s="98" t="s">
        <v>18</v>
      </c>
      <c r="S17" s="98"/>
      <c r="T17" s="97" t="n">
        <v>0</v>
      </c>
      <c r="U17" s="97" t="n">
        <v>0</v>
      </c>
      <c r="V17" s="97" t="n">
        <v>0</v>
      </c>
      <c r="W17" s="97" t="n">
        <f aca="false">V17*T17/1000000</f>
        <v>0</v>
      </c>
      <c r="AA17" s="97" t="n">
        <v>13</v>
      </c>
      <c r="AB17" s="98" t="s">
        <v>18</v>
      </c>
      <c r="AC17" s="98"/>
      <c r="AD17" s="97" t="n">
        <v>0</v>
      </c>
      <c r="AE17" s="97" t="n">
        <v>0</v>
      </c>
      <c r="AF17" s="97" t="n">
        <v>0</v>
      </c>
      <c r="AG17" s="97" t="n">
        <f aca="false">AF17*AD17/1000000</f>
        <v>0</v>
      </c>
    </row>
    <row r="18" customFormat="false" ht="17.35" hidden="false" customHeight="false" outlineLevel="0" collapsed="false">
      <c r="B18" s="13" t="n">
        <v>14</v>
      </c>
      <c r="C18" s="14" t="s">
        <v>18</v>
      </c>
      <c r="D18" s="15" t="n">
        <v>0</v>
      </c>
      <c r="E18" s="15" t="n">
        <v>0</v>
      </c>
      <c r="F18" s="15" t="n">
        <v>0</v>
      </c>
      <c r="G18" s="13"/>
      <c r="H18" s="13" t="n">
        <f aca="false">+D18*G18</f>
        <v>0</v>
      </c>
      <c r="I18" s="15" t="n">
        <f aca="false">+F18*G18</f>
        <v>0</v>
      </c>
      <c r="J18" s="13" t="n">
        <f aca="false">+E18*G18</f>
        <v>0</v>
      </c>
      <c r="K18" s="16" t="n">
        <f aca="false">+D18*E18/1000000</f>
        <v>0</v>
      </c>
      <c r="L18" s="16" t="n">
        <f aca="false">+D18*F18/1000000</f>
        <v>0</v>
      </c>
      <c r="M18" s="16" t="n">
        <f aca="false">G18*K18</f>
        <v>0</v>
      </c>
      <c r="N18" s="17" t="n">
        <f aca="false">+G18*L18</f>
        <v>0</v>
      </c>
      <c r="Q18" s="97" t="n">
        <v>14</v>
      </c>
      <c r="R18" s="98" t="s">
        <v>18</v>
      </c>
      <c r="S18" s="98"/>
      <c r="T18" s="97" t="n">
        <v>0</v>
      </c>
      <c r="U18" s="97" t="n">
        <v>0</v>
      </c>
      <c r="V18" s="97" t="n">
        <v>0</v>
      </c>
      <c r="W18" s="97" t="n">
        <f aca="false">V18*T18/1000000</f>
        <v>0</v>
      </c>
      <c r="AA18" s="97" t="n">
        <v>14</v>
      </c>
      <c r="AB18" s="98" t="s">
        <v>18</v>
      </c>
      <c r="AC18" s="98"/>
      <c r="AD18" s="97" t="n">
        <v>0</v>
      </c>
      <c r="AE18" s="97" t="n">
        <v>0</v>
      </c>
      <c r="AF18" s="97" t="n">
        <v>0</v>
      </c>
      <c r="AG18" s="97" t="n">
        <f aca="false">AF18*AD18/1000000</f>
        <v>0</v>
      </c>
    </row>
    <row r="19" customFormat="false" ht="17.35" hidden="false" customHeight="false" outlineLevel="0" collapsed="false">
      <c r="B19" s="13" t="n">
        <v>15</v>
      </c>
      <c r="C19" s="14" t="s">
        <v>18</v>
      </c>
      <c r="D19" s="15" t="n">
        <v>0</v>
      </c>
      <c r="E19" s="15" t="n">
        <v>0</v>
      </c>
      <c r="F19" s="15" t="n">
        <v>0</v>
      </c>
      <c r="G19" s="13"/>
      <c r="H19" s="13" t="n">
        <f aca="false">+D19*G19</f>
        <v>0</v>
      </c>
      <c r="I19" s="15" t="n">
        <f aca="false">+F19*G19</f>
        <v>0</v>
      </c>
      <c r="J19" s="13" t="n">
        <f aca="false">+E19*G19</f>
        <v>0</v>
      </c>
      <c r="K19" s="16" t="n">
        <f aca="false">+D19*E19/1000000</f>
        <v>0</v>
      </c>
      <c r="L19" s="16" t="n">
        <f aca="false">+D19*F19/1000000</f>
        <v>0</v>
      </c>
      <c r="M19" s="16" t="n">
        <f aca="false">G19*K19</f>
        <v>0</v>
      </c>
      <c r="N19" s="17" t="n">
        <f aca="false">+G19*L19</f>
        <v>0</v>
      </c>
      <c r="Q19" s="97" t="n">
        <v>15</v>
      </c>
      <c r="R19" s="98" t="s">
        <v>18</v>
      </c>
      <c r="S19" s="98"/>
      <c r="T19" s="97" t="n">
        <v>0</v>
      </c>
      <c r="U19" s="97" t="n">
        <v>0</v>
      </c>
      <c r="V19" s="97" t="n">
        <v>0</v>
      </c>
      <c r="W19" s="97" t="n">
        <f aca="false">V19*T19/1000000</f>
        <v>0</v>
      </c>
      <c r="AA19" s="97" t="n">
        <v>15</v>
      </c>
      <c r="AB19" s="98" t="s">
        <v>18</v>
      </c>
      <c r="AC19" s="98"/>
      <c r="AD19" s="97" t="n">
        <v>0</v>
      </c>
      <c r="AE19" s="97" t="n">
        <v>0</v>
      </c>
      <c r="AF19" s="97" t="n">
        <v>0</v>
      </c>
      <c r="AG19" s="97" t="n">
        <f aca="false">AF19*AD19/1000000</f>
        <v>0</v>
      </c>
    </row>
    <row r="20" customFormat="false" ht="17.35" hidden="false" customHeight="false" outlineLevel="0" collapsed="false">
      <c r="B20" s="13" t="n">
        <v>16</v>
      </c>
      <c r="C20" s="14" t="s">
        <v>18</v>
      </c>
      <c r="D20" s="15" t="n">
        <v>0</v>
      </c>
      <c r="E20" s="15" t="n">
        <v>0</v>
      </c>
      <c r="F20" s="15" t="n">
        <v>0</v>
      </c>
      <c r="G20" s="13"/>
      <c r="H20" s="13" t="n">
        <f aca="false">+D20*G20</f>
        <v>0</v>
      </c>
      <c r="I20" s="15" t="n">
        <f aca="false">+F20*G20</f>
        <v>0</v>
      </c>
      <c r="J20" s="13" t="n">
        <f aca="false">+E20*G20</f>
        <v>0</v>
      </c>
      <c r="K20" s="16" t="n">
        <f aca="false">+D20*E20/1000000</f>
        <v>0</v>
      </c>
      <c r="L20" s="16" t="n">
        <f aca="false">+D20*F20/1000000</f>
        <v>0</v>
      </c>
      <c r="M20" s="16" t="n">
        <f aca="false">G20*K20</f>
        <v>0</v>
      </c>
      <c r="N20" s="17" t="n">
        <f aca="false">+G20*L20</f>
        <v>0</v>
      </c>
      <c r="Q20" s="97" t="n">
        <v>16</v>
      </c>
      <c r="R20" s="98" t="s">
        <v>18</v>
      </c>
      <c r="S20" s="98"/>
      <c r="T20" s="97" t="n">
        <v>0</v>
      </c>
      <c r="U20" s="97" t="n">
        <v>0</v>
      </c>
      <c r="V20" s="97" t="n">
        <v>0</v>
      </c>
      <c r="W20" s="97" t="n">
        <f aca="false">V20*T20/1000000</f>
        <v>0</v>
      </c>
      <c r="AA20" s="97" t="n">
        <v>16</v>
      </c>
      <c r="AB20" s="98" t="s">
        <v>18</v>
      </c>
      <c r="AC20" s="98"/>
      <c r="AD20" s="97" t="n">
        <v>0</v>
      </c>
      <c r="AE20" s="97" t="n">
        <v>0</v>
      </c>
      <c r="AF20" s="97" t="n">
        <v>0</v>
      </c>
      <c r="AG20" s="97" t="n">
        <f aca="false">AF20*AD20/1000000</f>
        <v>0</v>
      </c>
    </row>
    <row r="21" customFormat="false" ht="17.35" hidden="false" customHeight="false" outlineLevel="0" collapsed="false">
      <c r="B21" s="13" t="n">
        <v>17</v>
      </c>
      <c r="C21" s="14" t="s">
        <v>18</v>
      </c>
      <c r="D21" s="15" t="n">
        <v>0</v>
      </c>
      <c r="E21" s="15" t="n">
        <v>0</v>
      </c>
      <c r="F21" s="15" t="n">
        <v>0</v>
      </c>
      <c r="G21" s="13"/>
      <c r="H21" s="13" t="n">
        <f aca="false">+D21*G21</f>
        <v>0</v>
      </c>
      <c r="I21" s="15" t="n">
        <f aca="false">+F21*G21</f>
        <v>0</v>
      </c>
      <c r="J21" s="13" t="n">
        <f aca="false">+E21*G21</f>
        <v>0</v>
      </c>
      <c r="K21" s="16" t="n">
        <f aca="false">+D21*E21/1000000</f>
        <v>0</v>
      </c>
      <c r="L21" s="16" t="n">
        <f aca="false">+D21*F21/1000000</f>
        <v>0</v>
      </c>
      <c r="M21" s="16" t="n">
        <f aca="false">G21*K21</f>
        <v>0</v>
      </c>
      <c r="N21" s="17" t="n">
        <f aca="false">+G21*L21</f>
        <v>0</v>
      </c>
      <c r="Q21" s="97" t="n">
        <v>17</v>
      </c>
      <c r="R21" s="98" t="s">
        <v>18</v>
      </c>
      <c r="S21" s="98"/>
      <c r="T21" s="97" t="n">
        <v>0</v>
      </c>
      <c r="U21" s="97" t="n">
        <v>0</v>
      </c>
      <c r="V21" s="97" t="n">
        <v>0</v>
      </c>
      <c r="W21" s="97" t="n">
        <f aca="false">V21*T21/1000000</f>
        <v>0</v>
      </c>
      <c r="AA21" s="97" t="n">
        <v>17</v>
      </c>
      <c r="AB21" s="98" t="s">
        <v>18</v>
      </c>
      <c r="AC21" s="98"/>
      <c r="AD21" s="97" t="n">
        <v>0</v>
      </c>
      <c r="AE21" s="97" t="n">
        <v>0</v>
      </c>
      <c r="AF21" s="97" t="n">
        <v>0</v>
      </c>
      <c r="AG21" s="97" t="n">
        <f aca="false">AF21*AD21/1000000</f>
        <v>0</v>
      </c>
    </row>
    <row r="22" customFormat="false" ht="17.35" hidden="false" customHeight="false" outlineLevel="0" collapsed="false">
      <c r="B22" s="13" t="n">
        <v>18</v>
      </c>
      <c r="C22" s="14" t="s">
        <v>18</v>
      </c>
      <c r="D22" s="15" t="n">
        <v>0</v>
      </c>
      <c r="E22" s="15" t="n">
        <v>0</v>
      </c>
      <c r="F22" s="15" t="n">
        <v>0</v>
      </c>
      <c r="G22" s="13"/>
      <c r="H22" s="13" t="n">
        <f aca="false">+D22*G22</f>
        <v>0</v>
      </c>
      <c r="I22" s="15" t="n">
        <f aca="false">+F22*G22</f>
        <v>0</v>
      </c>
      <c r="J22" s="13" t="n">
        <f aca="false">+E22*G22</f>
        <v>0</v>
      </c>
      <c r="K22" s="16" t="n">
        <f aca="false">+D22*E22/1000000</f>
        <v>0</v>
      </c>
      <c r="L22" s="16" t="n">
        <f aca="false">+D22*F22/1000000</f>
        <v>0</v>
      </c>
      <c r="M22" s="16" t="n">
        <f aca="false">G22*K22</f>
        <v>0</v>
      </c>
      <c r="N22" s="17" t="n">
        <f aca="false">+G22*L22</f>
        <v>0</v>
      </c>
      <c r="Q22" s="97" t="n">
        <v>18</v>
      </c>
      <c r="R22" s="98" t="s">
        <v>18</v>
      </c>
      <c r="S22" s="98"/>
      <c r="T22" s="97" t="n">
        <v>0</v>
      </c>
      <c r="U22" s="97" t="n">
        <v>0</v>
      </c>
      <c r="V22" s="97" t="n">
        <v>0</v>
      </c>
      <c r="W22" s="97" t="n">
        <f aca="false">V22*T22/1000000</f>
        <v>0</v>
      </c>
      <c r="AA22" s="97" t="n">
        <v>18</v>
      </c>
      <c r="AB22" s="98" t="s">
        <v>18</v>
      </c>
      <c r="AC22" s="98"/>
      <c r="AD22" s="97" t="n">
        <v>0</v>
      </c>
      <c r="AE22" s="97" t="n">
        <v>0</v>
      </c>
      <c r="AF22" s="97" t="n">
        <v>0</v>
      </c>
      <c r="AG22" s="97" t="n">
        <f aca="false">AF22*AD22/1000000</f>
        <v>0</v>
      </c>
    </row>
    <row r="23" customFormat="false" ht="17.35" hidden="false" customHeight="false" outlineLevel="0" collapsed="false">
      <c r="B23" s="13" t="n">
        <v>19</v>
      </c>
      <c r="C23" s="14" t="s">
        <v>18</v>
      </c>
      <c r="D23" s="15" t="n">
        <v>0</v>
      </c>
      <c r="E23" s="15" t="n">
        <v>0</v>
      </c>
      <c r="F23" s="15" t="n">
        <v>0</v>
      </c>
      <c r="G23" s="13"/>
      <c r="H23" s="13" t="n">
        <f aca="false">+D23*G23</f>
        <v>0</v>
      </c>
      <c r="I23" s="15" t="n">
        <f aca="false">+F23*G23</f>
        <v>0</v>
      </c>
      <c r="J23" s="13" t="n">
        <f aca="false">+E23*G23</f>
        <v>0</v>
      </c>
      <c r="K23" s="16" t="n">
        <f aca="false">+D23*E23/1000000</f>
        <v>0</v>
      </c>
      <c r="L23" s="16" t="n">
        <f aca="false">+D23*F23/1000000</f>
        <v>0</v>
      </c>
      <c r="M23" s="16" t="n">
        <f aca="false">G23*K23</f>
        <v>0</v>
      </c>
      <c r="N23" s="17" t="n">
        <f aca="false">+G23*L23</f>
        <v>0</v>
      </c>
      <c r="Q23" s="97" t="n">
        <v>19</v>
      </c>
      <c r="R23" s="98" t="s">
        <v>18</v>
      </c>
      <c r="S23" s="98"/>
      <c r="T23" s="97" t="n">
        <v>0</v>
      </c>
      <c r="U23" s="97" t="n">
        <v>0</v>
      </c>
      <c r="V23" s="97" t="n">
        <v>0</v>
      </c>
      <c r="W23" s="97" t="n">
        <f aca="false">V23*T23/1000000</f>
        <v>0</v>
      </c>
      <c r="AA23" s="97" t="n">
        <v>19</v>
      </c>
      <c r="AB23" s="98" t="s">
        <v>18</v>
      </c>
      <c r="AC23" s="98"/>
      <c r="AD23" s="97" t="n">
        <v>0</v>
      </c>
      <c r="AE23" s="97" t="n">
        <v>0</v>
      </c>
      <c r="AF23" s="97" t="n">
        <v>0</v>
      </c>
      <c r="AG23" s="97" t="n">
        <f aca="false">AF23*AD23/1000000</f>
        <v>0</v>
      </c>
    </row>
    <row r="24" customFormat="false" ht="17.35" hidden="false" customHeight="false" outlineLevel="0" collapsed="false">
      <c r="B24" s="13" t="n">
        <v>20</v>
      </c>
      <c r="C24" s="14" t="s">
        <v>18</v>
      </c>
      <c r="D24" s="15" t="n">
        <v>0</v>
      </c>
      <c r="E24" s="15" t="n">
        <v>0</v>
      </c>
      <c r="F24" s="15" t="n">
        <v>0</v>
      </c>
      <c r="G24" s="13"/>
      <c r="H24" s="13" t="n">
        <f aca="false">+D24*G24</f>
        <v>0</v>
      </c>
      <c r="I24" s="15" t="n">
        <f aca="false">+F24*G24</f>
        <v>0</v>
      </c>
      <c r="J24" s="13" t="n">
        <f aca="false">+E24*G24</f>
        <v>0</v>
      </c>
      <c r="K24" s="16" t="n">
        <f aca="false">+D24*E24/1000000</f>
        <v>0</v>
      </c>
      <c r="L24" s="16" t="n">
        <f aca="false">+D24*F24/1000000</f>
        <v>0</v>
      </c>
      <c r="M24" s="16" t="n">
        <f aca="false">G24*K24</f>
        <v>0</v>
      </c>
      <c r="N24" s="17" t="n">
        <f aca="false">+G24*L24</f>
        <v>0</v>
      </c>
      <c r="Q24" s="97" t="n">
        <v>20</v>
      </c>
      <c r="R24" s="98" t="s">
        <v>18</v>
      </c>
      <c r="S24" s="98"/>
      <c r="T24" s="97" t="n">
        <v>0</v>
      </c>
      <c r="U24" s="97" t="n">
        <v>0</v>
      </c>
      <c r="V24" s="97" t="n">
        <v>0</v>
      </c>
      <c r="W24" s="97" t="n">
        <f aca="false">V24*T24/1000000</f>
        <v>0</v>
      </c>
      <c r="AA24" s="97" t="n">
        <v>20</v>
      </c>
      <c r="AB24" s="98" t="s">
        <v>18</v>
      </c>
      <c r="AC24" s="98"/>
      <c r="AD24" s="97" t="n">
        <v>0</v>
      </c>
      <c r="AE24" s="97" t="n">
        <v>0</v>
      </c>
      <c r="AF24" s="97" t="n">
        <v>0</v>
      </c>
      <c r="AG24" s="97" t="n">
        <f aca="false">AF24*AD24/1000000</f>
        <v>0</v>
      </c>
    </row>
    <row r="25" customFormat="false" ht="17.35" hidden="false" customHeight="false" outlineLevel="0" collapsed="false">
      <c r="B25" s="31" t="s">
        <v>19</v>
      </c>
      <c r="C25" s="31"/>
      <c r="D25" s="32" t="n">
        <f aca="false">SUM(D5:D24)</f>
        <v>12200</v>
      </c>
      <c r="E25" s="33" t="n">
        <f aca="false">SUM(E5:E24)</f>
        <v>9000</v>
      </c>
      <c r="F25" s="33" t="n">
        <f aca="false">SUM(F5:F24)</f>
        <v>10200</v>
      </c>
      <c r="G25" s="34" t="n">
        <f aca="false">SUM(G5:G24)</f>
        <v>15</v>
      </c>
      <c r="H25" s="32" t="n">
        <f aca="false">SUM(H5:H24)</f>
        <v>53100</v>
      </c>
      <c r="I25" s="32" t="n">
        <f aca="false">SUM(I5:I24)</f>
        <v>37200</v>
      </c>
      <c r="J25" s="32" t="n">
        <f aca="false">SUM(J5:J24)</f>
        <v>32700</v>
      </c>
      <c r="K25" s="35" t="n">
        <f aca="false">SUM(K5:K24)</f>
        <v>27.06</v>
      </c>
      <c r="L25" s="35" t="n">
        <f aca="false">SUM(L5:L24)</f>
        <v>30.72</v>
      </c>
      <c r="M25" s="36" t="n">
        <f aca="false">SUM(M5:M24)</f>
        <v>114.39</v>
      </c>
      <c r="N25" s="37" t="n">
        <f aca="false">SUM(N5:N24)</f>
        <v>130.32</v>
      </c>
      <c r="U25" s="97" t="s">
        <v>117</v>
      </c>
      <c r="V25" s="97"/>
      <c r="W25" s="97" t="n">
        <f aca="false">SUM(W5:W24)</f>
        <v>11.4</v>
      </c>
      <c r="AE25" s="97" t="s">
        <v>117</v>
      </c>
      <c r="AF25" s="97"/>
      <c r="AG25" s="97" t="n">
        <f aca="false">SUM(AG5:AG24)</f>
        <v>11.4</v>
      </c>
    </row>
    <row r="26" customFormat="false" ht="17.35" hidden="false" customHeight="false" outlineLevel="0" collapsed="false">
      <c r="B26" s="4"/>
      <c r="C26" s="4"/>
      <c r="D26" s="4"/>
      <c r="E26" s="38"/>
      <c r="F26" s="39"/>
      <c r="G26" s="39"/>
      <c r="H26" s="4"/>
      <c r="I26" s="12"/>
      <c r="J26" s="12"/>
      <c r="K26" s="12"/>
      <c r="S26" s="95" t="s">
        <v>21</v>
      </c>
      <c r="T26" s="95" t="s">
        <v>23</v>
      </c>
      <c r="U26" s="95" t="s">
        <v>24</v>
      </c>
      <c r="V26" s="95" t="s">
        <v>25</v>
      </c>
      <c r="W26" s="99" t="s">
        <v>26</v>
      </c>
      <c r="X26" s="99" t="s">
        <v>37</v>
      </c>
      <c r="Y26" s="12"/>
      <c r="AD26" s="95" t="s">
        <v>21</v>
      </c>
      <c r="AE26" s="95" t="s">
        <v>23</v>
      </c>
      <c r="AF26" s="95" t="s">
        <v>24</v>
      </c>
      <c r="AG26" s="95" t="s">
        <v>25</v>
      </c>
      <c r="AH26" s="99" t="s">
        <v>26</v>
      </c>
      <c r="AI26" s="99" t="s">
        <v>37</v>
      </c>
      <c r="AJ26" s="12"/>
    </row>
    <row r="27" customFormat="false" ht="17.35" hidden="false" customHeight="false" outlineLevel="0" collapsed="false">
      <c r="B27" s="40" t="s">
        <v>20</v>
      </c>
      <c r="C27" s="40"/>
      <c r="D27" s="40"/>
      <c r="E27" s="40"/>
      <c r="F27" s="40"/>
      <c r="G27" s="40"/>
      <c r="H27" s="40"/>
      <c r="I27" s="40"/>
      <c r="J27" s="40"/>
      <c r="K27" s="22"/>
      <c r="R27" s="97" t="s">
        <v>118</v>
      </c>
      <c r="S27" s="97" t="n">
        <v>2015</v>
      </c>
      <c r="T27" s="97" t="n">
        <f aca="false">(T5*1)+(T6*1)+(T7*1)+(T8*1)+(T9*1)+(T10*1)+(T11*1)+(T12*1)+(T13*1)+(T14*1)+(T15*1)+(T16*1)+(T17*1)+(T18*1)+(T19*1)+(T20*1)+(T21*1)+(T22*1)+(T23*1)+(T24*1)</f>
        <v>7600</v>
      </c>
      <c r="U27" s="100" t="n">
        <f aca="false">T27+(T27*10%)</f>
        <v>8360</v>
      </c>
      <c r="V27" s="101" t="n">
        <f aca="false">U27/6400</f>
        <v>1.30625</v>
      </c>
      <c r="W27" s="101" t="n">
        <f aca="false">ROUNDUP(V27,0)</f>
        <v>2</v>
      </c>
      <c r="X27" s="102" t="n">
        <f aca="false">W27*7.2</f>
        <v>14.4</v>
      </c>
      <c r="Y27" s="22"/>
      <c r="AC27" s="97" t="s">
        <v>118</v>
      </c>
      <c r="AD27" s="97" t="n">
        <v>1005</v>
      </c>
      <c r="AE27" s="97" t="n">
        <f aca="false">(AD5*1)+(AD6*1)+(AD7*1)+(AD8*1)+(AD9*1)+(AD10*1)+(AD11*1)+(AD12*1)+(AD13*1)+(AD14*1)+(AD15*1)+(AD16*1)+(AD17*1)+(AD18*1)+(AD19*1)+(AD20*1)+(AD21*1)+(AD22*1)+(AD23*1)+(AD24*1)</f>
        <v>7600</v>
      </c>
      <c r="AF27" s="100" t="n">
        <f aca="false">AE27+(AE27*10%)</f>
        <v>8360</v>
      </c>
      <c r="AG27" s="101" t="n">
        <f aca="false">AE27/6400</f>
        <v>1.1875</v>
      </c>
      <c r="AH27" s="101" t="n">
        <f aca="false">ROUNDUP(AG27,0)</f>
        <v>2</v>
      </c>
      <c r="AI27" s="102" t="n">
        <f aca="false">AH27*7.2</f>
        <v>14.4</v>
      </c>
      <c r="AJ27" s="22"/>
    </row>
    <row r="28" customFormat="false" ht="17.35" hidden="false" customHeight="false" outlineLevel="0" collapsed="false">
      <c r="B28" s="9" t="s">
        <v>5</v>
      </c>
      <c r="C28" s="42" t="s">
        <v>21</v>
      </c>
      <c r="D28" s="42" t="s">
        <v>22</v>
      </c>
      <c r="E28" s="42" t="s">
        <v>23</v>
      </c>
      <c r="F28" s="42" t="s">
        <v>24</v>
      </c>
      <c r="G28" s="42" t="s">
        <v>25</v>
      </c>
      <c r="H28" s="42" t="s">
        <v>26</v>
      </c>
      <c r="I28" s="42" t="s">
        <v>27</v>
      </c>
      <c r="J28" s="42" t="s">
        <v>28</v>
      </c>
      <c r="K28" s="22"/>
      <c r="L28" s="22"/>
      <c r="M28" s="22"/>
      <c r="N28" s="22"/>
      <c r="O28" s="22"/>
      <c r="P28" s="22"/>
      <c r="S28" s="97" t="s">
        <v>119</v>
      </c>
      <c r="T28" s="97" t="n">
        <v>2013</v>
      </c>
      <c r="U28" s="97" t="n">
        <f aca="false">(T5*1)+(T6*1)+(T7*1)+(T8*1)+(T9*1)+(T10*1)+(T11*1)+(T12*1)+(T13*1)+(T14*1)+(T15*1)+(T16*1)+(T17*1)+(T18*1)+(T19*1)+(T20*1)+(T21*1)+(T22*1)+(T23*1)+(T24*1)+(U5*2)+(U6*2)+(U7*2)+(U8*2)+(U9*2)+(U10*2)+(U11*2)+(U12*2)+(U13*2)+(U14*2)+(U15*2)+(U16*2)+(U17*2)+(U18*2)+(U19*2)+(U20*2)+(U21*2)+(U22*2)+(U23*2)+(U24*2)</f>
        <v>19600</v>
      </c>
      <c r="V28" s="100" t="n">
        <f aca="false">U28+(U28*10%)</f>
        <v>21560</v>
      </c>
      <c r="W28" s="101" t="n">
        <f aca="false">V28/6400</f>
        <v>3.36875</v>
      </c>
      <c r="X28" s="101" t="n">
        <f aca="false">ROUNDUP(W28,0)</f>
        <v>4</v>
      </c>
      <c r="Y28" s="102" t="n">
        <f aca="false">X28*7.2</f>
        <v>28.8</v>
      </c>
      <c r="Z28" s="22"/>
      <c r="AD28" s="97" t="s">
        <v>120</v>
      </c>
      <c r="AE28" s="97" t="n">
        <v>1007</v>
      </c>
      <c r="AF28" s="97" t="n">
        <f aca="false">(AE5*2)+(AE6*2)+(AE7*2)+(AE8*2)+(AE9*2)+(AE10*2)+(AE11*2)+(AE12*2)+(AE13*2)+(AE14*2)+(AE15*2)+(AE16*2)+(AE17*2)+(AE18*2)+(AE19*2)+(AE20*2)+(AE21*2)+(AE22*2)+(AE23*2)+(AE24*2)</f>
        <v>12000</v>
      </c>
      <c r="AG28" s="100" t="n">
        <f aca="false">AF28+(AF28*10%)</f>
        <v>13200</v>
      </c>
      <c r="AH28" s="101" t="n">
        <f aca="false">AF28/6400</f>
        <v>1.875</v>
      </c>
      <c r="AI28" s="101" t="n">
        <f aca="false">ROUNDUP(AH28,0)</f>
        <v>2</v>
      </c>
      <c r="AJ28" s="102" t="n">
        <f aca="false">AI28*7.2</f>
        <v>14.4</v>
      </c>
      <c r="AK28" s="22"/>
    </row>
    <row r="29" customFormat="false" ht="17.35" hidden="false" customHeight="false" outlineLevel="0" collapsed="false">
      <c r="B29" s="13" t="n">
        <v>1</v>
      </c>
      <c r="C29" s="13" t="n">
        <v>5034</v>
      </c>
      <c r="D29" s="13" t="s">
        <v>29</v>
      </c>
      <c r="E29" s="15" t="n">
        <f aca="false">+H25*2+J25*2</f>
        <v>171600</v>
      </c>
      <c r="F29" s="15" t="n">
        <f aca="false">E29+(E29*10%)</f>
        <v>188760</v>
      </c>
      <c r="G29" s="43" t="n">
        <f aca="false">F29/6400</f>
        <v>29.49375</v>
      </c>
      <c r="H29" s="43" t="n">
        <f aca="false">ROUNDUP(G29,0)</f>
        <v>30</v>
      </c>
      <c r="I29" s="44" t="n">
        <v>5.4</v>
      </c>
      <c r="J29" s="44" t="n">
        <f aca="false">+I29*G29</f>
        <v>159.26625</v>
      </c>
      <c r="K29" s="22"/>
      <c r="L29" s="22"/>
      <c r="M29" s="22"/>
      <c r="N29" s="22"/>
      <c r="O29" s="22"/>
      <c r="P29" s="22"/>
      <c r="S29" s="97" t="s">
        <v>121</v>
      </c>
      <c r="T29" s="97" t="n">
        <v>2005</v>
      </c>
      <c r="U29" s="97" t="n">
        <f aca="false">(T5*1)+(T6*1)+(T7*1)+(T8*1)+(T9*1)+(T10*1)+(T11*1)+(T12*1)+(T13*1)+(T14*1)+(T15*1)+(T16*1)+(T17*1)+(T18*1)+(T19*1)+(T20*1)+(T21*1)+(T22*1)+(T23*1)+(T24*1)</f>
        <v>7600</v>
      </c>
      <c r="V29" s="100" t="n">
        <f aca="false">U29+(U29*10%)</f>
        <v>8360</v>
      </c>
      <c r="W29" s="101" t="n">
        <f aca="false">V29/6400</f>
        <v>1.30625</v>
      </c>
      <c r="X29" s="101" t="n">
        <f aca="false">ROUNDUP(W29,0)</f>
        <v>2</v>
      </c>
      <c r="Y29" s="102" t="n">
        <f aca="false">X29*7.2</f>
        <v>14.4</v>
      </c>
      <c r="Z29" s="22"/>
      <c r="AD29" s="97" t="s">
        <v>122</v>
      </c>
      <c r="AE29" s="3" t="n">
        <v>1001</v>
      </c>
      <c r="AF29" s="3" t="n">
        <f aca="false">(AD5*1)+(AD6*1)+(AD7*1)+(AD8*1)+(AD9*1)+(AD10*1)+(AD11*1)+(AD12*1)+(AD13*1)+(AD14*1)+(AD15*1)+(AD16*1)+(AD17*1)+(AD18*1)+(AD19*1)+(AD20*1)+(AD21*1)+(AD22*1)+(AD23*1)+(AD24*1)</f>
        <v>7600</v>
      </c>
      <c r="AG29" s="100" t="n">
        <f aca="false">AF29+(AF29*10%)</f>
        <v>8360</v>
      </c>
      <c r="AH29" s="101" t="n">
        <f aca="false">AF29/6400</f>
        <v>1.1875</v>
      </c>
      <c r="AI29" s="101" t="n">
        <f aca="false">ROUNDUP(AH29,0)</f>
        <v>2</v>
      </c>
      <c r="AJ29" s="102" t="n">
        <f aca="false">AI29*7.2</f>
        <v>14.4</v>
      </c>
      <c r="AK29" s="22"/>
    </row>
    <row r="30" customFormat="false" ht="17.35" hidden="false" customHeight="false" outlineLevel="0" collapsed="false">
      <c r="B30" s="13" t="n">
        <v>2</v>
      </c>
      <c r="C30" s="13" t="n">
        <v>5019</v>
      </c>
      <c r="D30" s="13" t="s">
        <v>30</v>
      </c>
      <c r="E30" s="15" t="n">
        <f aca="false">+H25*2+J25*4</f>
        <v>237000</v>
      </c>
      <c r="F30" s="15" t="n">
        <f aca="false">E30+(E30*10%)</f>
        <v>260700</v>
      </c>
      <c r="G30" s="43" t="n">
        <f aca="false">F30/6400</f>
        <v>40.734375</v>
      </c>
      <c r="H30" s="43" t="n">
        <f aca="false">ROUNDUP(G30,0)</f>
        <v>41</v>
      </c>
      <c r="I30" s="44" t="n">
        <v>4.5</v>
      </c>
      <c r="J30" s="44" t="n">
        <f aca="false">+I30*G30</f>
        <v>183.3046875</v>
      </c>
      <c r="K30" s="22"/>
      <c r="L30" s="22"/>
      <c r="M30" s="22"/>
      <c r="N30" s="22"/>
      <c r="O30" s="22"/>
      <c r="P30" s="22"/>
      <c r="S30" s="97" t="s">
        <v>123</v>
      </c>
      <c r="T30" s="97" t="n">
        <v>2007</v>
      </c>
      <c r="U30" s="103" t="n">
        <f aca="false">(T5*1)+(T6*1)+(T7*1)+(T8*1)+(T9*1)+(T10*1)+(T11*1)+(T12*1)+(T13*1)+(T14*1)+(T15*1)+(T16*1)+(T17*1)+(T18*1)+(T19*1)+(T20*1)+(T21*1)+(T22*1)+(T23*1)+(T24*1)</f>
        <v>7600</v>
      </c>
      <c r="V30" s="100" t="n">
        <f aca="false">U30+(U30*10%)</f>
        <v>8360</v>
      </c>
      <c r="W30" s="101" t="n">
        <f aca="false">V30/6400</f>
        <v>1.30625</v>
      </c>
      <c r="X30" s="101" t="n">
        <f aca="false">ROUNDUP(W30,0)</f>
        <v>2</v>
      </c>
      <c r="Y30" s="102" t="n">
        <f aca="false">X30*7.2</f>
        <v>14.4</v>
      </c>
      <c r="Z30" s="21"/>
      <c r="AD30" s="97" t="s">
        <v>121</v>
      </c>
      <c r="AE30" s="97" t="n">
        <v>1009</v>
      </c>
      <c r="AF30" s="97" t="n">
        <f aca="false">(AD5*1)+(AD6*1)+(AD7*1)+(AD8*1)+(AD9*1)+(AD10*1)+(AD11*1)+(AD12*1)+(AD13*1)+(AD14*1)+(AD15*1)+(AD16*1)+(AD17*1)+(AD18*1)+(AD19*1)+(AD20*1)+(AD21*1)+(AD22*1)+(AD23*1)+(AD24*1)</f>
        <v>7600</v>
      </c>
      <c r="AG30" s="100" t="n">
        <f aca="false">AF30+(AF30*10%)</f>
        <v>8360</v>
      </c>
      <c r="AH30" s="101" t="n">
        <f aca="false">AF30/6400</f>
        <v>1.1875</v>
      </c>
      <c r="AI30" s="101" t="n">
        <f aca="false">ROUNDUP(AH30,0)</f>
        <v>2</v>
      </c>
      <c r="AJ30" s="102" t="n">
        <f aca="false">AI30*7.2</f>
        <v>14.4</v>
      </c>
      <c r="AK30" s="21"/>
    </row>
    <row r="31" customFormat="false" ht="17.35" hidden="false" customHeight="false" outlineLevel="0" collapsed="false">
      <c r="B31" s="13" t="n">
        <v>3</v>
      </c>
      <c r="C31" s="13" t="n">
        <v>5023</v>
      </c>
      <c r="D31" s="13" t="s">
        <v>31</v>
      </c>
      <c r="E31" s="15" t="n">
        <f aca="false">+J25*2</f>
        <v>65400</v>
      </c>
      <c r="F31" s="15" t="n">
        <f aca="false">E31+(E31*10%)</f>
        <v>71940</v>
      </c>
      <c r="G31" s="43" t="n">
        <f aca="false">F31/6400</f>
        <v>11.240625</v>
      </c>
      <c r="H31" s="43" t="n">
        <f aca="false">ROUNDUP(G31,0)</f>
        <v>12</v>
      </c>
      <c r="I31" s="44" t="n">
        <v>2.3</v>
      </c>
      <c r="J31" s="44" t="n">
        <f aca="false">+I31*G31</f>
        <v>25.8534375</v>
      </c>
      <c r="K31" s="23"/>
      <c r="L31" s="23"/>
      <c r="M31" s="23"/>
      <c r="N31" s="23"/>
      <c r="O31" s="23"/>
      <c r="P31" s="23"/>
      <c r="S31" s="97" t="s">
        <v>124</v>
      </c>
      <c r="T31" s="97" t="n">
        <v>2009</v>
      </c>
      <c r="U31" s="97" t="n">
        <f aca="false">(U5*2)+(U6*2)+(U7*2)+(U8*2)+(U9*2)+(U10*2)+(U11*2)+(U12*2)+(U13*2)+(U14*2)+(U15*2)+(U16*2)+(U17*2)+(U18*2)+(U19*2)+(U20*2)+(U21*2)+(U22*2)+(U23*2)+(U24*2)</f>
        <v>12000</v>
      </c>
      <c r="V31" s="100" t="n">
        <f aca="false">U31+(U31*10%)</f>
        <v>13200</v>
      </c>
      <c r="W31" s="101" t="n">
        <f aca="false">V31/6400</f>
        <v>2.0625</v>
      </c>
      <c r="X31" s="101" t="n">
        <f aca="false">ROUNDUP(W31,0)</f>
        <v>3</v>
      </c>
      <c r="Y31" s="102" t="n">
        <f aca="false">X31*7.2</f>
        <v>21.6</v>
      </c>
      <c r="Z31" s="21"/>
      <c r="AD31" s="97" t="s">
        <v>123</v>
      </c>
      <c r="AE31" s="97" t="n">
        <v>1011</v>
      </c>
      <c r="AF31" s="103" t="n">
        <f aca="false">(AD5*1)+(AD6*1)+(AD7*1)+(AD8*1)+(AD9*1)+(AD10*1)+(AD11*1)+(AD12*1)+(AD13*1)+(AD14*1)+(AD15*1)+(AD16*1)+(AD17*1)+(AD18*1)+(AD19*1)+(AD20*1)+(AD21*1)+(AD22*1)+(AD23*1)+(AD24*1)</f>
        <v>7600</v>
      </c>
      <c r="AG31" s="100" t="n">
        <f aca="false">AF31+(AF31*10%)</f>
        <v>8360</v>
      </c>
      <c r="AH31" s="101" t="n">
        <f aca="false">AF31/6400</f>
        <v>1.1875</v>
      </c>
      <c r="AI31" s="101" t="n">
        <f aca="false">ROUNDUP(AH31,0)</f>
        <v>2</v>
      </c>
      <c r="AJ31" s="102" t="n">
        <f aca="false">AI31*7.2</f>
        <v>14.4</v>
      </c>
      <c r="AK31" s="21"/>
    </row>
    <row r="32" customFormat="false" ht="17.35" hidden="false" customHeight="false" outlineLevel="0" collapsed="false">
      <c r="B32" s="13"/>
      <c r="C32" s="13"/>
      <c r="D32" s="13"/>
      <c r="E32" s="15"/>
      <c r="F32" s="15"/>
      <c r="G32" s="43"/>
      <c r="H32" s="43"/>
      <c r="I32" s="44"/>
      <c r="J32" s="44"/>
      <c r="R32" s="25"/>
      <c r="S32" s="97" t="s">
        <v>125</v>
      </c>
      <c r="T32" s="97" t="n">
        <v>2011</v>
      </c>
      <c r="U32" s="97" t="n">
        <f aca="false">(U5*2)+(U6*2)+(U7*2)+(U8*2)+(U9*2)+(U10*2)+(U11*2)+(U12*2)+(U13*2)+(U14*2)+(U15*2)+(U16*2)+(U17*2)+(U18*2)+(U19*2)+(U20*2)+(U21*2)+(U22*2)+(U23*2)+(U24*2)</f>
        <v>12000</v>
      </c>
      <c r="V32" s="100" t="n">
        <f aca="false">U32+(U32*10%)</f>
        <v>13200</v>
      </c>
      <c r="W32" s="101" t="n">
        <f aca="false">V32/6400</f>
        <v>2.0625</v>
      </c>
      <c r="X32" s="101" t="n">
        <f aca="false">ROUNDUP(W32,0)</f>
        <v>3</v>
      </c>
      <c r="Y32" s="102" t="n">
        <f aca="false">X32*7.2</f>
        <v>21.6</v>
      </c>
      <c r="Z32" s="21"/>
      <c r="AD32" s="97" t="s">
        <v>124</v>
      </c>
      <c r="AE32" s="97" t="n">
        <v>1013</v>
      </c>
      <c r="AF32" s="97" t="n">
        <f aca="false">(AE5*2)+(AE6*2)+(AE7*2)+(AE8*2)+(AE9*2)+(AE10*2)+(AE11*2)+(AE12*2)+(AE13*2)+(AE14*2)+(AE15*2)+(AE16*2)+(AE17*2)+(AE18*2)+(AE19*2)+(AE20*2)+(AE21*2)+(AE22*2)+(AE23*2)+(AE24*2)</f>
        <v>12000</v>
      </c>
      <c r="AG32" s="100" t="n">
        <f aca="false">AF32+(AF32*10%)</f>
        <v>13200</v>
      </c>
      <c r="AH32" s="101" t="n">
        <f aca="false">AF32/6400</f>
        <v>1.875</v>
      </c>
      <c r="AI32" s="101" t="n">
        <f aca="false">ROUNDUP(AH32,0)</f>
        <v>2</v>
      </c>
      <c r="AJ32" s="102" t="n">
        <f aca="false">AI32*7.2</f>
        <v>14.4</v>
      </c>
      <c r="AK32" s="21"/>
    </row>
    <row r="33" customFormat="false" ht="17.35" hidden="false" customHeight="false" outlineLevel="0" collapsed="false">
      <c r="H33" s="23"/>
      <c r="I33" s="116" t="s">
        <v>19</v>
      </c>
      <c r="J33" s="116" t="n">
        <f aca="false">SUM(J29:J32)</f>
        <v>368.424375</v>
      </c>
      <c r="K33" s="22"/>
      <c r="P33" s="25"/>
      <c r="Q33" s="97" t="s">
        <v>126</v>
      </c>
      <c r="R33" s="3" t="n">
        <v>2025</v>
      </c>
      <c r="S33" s="97" t="n">
        <f aca="false">(T5*1)+(T6*1)+(T7*1)+(T8*1)+(T9*1)+(T10*1)+(T11*1)+(T12*1)+(T13*1)+(T14*1)+(T15*1)+(T16*1)+(T17*1)+(T18*1)+(T19*1)+(T20*1)+(T21*1)+(T22*1)+(T23*1)+(T24*1)+(U5*2)+(U6*2)+(U7*2)+(U8*2)+(U9*2)+(U10*2)+(U11*2)+(U12*2)+(U13*2)+(U14*2)+(U15*2)+(U16*2)+(U17*2)+(U18*2)+(U19*2)+(U20*2)+(U21*2)+(U22*2)+(U23*2)+(U24*2)</f>
        <v>19600</v>
      </c>
      <c r="T33" s="100" t="n">
        <f aca="false">S33+(S33*10%)</f>
        <v>21560</v>
      </c>
      <c r="U33" s="101" t="n">
        <f aca="false">T33/6400</f>
        <v>3.36875</v>
      </c>
      <c r="V33" s="101" t="n">
        <f aca="false">ROUNDUP(U33,0)</f>
        <v>4</v>
      </c>
      <c r="W33" s="102" t="n">
        <f aca="false">V33*7.2</f>
        <v>28.8</v>
      </c>
      <c r="X33" s="23"/>
      <c r="AB33" s="97" t="s">
        <v>125</v>
      </c>
      <c r="AC33" s="97" t="n">
        <v>1017</v>
      </c>
      <c r="AD33" s="97" t="n">
        <f aca="false">(AE5*2)+(AE6*2)+(AE7*2)+(AE8*2)+(AE9*2)+(AE10*2)+(AE11*2)+(AE12*2)+(AE13*2)+(AE14*2)+(AE15*2)+(AE16*2)+(AE17*2)+(AE18*2)+(AE19*2)+(AE20*2)+(AE21*2)+(AE22*2)+(AE23*2)+(AE24*2)</f>
        <v>12000</v>
      </c>
      <c r="AE33" s="100" t="n">
        <f aca="false">AD33+(AD33*10%)</f>
        <v>13200</v>
      </c>
      <c r="AF33" s="101" t="n">
        <f aca="false">AD33/6400</f>
        <v>1.875</v>
      </c>
      <c r="AG33" s="101" t="n">
        <f aca="false">ROUNDUP(AF33,0)</f>
        <v>2</v>
      </c>
      <c r="AH33" s="102" t="n">
        <f aca="false">AG33*7.2</f>
        <v>14.4</v>
      </c>
      <c r="AI33" s="23"/>
    </row>
    <row r="34" customFormat="false" ht="17.35" hidden="false" customHeight="false" outlineLevel="0" collapsed="false">
      <c r="B34" s="9" t="s">
        <v>35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104" t="s">
        <v>127</v>
      </c>
      <c r="Q34" s="104"/>
      <c r="U34" s="101"/>
      <c r="V34" s="23"/>
      <c r="AA34" s="97" t="s">
        <v>128</v>
      </c>
      <c r="AB34" s="97" t="n">
        <v>1019</v>
      </c>
      <c r="AC34" s="97" t="n">
        <f aca="false">(AD5*1)+(AD6*1)+(AD7*1)+(AD8*1)+(AD9*1)+(AD10*1)+(AD11*1)+(AD12*1)+(AD13*1)+(AD14*1)+(AD15*1)+(AD16*1)+(AD17*1)+(AD18*1)+(AD19*1)+(AD20*1)+(AD21*1)+(AD22*1)+(AD23*1)+(AD24*1)+(AE5*2)+(AE6*2)+(AE7*2)+(AE8*2)+(AE9*2)+(AE10*2)+(AE11*2)+(AE12*2)+(AE13*2)+(AE14*2)+(AE15*2)+(AE16*2)+(AE17*2)+(AE18*2)+(AE19*2)+(AE20*2)+(AE21*2)+(AE22*2)+(AE23*2)+(AE24*2)</f>
        <v>19600</v>
      </c>
      <c r="AD34" s="100" t="n">
        <f aca="false">AC34+(AC34*10%)</f>
        <v>21560</v>
      </c>
      <c r="AE34" s="101" t="n">
        <f aca="false">AC34/6400</f>
        <v>3.0625</v>
      </c>
      <c r="AF34" s="101" t="n">
        <f aca="false">ROUNDUP(AE34,0)</f>
        <v>4</v>
      </c>
      <c r="AG34" s="102" t="n">
        <f aca="false">AF34*7.2</f>
        <v>28.8</v>
      </c>
    </row>
    <row r="35" customFormat="false" ht="17.35" hidden="false" customHeight="false" outlineLevel="0" collapsed="false">
      <c r="A35" s="4"/>
      <c r="B35" s="9" t="s">
        <v>5</v>
      </c>
      <c r="C35" s="42" t="s">
        <v>21</v>
      </c>
      <c r="D35" s="42" t="s">
        <v>22</v>
      </c>
      <c r="E35" s="42" t="s">
        <v>23</v>
      </c>
      <c r="F35" s="42" t="s">
        <v>36</v>
      </c>
      <c r="G35" s="42" t="s">
        <v>25</v>
      </c>
      <c r="H35" s="42" t="s">
        <v>26</v>
      </c>
      <c r="I35" s="42" t="s">
        <v>37</v>
      </c>
      <c r="J35" s="42" t="s">
        <v>28</v>
      </c>
      <c r="K35" s="9" t="s">
        <v>38</v>
      </c>
      <c r="L35" s="9"/>
      <c r="M35" s="9"/>
      <c r="N35" s="12"/>
      <c r="O35" s="25"/>
      <c r="P35" s="105" t="s">
        <v>129</v>
      </c>
      <c r="Q35" s="97" t="n">
        <v>7007</v>
      </c>
      <c r="R35" s="97" t="n">
        <f aca="false">(T5*2)+(T6*2)+(T7*2)+(T8*2)+(T9*2)+(T10*2)+(T11*2)+(T12*2)+(T13*2)+(T14*2)+(T15*2)+(T16*2)+(T17*2)+(T18*2)+(T19*2)+(T20*2)+(T21*2)+(T22*2)+(T23*2)+(T24*2)+(300*8)</f>
        <v>17600</v>
      </c>
      <c r="S35" s="100" t="n">
        <f aca="false">R35+(R35*10%)</f>
        <v>19360</v>
      </c>
      <c r="T35" s="101" t="n">
        <f aca="false">S35/6400</f>
        <v>3.025</v>
      </c>
      <c r="U35" s="101" t="n">
        <f aca="false">ROUNDUP(T35,0)</f>
        <v>4</v>
      </c>
      <c r="V35" s="102" t="n">
        <f aca="false">U35*7.2</f>
        <v>28.8</v>
      </c>
      <c r="AA35" s="106" t="s">
        <v>127</v>
      </c>
      <c r="AB35" s="106"/>
      <c r="AF35" s="101"/>
      <c r="AG35" s="23"/>
    </row>
    <row r="36" customFormat="false" ht="17.35" hidden="false" customHeight="false" outlineLevel="0" collapsed="false">
      <c r="A36" s="27"/>
      <c r="B36" s="13" t="n">
        <v>1</v>
      </c>
      <c r="C36" s="13" t="n">
        <v>5035</v>
      </c>
      <c r="D36" s="13" t="s">
        <v>151</v>
      </c>
      <c r="E36" s="15" t="n">
        <f aca="false">+H25*2+300*2*G25</f>
        <v>115200</v>
      </c>
      <c r="F36" s="15" t="n">
        <f aca="false">E36+(E36*10%)</f>
        <v>126720</v>
      </c>
      <c r="G36" s="43" t="n">
        <f aca="false">F36/6400</f>
        <v>19.8</v>
      </c>
      <c r="H36" s="43" t="n">
        <f aca="false">ROUNDUP(G36,0)</f>
        <v>20</v>
      </c>
      <c r="I36" s="44" t="n">
        <v>4.9</v>
      </c>
      <c r="J36" s="44" t="n">
        <f aca="false">+G36*I36</f>
        <v>97.02</v>
      </c>
      <c r="K36" s="13" t="s">
        <v>40</v>
      </c>
      <c r="L36" s="13"/>
      <c r="M36" s="13"/>
      <c r="N36" s="22"/>
      <c r="P36" s="25"/>
      <c r="Q36" s="105" t="s">
        <v>129</v>
      </c>
      <c r="R36" s="97" t="n">
        <v>1544</v>
      </c>
      <c r="S36" s="97" t="n">
        <f aca="false">300*8</f>
        <v>2400</v>
      </c>
      <c r="T36" s="100" t="n">
        <f aca="false">S36+(S36*10%)</f>
        <v>2640</v>
      </c>
      <c r="U36" s="101" t="n">
        <f aca="false">T36/6400</f>
        <v>0.4125</v>
      </c>
      <c r="V36" s="101" t="n">
        <f aca="false">ROUNDUP(U36,0)</f>
        <v>1</v>
      </c>
      <c r="W36" s="102" t="n">
        <f aca="false">V36*7.2</f>
        <v>7.2</v>
      </c>
      <c r="AA36" s="97" t="s">
        <v>120</v>
      </c>
      <c r="AB36" s="105" t="s">
        <v>129</v>
      </c>
      <c r="AC36" s="97" t="n">
        <v>1021</v>
      </c>
      <c r="AD36" s="97" t="n">
        <f aca="false">300*8</f>
        <v>2400</v>
      </c>
      <c r="AE36" s="100" t="n">
        <f aca="false">AD36+(AD36*10%)</f>
        <v>2640</v>
      </c>
      <c r="AF36" s="101" t="n">
        <f aca="false">AD36/6400</f>
        <v>0.375</v>
      </c>
      <c r="AG36" s="101" t="n">
        <f aca="false">ROUNDUP(AF36,0)</f>
        <v>1</v>
      </c>
      <c r="AH36" s="102" t="n">
        <f aca="false">AG36*7.2</f>
        <v>7.2</v>
      </c>
    </row>
    <row r="37" customFormat="false" ht="17.35" hidden="false" customHeight="false" outlineLevel="0" collapsed="false">
      <c r="A37" s="27"/>
      <c r="B37" s="13" t="n">
        <v>2</v>
      </c>
      <c r="C37" s="13" t="n">
        <v>5001</v>
      </c>
      <c r="D37" s="13" t="s">
        <v>152</v>
      </c>
      <c r="E37" s="15" t="n">
        <f aca="false">300*G25</f>
        <v>4500</v>
      </c>
      <c r="F37" s="15" t="n">
        <f aca="false">E37+(E37*10%)</f>
        <v>4950</v>
      </c>
      <c r="G37" s="43" t="n">
        <f aca="false">F37/6400</f>
        <v>0.7734375</v>
      </c>
      <c r="H37" s="43" t="n">
        <f aca="false">ROUNDUP(G37,0)</f>
        <v>1</v>
      </c>
      <c r="I37" s="44" t="n">
        <v>5.5</v>
      </c>
      <c r="J37" s="44" t="n">
        <f aca="false">+G37*I37</f>
        <v>4.25390625</v>
      </c>
      <c r="K37" s="13" t="s">
        <v>42</v>
      </c>
      <c r="L37" s="13"/>
      <c r="M37" s="13"/>
      <c r="N37" s="22"/>
      <c r="Q37" s="105" t="s">
        <v>130</v>
      </c>
      <c r="R37" s="97" t="n">
        <v>6515</v>
      </c>
      <c r="S37" s="97" t="n">
        <f aca="false">(T24*5)+(T5*5)+(T6*5)+(T7*5)+(T8*5)+(T9*5)+(T10*5)+(T11*5)+(T12*5)+(T13*5)+(T14*5)+(T15*5)+(T16*5)+(T17*5)+(T18*5)+(T19*5)+(T20*5)+(T21*5)+(T22*5)+(T23*5)</f>
        <v>38000</v>
      </c>
      <c r="T37" s="100" t="n">
        <f aca="false">S37+(S37*10%)</f>
        <v>41800</v>
      </c>
      <c r="U37" s="101" t="n">
        <f aca="false">T37/6400</f>
        <v>6.53125</v>
      </c>
      <c r="V37" s="101" t="n">
        <f aca="false">ROUNDUP(U37,0)</f>
        <v>7</v>
      </c>
      <c r="W37" s="102" t="n">
        <f aca="false">V37*7.2</f>
        <v>50.4</v>
      </c>
      <c r="AA37" s="97" t="s">
        <v>131</v>
      </c>
      <c r="AB37" s="105" t="s">
        <v>132</v>
      </c>
      <c r="AC37" s="97" t="n">
        <v>1027</v>
      </c>
      <c r="AD37" s="97" t="n">
        <f aca="false">(AD5*1)+(AD6*1)+(AD7*1)+(AD8*1)+(AD9*1)+(AD10*1)+(AD11*1)+(AD12*1)+(AD13*1)+(AD14*1)+(AD15*1)+(AD16*1)+(AD17*1)+(AD18*1)+(AD19*1)+(AD20*1)+(AD21*1)+(AD22*1)+(AD23*1)+(AD24*1)</f>
        <v>7600</v>
      </c>
      <c r="AE37" s="100" t="n">
        <f aca="false">AD37+(AD37*10%)</f>
        <v>8360</v>
      </c>
      <c r="AF37" s="101" t="n">
        <f aca="false">AD37/6400</f>
        <v>1.1875</v>
      </c>
      <c r="AG37" s="101" t="n">
        <f aca="false">ROUNDUP(AF37,0)</f>
        <v>2</v>
      </c>
      <c r="AH37" s="102" t="n">
        <f aca="false">AG37*7.2</f>
        <v>14.4</v>
      </c>
    </row>
    <row r="38" customFormat="false" ht="17.35" hidden="false" customHeight="false" outlineLevel="0" collapsed="false">
      <c r="A38" s="27"/>
      <c r="B38" s="13" t="n">
        <v>3</v>
      </c>
      <c r="C38" s="13"/>
      <c r="D38" s="13"/>
      <c r="E38" s="15"/>
      <c r="F38" s="15"/>
      <c r="G38" s="43"/>
      <c r="H38" s="43"/>
      <c r="I38" s="44"/>
      <c r="J38" s="44"/>
      <c r="K38" s="13" t="s">
        <v>44</v>
      </c>
      <c r="L38" s="13"/>
      <c r="M38" s="13"/>
      <c r="N38" s="22"/>
      <c r="Q38" s="105" t="s">
        <v>133</v>
      </c>
      <c r="R38" s="97" t="n">
        <v>3035</v>
      </c>
      <c r="S38" s="97" t="n">
        <f aca="false">(T24*2)+(T5*2)+(T6*2)+(T7*2)+(T8*2)+(T9*2)+(T10*2)+(T11*2)+(T12*2)+(T13*2)+(T14*2)+(T15*2)+(T16*2)+(T17*2)+(T18*2)+(T19*2)+(T20*2)+(T21*2)+(T22*2)+(T23*2)+(300*16)</f>
        <v>20000</v>
      </c>
      <c r="T38" s="100" t="n">
        <f aca="false">S38+(S38*10%)</f>
        <v>22000</v>
      </c>
      <c r="U38" s="101" t="n">
        <f aca="false">T38/6400</f>
        <v>3.4375</v>
      </c>
      <c r="V38" s="101" t="n">
        <f aca="false">ROUNDUP(U38,0)</f>
        <v>4</v>
      </c>
      <c r="W38" s="102" t="n">
        <f aca="false">V38*7.2</f>
        <v>28.8</v>
      </c>
      <c r="AA38" s="97" t="s">
        <v>134</v>
      </c>
      <c r="AB38" s="105" t="s">
        <v>132</v>
      </c>
      <c r="AC38" s="97" t="n">
        <v>1029</v>
      </c>
      <c r="AD38" s="97" t="n">
        <f aca="false">300*4</f>
        <v>1200</v>
      </c>
      <c r="AE38" s="100" t="n">
        <f aca="false">AD38+(AD38*10%)</f>
        <v>1320</v>
      </c>
      <c r="AF38" s="101" t="n">
        <f aca="false">AD38/6400</f>
        <v>0.1875</v>
      </c>
      <c r="AG38" s="101" t="n">
        <f aca="false">ROUNDUP(AF38,0)</f>
        <v>1</v>
      </c>
      <c r="AH38" s="102" t="n">
        <f aca="false">AG38*7.2</f>
        <v>7.2</v>
      </c>
    </row>
    <row r="39" customFormat="false" ht="17.35" hidden="false" customHeight="false" outlineLevel="0" collapsed="false">
      <c r="A39" s="27"/>
      <c r="B39" s="13" t="n">
        <v>4</v>
      </c>
      <c r="C39" s="13"/>
      <c r="D39" s="13"/>
      <c r="E39" s="15"/>
      <c r="F39" s="15"/>
      <c r="G39" s="43"/>
      <c r="H39" s="43"/>
      <c r="I39" s="44"/>
      <c r="J39" s="44"/>
      <c r="K39" s="13" t="s">
        <v>46</v>
      </c>
      <c r="L39" s="13"/>
      <c r="M39" s="13"/>
      <c r="N39" s="22"/>
      <c r="Q39" s="25"/>
      <c r="U39" s="107" t="n">
        <f aca="false">SUM(R27:R38)</f>
        <v>30719</v>
      </c>
      <c r="V39" s="107"/>
      <c r="W39" s="108" t="n">
        <f aca="false">SUM(T27:T38)</f>
        <v>105648.025</v>
      </c>
      <c r="AB39" s="105" t="s">
        <v>133</v>
      </c>
      <c r="AC39" s="97" t="n">
        <v>3035</v>
      </c>
      <c r="AD39" s="97" t="n">
        <f aca="false">(AD24*2)+(AD5*2)+(AD6*2)+(AD7*2)+(AD8*2)+(AD9*2)+(AD10*2)+(AD11*2)+(AD12*2)+(AD13*2)+(AD14*2)+(AD15*2)+(AD16*2)+(AD17*2)+(AD18*2)+(AD19*2)+(AD20*2)+(AD21*2)+(AD22*2)+(AD23*2)+(300*16)</f>
        <v>20000</v>
      </c>
      <c r="AE39" s="100" t="n">
        <f aca="false">AD39+(AD39*10%)</f>
        <v>22000</v>
      </c>
      <c r="AF39" s="101" t="n">
        <f aca="false">AD39/6400</f>
        <v>3.125</v>
      </c>
      <c r="AG39" s="101" t="n">
        <f aca="false">ROUNDUP(AF39,0)</f>
        <v>4</v>
      </c>
      <c r="AH39" s="102" t="n">
        <f aca="false">AG39*7.2</f>
        <v>28.8</v>
      </c>
    </row>
    <row r="40" customFormat="false" ht="17.35" hidden="false" customHeight="false" outlineLevel="0" collapsed="false">
      <c r="A40" s="27"/>
      <c r="B40" s="13"/>
      <c r="C40" s="13"/>
      <c r="D40" s="13"/>
      <c r="E40" s="15"/>
      <c r="F40" s="15"/>
      <c r="G40" s="43"/>
      <c r="H40" s="43"/>
      <c r="I40" s="44"/>
      <c r="J40" s="44"/>
      <c r="K40" s="13"/>
      <c r="L40" s="13"/>
      <c r="M40" s="13"/>
      <c r="N40" s="22"/>
      <c r="AA40" s="105" t="s">
        <v>132</v>
      </c>
      <c r="AB40" s="97" t="n">
        <v>1544</v>
      </c>
      <c r="AC40" s="97" t="n">
        <f aca="false">300*4</f>
        <v>1200</v>
      </c>
      <c r="AD40" s="100" t="n">
        <f aca="false">AC40+(AC40*10%)</f>
        <v>1320</v>
      </c>
      <c r="AE40" s="101" t="n">
        <f aca="false">AD40/6400</f>
        <v>0.20625</v>
      </c>
      <c r="AF40" s="101" t="n">
        <f aca="false">AD40/6400</f>
        <v>0.20625</v>
      </c>
      <c r="AG40" s="101" t="n">
        <f aca="false">ROUNDUP(AF40,0)</f>
        <v>1</v>
      </c>
      <c r="AH40" s="102" t="n">
        <f aca="false">AG40*7.2</f>
        <v>7.2</v>
      </c>
    </row>
    <row r="41" customFormat="false" ht="17.35" hidden="false" customHeight="false" outlineLevel="0" collapsed="false">
      <c r="B41" s="53"/>
      <c r="C41" s="34" t="s">
        <v>19</v>
      </c>
      <c r="D41" s="32" t="n">
        <f aca="false">SUM(E36:E40)</f>
        <v>119700</v>
      </c>
      <c r="E41" s="32" t="n">
        <f aca="false">SUM(F36:F40)</f>
        <v>131670</v>
      </c>
      <c r="F41" s="54" t="n">
        <f aca="false">E41/6400</f>
        <v>20.5734375</v>
      </c>
      <c r="G41" s="55" t="n">
        <f aca="false">SUM(G29:G40)</f>
        <v>102.0421875</v>
      </c>
      <c r="H41" s="56" t="n">
        <f aca="false">SUM(H29:H32,H36:H40)</f>
        <v>104</v>
      </c>
      <c r="I41" s="56" t="n">
        <f aca="false">SUM(I29:I32,I36:I40)</f>
        <v>22.6</v>
      </c>
      <c r="J41" s="56" t="n">
        <f aca="false">SUM(J29:J32,J36:J40)</f>
        <v>469.69828125</v>
      </c>
      <c r="K41" s="53"/>
      <c r="L41" s="53"/>
      <c r="M41" s="53"/>
      <c r="N41" s="23"/>
      <c r="Q41" s="95" t="s">
        <v>135</v>
      </c>
      <c r="R41" s="95"/>
      <c r="S41" s="95"/>
      <c r="T41" s="109" t="n">
        <f aca="false">W39*3.7</f>
        <v>390897.6925</v>
      </c>
      <c r="Y41" s="105" t="s">
        <v>133</v>
      </c>
      <c r="Z41" s="97" t="n">
        <v>6515</v>
      </c>
      <c r="AA41" s="97" t="n">
        <f aca="false">(AD9*5)+(AD10*5)+(AD11*5)+(AD12*5)+(AD13*5)+(AD14*5)+(AD15*5)+(AD16*5)+(AD17*5)+(AD18*5)+(AD19*5)+(AD20*5)+(AD21*5)+(AD22*5)+(AD23*5)+(AD24*5)+(AD5*5)+(AD6*5)+(AD7*5)+(AD8*5)</f>
        <v>38000</v>
      </c>
      <c r="AB41" s="100" t="n">
        <f aca="false">AA41+(AA41*10%)</f>
        <v>41800</v>
      </c>
      <c r="AC41" s="101" t="n">
        <f aca="false">AB41/6400</f>
        <v>6.53125</v>
      </c>
      <c r="AD41" s="101" t="n">
        <f aca="false">AB41/6400</f>
        <v>6.53125</v>
      </c>
      <c r="AE41" s="101" t="n">
        <f aca="false">ROUNDUP(AD41,0)</f>
        <v>7</v>
      </c>
      <c r="AF41" s="102" t="n">
        <f aca="false">AE41*7.2</f>
        <v>50.4</v>
      </c>
    </row>
    <row r="42" customFormat="false" ht="17.35" hidden="false" customHeight="false" outlineLevel="0" collapsed="false">
      <c r="H42" s="11"/>
      <c r="AB42" s="108" t="n">
        <f aca="false">SUM(AC27:AC41)</f>
        <v>27935.53125</v>
      </c>
      <c r="AD42" s="101"/>
      <c r="AE42" s="110" t="n">
        <f aca="false">SUM(AE27:AE41)</f>
        <v>60171.26875</v>
      </c>
    </row>
    <row r="44" customFormat="false" ht="17.35" hidden="false" customHeight="false" outlineLevel="0" collapsed="false">
      <c r="B44" s="42" t="s">
        <v>50</v>
      </c>
      <c r="C44" s="42"/>
      <c r="D44" s="42"/>
      <c r="E44" s="42"/>
      <c r="F44" s="42"/>
      <c r="G44" s="42"/>
      <c r="H44" s="42"/>
    </row>
    <row r="45" customFormat="false" ht="17.35" hidden="false" customHeight="false" outlineLevel="0" collapsed="false">
      <c r="B45" s="9" t="s">
        <v>5</v>
      </c>
      <c r="C45" s="9" t="s">
        <v>22</v>
      </c>
      <c r="D45" s="9" t="s">
        <v>51</v>
      </c>
      <c r="E45" s="9" t="s">
        <v>52</v>
      </c>
      <c r="F45" s="9" t="s">
        <v>53</v>
      </c>
      <c r="G45" s="9" t="s">
        <v>54</v>
      </c>
      <c r="H45" s="9" t="s">
        <v>55</v>
      </c>
      <c r="AB45" s="95" t="s">
        <v>135</v>
      </c>
      <c r="AC45" s="111"/>
      <c r="AD45" s="111"/>
      <c r="AE45" s="112" t="n">
        <f aca="false">AE42*3.7</f>
        <v>222633.694375</v>
      </c>
    </row>
    <row r="46" customFormat="false" ht="17.35" hidden="false" customHeight="false" outlineLevel="0" collapsed="false">
      <c r="B46" s="13" t="n">
        <v>1</v>
      </c>
      <c r="C46" s="13" t="s">
        <v>56</v>
      </c>
      <c r="D46" s="58" t="s">
        <v>57</v>
      </c>
      <c r="E46" s="13" t="n">
        <v>2</v>
      </c>
      <c r="F46" s="13" t="n">
        <f aca="false">+E46*$G$25</f>
        <v>30</v>
      </c>
      <c r="G46" s="15" t="n">
        <v>4000</v>
      </c>
      <c r="H46" s="15" t="n">
        <f aca="false">+F46*G46</f>
        <v>120000</v>
      </c>
    </row>
    <row r="47" customFormat="false" ht="17.35" hidden="false" customHeight="false" outlineLevel="0" collapsed="false">
      <c r="B47" s="13" t="n">
        <v>2</v>
      </c>
      <c r="C47" s="13" t="s">
        <v>58</v>
      </c>
      <c r="D47" s="58" t="s">
        <v>57</v>
      </c>
      <c r="E47" s="13" t="n">
        <v>1</v>
      </c>
      <c r="F47" s="13" t="n">
        <f aca="false">+E47*$G$25</f>
        <v>15</v>
      </c>
      <c r="G47" s="15" t="n">
        <v>10000</v>
      </c>
      <c r="H47" s="15" t="n">
        <f aca="false">+F47*G47</f>
        <v>150000</v>
      </c>
    </row>
    <row r="48" customFormat="false" ht="17.35" hidden="false" customHeight="false" outlineLevel="0" collapsed="false">
      <c r="B48" s="13" t="n">
        <v>3</v>
      </c>
      <c r="C48" s="13" t="s">
        <v>59</v>
      </c>
      <c r="D48" s="58" t="s">
        <v>57</v>
      </c>
      <c r="E48" s="13" t="n">
        <v>8</v>
      </c>
      <c r="F48" s="13" t="n">
        <f aca="false">+E48*$G$25</f>
        <v>120</v>
      </c>
      <c r="G48" s="15" t="n">
        <v>3500</v>
      </c>
      <c r="H48" s="15" t="n">
        <f aca="false">+F48*G48</f>
        <v>420000</v>
      </c>
    </row>
    <row r="49" customFormat="false" ht="17.35" hidden="false" customHeight="false" outlineLevel="0" collapsed="false">
      <c r="B49" s="13" t="n">
        <v>4</v>
      </c>
      <c r="C49" s="13" t="s">
        <v>60</v>
      </c>
      <c r="D49" s="58" t="s">
        <v>57</v>
      </c>
      <c r="E49" s="13" t="n">
        <v>16</v>
      </c>
      <c r="F49" s="13" t="n">
        <f aca="false">+E49*$G$25</f>
        <v>240</v>
      </c>
      <c r="G49" s="15" t="n">
        <v>400</v>
      </c>
      <c r="H49" s="15" t="n">
        <f aca="false">+F49*G49</f>
        <v>96000</v>
      </c>
    </row>
    <row r="50" customFormat="false" ht="17.35" hidden="false" customHeight="false" outlineLevel="0" collapsed="false">
      <c r="B50" s="13" t="n">
        <v>5</v>
      </c>
      <c r="C50" s="13" t="s">
        <v>61</v>
      </c>
      <c r="D50" s="58" t="s">
        <v>62</v>
      </c>
      <c r="E50" s="13" t="s">
        <v>153</v>
      </c>
      <c r="F50" s="16" t="n">
        <f aca="false">+(H25*3+J25*8)/1000</f>
        <v>420.9</v>
      </c>
      <c r="G50" s="15" t="n">
        <v>335</v>
      </c>
      <c r="H50" s="15" t="n">
        <f aca="false">+F50*G50</f>
        <v>141001.5</v>
      </c>
    </row>
    <row r="51" customFormat="false" ht="63" hidden="false" customHeight="true" outlineLevel="0" collapsed="false">
      <c r="B51" s="46" t="n">
        <v>6</v>
      </c>
      <c r="C51" s="58" t="s">
        <v>64</v>
      </c>
      <c r="D51" s="58" t="s">
        <v>62</v>
      </c>
      <c r="E51" s="59" t="s">
        <v>154</v>
      </c>
      <c r="F51" s="60" t="n">
        <f aca="false">+(H25*6+I25*16)/1000</f>
        <v>913.8</v>
      </c>
      <c r="G51" s="61" t="n">
        <v>930</v>
      </c>
      <c r="H51" s="48" t="n">
        <f aca="false">+F51*G51</f>
        <v>849834</v>
      </c>
    </row>
    <row r="52" customFormat="false" ht="17.35" hidden="false" customHeight="false" outlineLevel="0" collapsed="false">
      <c r="B52" s="13" t="n">
        <v>7</v>
      </c>
      <c r="C52" s="13" t="s">
        <v>66</v>
      </c>
      <c r="D52" s="58" t="s">
        <v>57</v>
      </c>
      <c r="E52" s="13" t="n">
        <v>12</v>
      </c>
      <c r="F52" s="13" t="n">
        <f aca="false">+E52*$G$25</f>
        <v>180</v>
      </c>
      <c r="G52" s="15" t="n">
        <v>180</v>
      </c>
      <c r="H52" s="15" t="n">
        <f aca="false">+F52*G52</f>
        <v>32400</v>
      </c>
      <c r="M52" s="3" t="n">
        <v>0.9</v>
      </c>
      <c r="N52" s="3" t="n">
        <v>0.85</v>
      </c>
      <c r="O52" s="3" t="n">
        <f aca="false">+M52*N52</f>
        <v>0.765</v>
      </c>
    </row>
    <row r="53" customFormat="false" ht="17.35" hidden="false" customHeight="false" outlineLevel="0" collapsed="false">
      <c r="B53" s="13" t="n">
        <v>8</v>
      </c>
      <c r="C53" s="13" t="s">
        <v>67</v>
      </c>
      <c r="D53" s="58" t="s">
        <v>57</v>
      </c>
      <c r="E53" s="13" t="n">
        <v>12</v>
      </c>
      <c r="F53" s="13" t="n">
        <f aca="false">+E53*$G$25</f>
        <v>180</v>
      </c>
      <c r="G53" s="15" t="n">
        <v>60</v>
      </c>
      <c r="H53" s="15" t="n">
        <f aca="false">+F53*G53</f>
        <v>10800</v>
      </c>
      <c r="M53" s="3" t="n">
        <v>1.1</v>
      </c>
      <c r="N53" s="3" t="n">
        <v>2.4</v>
      </c>
      <c r="O53" s="3" t="n">
        <f aca="false">+M53*N53</f>
        <v>2.64</v>
      </c>
    </row>
    <row r="54" customFormat="false" ht="17.35" hidden="false" customHeight="false" outlineLevel="0" collapsed="false">
      <c r="B54" s="13" t="n">
        <v>9</v>
      </c>
      <c r="C54" s="13" t="s">
        <v>68</v>
      </c>
      <c r="D54" s="58" t="s">
        <v>57</v>
      </c>
      <c r="E54" s="13" t="n">
        <v>2</v>
      </c>
      <c r="F54" s="13" t="n">
        <f aca="false">+E54*$G$25</f>
        <v>30</v>
      </c>
      <c r="G54" s="15" t="n">
        <v>10000</v>
      </c>
      <c r="H54" s="15" t="n">
        <f aca="false">+F54*G54</f>
        <v>300000</v>
      </c>
      <c r="M54" s="3" t="n">
        <v>1.1</v>
      </c>
      <c r="N54" s="3" t="n">
        <v>1.85</v>
      </c>
      <c r="O54" s="3" t="n">
        <f aca="false">+M54*N54</f>
        <v>2.035</v>
      </c>
    </row>
    <row r="55" customFormat="false" ht="29.85" hidden="false" customHeight="false" outlineLevel="0" collapsed="false">
      <c r="B55" s="46" t="n">
        <v>10</v>
      </c>
      <c r="C55" s="46" t="s">
        <v>70</v>
      </c>
      <c r="D55" s="58" t="s">
        <v>14</v>
      </c>
      <c r="E55" s="47" t="s">
        <v>71</v>
      </c>
      <c r="F55" s="62" t="n">
        <f aca="false">M25</f>
        <v>114.39</v>
      </c>
      <c r="G55" s="48" t="n">
        <f aca="false">55500</f>
        <v>55500</v>
      </c>
      <c r="H55" s="48" t="n">
        <f aca="false">+F55*G55</f>
        <v>6348645</v>
      </c>
      <c r="M55" s="3" t="n">
        <v>1.5</v>
      </c>
      <c r="N55" s="3" t="n">
        <v>2.4</v>
      </c>
      <c r="O55" s="3" t="n">
        <f aca="false">+M55*N55</f>
        <v>3.6</v>
      </c>
    </row>
    <row r="56" customFormat="false" ht="17.35" hidden="false" customHeight="false" outlineLevel="0" collapsed="false">
      <c r="B56" s="13"/>
      <c r="C56" s="13"/>
      <c r="D56" s="58"/>
      <c r="E56" s="117"/>
      <c r="F56" s="13"/>
      <c r="G56" s="63"/>
      <c r="H56" s="15"/>
      <c r="O56" s="3" t="n">
        <f aca="false">SUM(O52:O55)</f>
        <v>9.04</v>
      </c>
      <c r="P56" s="3" t="n">
        <v>110</v>
      </c>
      <c r="Q56" s="3" t="n">
        <f aca="false">+O56*P56</f>
        <v>994.4</v>
      </c>
    </row>
    <row r="57" customFormat="false" ht="19.7" hidden="false" customHeight="false" outlineLevel="0" collapsed="false">
      <c r="G57" s="64" t="s">
        <v>19</v>
      </c>
      <c r="H57" s="65" t="n">
        <f aca="false">SUM(H46:H56)</f>
        <v>8468680.5</v>
      </c>
    </row>
    <row r="59" customFormat="false" ht="17.35" hidden="false" customHeight="false" outlineLevel="0" collapsed="false">
      <c r="B59" s="42" t="s">
        <v>73</v>
      </c>
      <c r="C59" s="42"/>
      <c r="D59" s="42"/>
      <c r="E59" s="42"/>
      <c r="F59" s="42"/>
      <c r="G59" s="42"/>
      <c r="H59" s="42"/>
    </row>
    <row r="60" customFormat="false" ht="17.35" hidden="false" customHeight="false" outlineLevel="0" collapsed="false">
      <c r="B60" s="9" t="s">
        <v>5</v>
      </c>
      <c r="C60" s="9" t="s">
        <v>22</v>
      </c>
      <c r="D60" s="9" t="s">
        <v>51</v>
      </c>
      <c r="E60" s="9" t="s">
        <v>74</v>
      </c>
      <c r="F60" s="9" t="s">
        <v>75</v>
      </c>
      <c r="G60" s="9" t="s">
        <v>54</v>
      </c>
      <c r="H60" s="9" t="s">
        <v>55</v>
      </c>
    </row>
    <row r="61" customFormat="false" ht="17.35" hidden="false" customHeight="false" outlineLevel="0" collapsed="false">
      <c r="B61" s="46" t="n">
        <v>52</v>
      </c>
      <c r="C61" s="46" t="s">
        <v>56</v>
      </c>
      <c r="D61" s="58" t="s">
        <v>57</v>
      </c>
      <c r="E61" s="46" t="n">
        <v>4</v>
      </c>
      <c r="F61" s="46" t="n">
        <f aca="false">+E61*$G$25</f>
        <v>60</v>
      </c>
      <c r="G61" s="48" t="n">
        <v>4000</v>
      </c>
      <c r="H61" s="48" t="n">
        <f aca="false">+F61*G61</f>
        <v>240000</v>
      </c>
    </row>
    <row r="62" customFormat="false" ht="17.35" hidden="false" customHeight="false" outlineLevel="0" collapsed="false">
      <c r="B62" s="46" t="n">
        <v>36</v>
      </c>
      <c r="C62" s="46" t="s">
        <v>58</v>
      </c>
      <c r="D62" s="58" t="s">
        <v>57</v>
      </c>
      <c r="E62" s="46" t="n">
        <v>2</v>
      </c>
      <c r="F62" s="46" t="n">
        <f aca="false">+E62*$G$25</f>
        <v>30</v>
      </c>
      <c r="G62" s="48" t="n">
        <v>10000</v>
      </c>
      <c r="H62" s="48" t="n">
        <f aca="false">+F62*G62</f>
        <v>300000</v>
      </c>
    </row>
    <row r="63" customFormat="false" ht="17.35" hidden="false" customHeight="false" outlineLevel="0" collapsed="false">
      <c r="B63" s="46" t="n">
        <v>49</v>
      </c>
      <c r="C63" s="46" t="s">
        <v>59</v>
      </c>
      <c r="D63" s="58" t="s">
        <v>57</v>
      </c>
      <c r="E63" s="46" t="n">
        <v>8</v>
      </c>
      <c r="F63" s="46" t="n">
        <f aca="false">+E63*$G$25</f>
        <v>120</v>
      </c>
      <c r="G63" s="48" t="n">
        <v>3500</v>
      </c>
      <c r="H63" s="48" t="n">
        <f aca="false">+F63*G63</f>
        <v>420000</v>
      </c>
    </row>
    <row r="64" customFormat="false" ht="17.35" hidden="false" customHeight="false" outlineLevel="0" collapsed="false">
      <c r="B64" s="46" t="n">
        <v>48</v>
      </c>
      <c r="C64" s="46" t="s">
        <v>60</v>
      </c>
      <c r="D64" s="58" t="s">
        <v>57</v>
      </c>
      <c r="E64" s="46" t="n">
        <v>16</v>
      </c>
      <c r="F64" s="46" t="n">
        <f aca="false">+E64*$G$25</f>
        <v>240</v>
      </c>
      <c r="G64" s="48" t="n">
        <v>400</v>
      </c>
      <c r="H64" s="48" t="n">
        <f aca="false">+F64*G64</f>
        <v>96000</v>
      </c>
    </row>
    <row r="65" customFormat="false" ht="17.35" hidden="false" customHeight="false" outlineLevel="0" collapsed="false">
      <c r="B65" s="46" t="n">
        <v>2</v>
      </c>
      <c r="C65" s="46" t="s">
        <v>61</v>
      </c>
      <c r="D65" s="58" t="s">
        <v>62</v>
      </c>
      <c r="E65" s="46" t="s">
        <v>153</v>
      </c>
      <c r="F65" s="60" t="n">
        <f aca="false">+(H25*3+J25*8)/1000</f>
        <v>420.9</v>
      </c>
      <c r="G65" s="48" t="n">
        <v>335</v>
      </c>
      <c r="H65" s="48" t="n">
        <f aca="false">+F65*G65</f>
        <v>141001.5</v>
      </c>
    </row>
    <row r="66" customFormat="false" ht="61" hidden="false" customHeight="true" outlineLevel="0" collapsed="false">
      <c r="B66" s="66" t="n">
        <v>45</v>
      </c>
      <c r="C66" s="58" t="s">
        <v>64</v>
      </c>
      <c r="D66" s="58" t="s">
        <v>62</v>
      </c>
      <c r="E66" s="59" t="s">
        <v>155</v>
      </c>
      <c r="F66" s="60" t="n">
        <f aca="false">+(H25*6+I25*16)/1000</f>
        <v>913.8</v>
      </c>
      <c r="G66" s="61" t="n">
        <v>930</v>
      </c>
      <c r="H66" s="48" t="n">
        <f aca="false">+F66*G66</f>
        <v>849834</v>
      </c>
    </row>
    <row r="67" customFormat="false" ht="17.35" hidden="false" customHeight="false" outlineLevel="0" collapsed="false">
      <c r="B67" s="46" t="s">
        <v>156</v>
      </c>
      <c r="C67" s="46" t="s">
        <v>66</v>
      </c>
      <c r="D67" s="58" t="s">
        <v>57</v>
      </c>
      <c r="E67" s="46" t="n">
        <v>12</v>
      </c>
      <c r="F67" s="46" t="n">
        <f aca="false">+E67*$G$25</f>
        <v>180</v>
      </c>
      <c r="G67" s="48" t="n">
        <v>180</v>
      </c>
      <c r="H67" s="48" t="n">
        <f aca="false">+F67*G67</f>
        <v>32400</v>
      </c>
    </row>
    <row r="68" customFormat="false" ht="17.35" hidden="false" customHeight="false" outlineLevel="0" collapsed="false">
      <c r="B68" s="46" t="s">
        <v>157</v>
      </c>
      <c r="C68" s="46" t="s">
        <v>67</v>
      </c>
      <c r="D68" s="58" t="s">
        <v>57</v>
      </c>
      <c r="E68" s="46" t="n">
        <v>12</v>
      </c>
      <c r="F68" s="46" t="n">
        <f aca="false">+E68*$G$25</f>
        <v>180</v>
      </c>
      <c r="G68" s="48" t="n">
        <v>60</v>
      </c>
      <c r="H68" s="48" t="n">
        <f aca="false">+F68*G68</f>
        <v>10800</v>
      </c>
    </row>
    <row r="69" customFormat="false" ht="17.35" hidden="false" customHeight="false" outlineLevel="0" collapsed="false">
      <c r="B69" s="46" t="s">
        <v>158</v>
      </c>
      <c r="C69" s="46" t="s">
        <v>68</v>
      </c>
      <c r="D69" s="58" t="s">
        <v>57</v>
      </c>
      <c r="E69" s="46" t="n">
        <v>2</v>
      </c>
      <c r="F69" s="46" t="n">
        <f aca="false">+E69*$G$25</f>
        <v>30</v>
      </c>
      <c r="G69" s="48" t="n">
        <v>10000</v>
      </c>
      <c r="H69" s="48" t="n">
        <f aca="false">+F69*G69</f>
        <v>300000</v>
      </c>
    </row>
    <row r="70" customFormat="false" ht="29.85" hidden="false" customHeight="false" outlineLevel="0" collapsed="false">
      <c r="B70" s="46" t="n">
        <v>11</v>
      </c>
      <c r="C70" s="46" t="s">
        <v>70</v>
      </c>
      <c r="D70" s="58" t="s">
        <v>14</v>
      </c>
      <c r="E70" s="47" t="s">
        <v>71</v>
      </c>
      <c r="F70" s="62" t="n">
        <f aca="false">M25</f>
        <v>114.39</v>
      </c>
      <c r="G70" s="48" t="n">
        <f aca="false">55500</f>
        <v>55500</v>
      </c>
      <c r="H70" s="48" t="n">
        <f aca="false">+F70*G70</f>
        <v>6348645</v>
      </c>
    </row>
    <row r="71" customFormat="false" ht="17.35" hidden="false" customHeight="false" outlineLevel="0" collapsed="false">
      <c r="B71" s="46"/>
      <c r="C71" s="46"/>
      <c r="D71" s="58"/>
      <c r="E71" s="118"/>
      <c r="F71" s="46"/>
      <c r="G71" s="69"/>
      <c r="H71" s="48"/>
    </row>
    <row r="72" customFormat="false" ht="19.7" hidden="false" customHeight="false" outlineLevel="0" collapsed="false">
      <c r="B72" s="72"/>
      <c r="C72" s="72"/>
      <c r="D72" s="72"/>
      <c r="E72" s="72"/>
      <c r="F72" s="72"/>
      <c r="G72" s="73" t="s">
        <v>19</v>
      </c>
      <c r="H72" s="74" t="n">
        <f aca="false">SUM(H61:H71)</f>
        <v>8738680.5</v>
      </c>
    </row>
    <row r="74" customFormat="false" ht="24.45" hidden="false" customHeight="false" outlineLevel="0" collapsed="false">
      <c r="B74" s="75" t="s">
        <v>159</v>
      </c>
      <c r="C74" s="75"/>
      <c r="D74" s="75"/>
      <c r="E74" s="76"/>
      <c r="F74" s="75" t="s">
        <v>159</v>
      </c>
      <c r="G74" s="75"/>
      <c r="H74" s="75"/>
    </row>
    <row r="75" customFormat="false" ht="37.3" hidden="false" customHeight="false" outlineLevel="0" collapsed="false">
      <c r="B75" s="77" t="s">
        <v>95</v>
      </c>
      <c r="C75" s="77" t="s">
        <v>96</v>
      </c>
      <c r="D75" s="77" t="s">
        <v>97</v>
      </c>
      <c r="F75" s="77" t="s">
        <v>95</v>
      </c>
      <c r="G75" s="77" t="s">
        <v>96</v>
      </c>
      <c r="H75" s="77" t="s">
        <v>97</v>
      </c>
    </row>
    <row r="76" customFormat="false" ht="22.05" hidden="false" customHeight="false" outlineLevel="0" collapsed="false">
      <c r="B76" s="78" t="n">
        <v>1</v>
      </c>
      <c r="C76" s="79" t="s">
        <v>98</v>
      </c>
      <c r="D76" s="80" t="n">
        <f aca="false">+J41*4</f>
        <v>1878.793125</v>
      </c>
      <c r="F76" s="78" t="n">
        <v>1</v>
      </c>
      <c r="G76" s="79" t="s">
        <v>98</v>
      </c>
      <c r="H76" s="80" t="n">
        <f aca="false">+J41*4</f>
        <v>1878.793125</v>
      </c>
    </row>
    <row r="77" customFormat="false" ht="22.05" hidden="false" customHeight="false" outlineLevel="0" collapsed="false">
      <c r="B77" s="78" t="n">
        <v>2</v>
      </c>
      <c r="C77" s="79" t="s">
        <v>99</v>
      </c>
      <c r="D77" s="80" t="n">
        <f aca="false">+H57/3650</f>
        <v>2320.18643835616</v>
      </c>
      <c r="F77" s="78" t="n">
        <v>2</v>
      </c>
      <c r="G77" s="79" t="s">
        <v>99</v>
      </c>
      <c r="H77" s="80" t="n">
        <f aca="false">+H72/3650</f>
        <v>2394.15904109589</v>
      </c>
    </row>
    <row r="78" customFormat="false" ht="22.05" hidden="false" customHeight="false" outlineLevel="0" collapsed="false">
      <c r="B78" s="78" t="n">
        <v>3</v>
      </c>
      <c r="C78" s="79" t="s">
        <v>100</v>
      </c>
      <c r="D78" s="80" t="n">
        <v>0</v>
      </c>
      <c r="F78" s="78" t="n">
        <v>3</v>
      </c>
      <c r="G78" s="79" t="s">
        <v>100</v>
      </c>
      <c r="H78" s="80" t="n">
        <v>0</v>
      </c>
    </row>
    <row r="79" customFormat="false" ht="22.05" hidden="false" customHeight="false" outlineLevel="0" collapsed="false">
      <c r="B79" s="78" t="n">
        <v>4</v>
      </c>
      <c r="C79" s="79" t="s">
        <v>101</v>
      </c>
      <c r="D79" s="80" t="n">
        <f aca="false">N25*10</f>
        <v>1303.2</v>
      </c>
      <c r="F79" s="78" t="n">
        <v>4</v>
      </c>
      <c r="G79" s="79" t="s">
        <v>101</v>
      </c>
      <c r="H79" s="80" t="n">
        <f aca="false">+N25*10</f>
        <v>1303.2</v>
      </c>
    </row>
    <row r="80" customFormat="false" ht="22.05" hidden="false" customHeight="false" outlineLevel="0" collapsed="false">
      <c r="C80" s="81" t="s">
        <v>19</v>
      </c>
      <c r="D80" s="80" t="n">
        <f aca="false">SUM(D76:D79)</f>
        <v>5502.17956335616</v>
      </c>
      <c r="G80" s="81" t="s">
        <v>19</v>
      </c>
      <c r="H80" s="80" t="n">
        <f aca="false">SUM(H76:H79)</f>
        <v>5576.15216609589</v>
      </c>
    </row>
    <row r="81" customFormat="false" ht="22.05" hidden="false" customHeight="false" outlineLevel="0" collapsed="false">
      <c r="C81" s="81" t="s">
        <v>160</v>
      </c>
      <c r="D81" s="82" t="n">
        <f aca="false">+D80*30%</f>
        <v>1650.65386900685</v>
      </c>
      <c r="G81" s="81" t="s">
        <v>160</v>
      </c>
      <c r="H81" s="82" t="n">
        <f aca="false">+H80*30%</f>
        <v>1672.84564982877</v>
      </c>
    </row>
    <row r="82" customFormat="false" ht="22.05" hidden="false" customHeight="false" outlineLevel="0" collapsed="false">
      <c r="C82" s="83" t="s">
        <v>103</v>
      </c>
      <c r="D82" s="84" t="n">
        <f aca="false">+D80+D81</f>
        <v>7152.83343236301</v>
      </c>
      <c r="G82" s="83" t="s">
        <v>103</v>
      </c>
      <c r="H82" s="84" t="n">
        <f aca="false">+H80+H81</f>
        <v>7248.99781592466</v>
      </c>
    </row>
    <row r="83" customFormat="false" ht="22.05" hidden="false" customHeight="false" outlineLevel="0" collapsed="false">
      <c r="C83" s="87" t="s">
        <v>104</v>
      </c>
      <c r="D83" s="88" t="n">
        <f aca="false">+D80/N25</f>
        <v>42.2205307194304</v>
      </c>
      <c r="G83" s="87" t="s">
        <v>104</v>
      </c>
      <c r="H83" s="88" t="n">
        <f aca="false">+H80/N25</f>
        <v>42.7881535151618</v>
      </c>
    </row>
    <row r="84" customFormat="false" ht="37.3" hidden="false" customHeight="false" outlineLevel="0" collapsed="false">
      <c r="C84" s="89" t="s">
        <v>105</v>
      </c>
      <c r="D84" s="90" t="n">
        <f aca="false">+D82/N25</f>
        <v>54.8866899352595</v>
      </c>
      <c r="G84" s="89" t="s">
        <v>105</v>
      </c>
      <c r="H84" s="90" t="n">
        <f aca="false">+H82/N25</f>
        <v>55.6245995697104</v>
      </c>
    </row>
    <row r="96" customFormat="false" ht="17.35" hidden="false" customHeight="false" outlineLevel="0" collapsed="false">
      <c r="C96" s="94" t="s">
        <v>161</v>
      </c>
      <c r="D96" s="94"/>
      <c r="E96" s="94"/>
      <c r="F96" s="94"/>
      <c r="I96" s="6"/>
      <c r="J96" s="6"/>
      <c r="K96" s="6"/>
      <c r="L96" s="5"/>
    </row>
    <row r="97" customFormat="false" ht="17.35" hidden="false" customHeight="false" outlineLevel="0" collapsed="false">
      <c r="C97" s="94"/>
      <c r="D97" s="94"/>
      <c r="E97" s="94"/>
      <c r="F97" s="94"/>
      <c r="G97" s="94"/>
      <c r="H97" s="6"/>
      <c r="I97" s="6"/>
      <c r="J97" s="6"/>
      <c r="K97" s="6"/>
      <c r="L97" s="5"/>
    </row>
    <row r="98" customFormat="false" ht="17.35" hidden="false" customHeight="false" outlineLevel="0" collapsed="false">
      <c r="C98" s="95" t="s">
        <v>112</v>
      </c>
      <c r="D98" s="95" t="s">
        <v>113</v>
      </c>
      <c r="E98" s="95"/>
      <c r="F98" s="95" t="s">
        <v>114</v>
      </c>
      <c r="G98" s="94"/>
      <c r="H98" s="6"/>
      <c r="I98" s="95" t="s">
        <v>10</v>
      </c>
      <c r="J98" s="95" t="s">
        <v>23</v>
      </c>
      <c r="K98" s="95" t="s">
        <v>13</v>
      </c>
      <c r="L98" s="95" t="s">
        <v>116</v>
      </c>
    </row>
    <row r="99" customFormat="false" ht="17.35" hidden="false" customHeight="false" outlineLevel="0" collapsed="false">
      <c r="C99" s="97" t="n">
        <v>1</v>
      </c>
      <c r="D99" s="98" t="s">
        <v>18</v>
      </c>
      <c r="E99" s="98"/>
      <c r="F99" s="97" t="n">
        <v>1500</v>
      </c>
      <c r="G99" s="95" t="s">
        <v>115</v>
      </c>
      <c r="H99" s="95" t="s">
        <v>109</v>
      </c>
      <c r="I99" s="97" t="n">
        <v>5</v>
      </c>
      <c r="J99" s="97" t="n">
        <f aca="false">+F99*5</f>
        <v>7500</v>
      </c>
      <c r="K99" s="97" t="n">
        <f aca="false">+G100*I99</f>
        <v>6000</v>
      </c>
      <c r="L99" s="97" t="n">
        <f aca="false">(((H100*F99)/1000000)*I99)</f>
        <v>11.25</v>
      </c>
    </row>
    <row r="100" customFormat="false" ht="17.35" hidden="false" customHeight="false" outlineLevel="0" collapsed="false">
      <c r="C100" s="97" t="n">
        <v>2</v>
      </c>
      <c r="D100" s="98" t="s">
        <v>18</v>
      </c>
      <c r="E100" s="98"/>
      <c r="F100" s="97" t="n">
        <v>1200</v>
      </c>
      <c r="G100" s="97" t="n">
        <f aca="false">H100-300</f>
        <v>1200</v>
      </c>
      <c r="H100" s="97" t="n">
        <v>1500</v>
      </c>
      <c r="I100" s="97" t="n">
        <v>2</v>
      </c>
      <c r="J100" s="97" t="n">
        <f aca="false">+F100*5</f>
        <v>6000</v>
      </c>
      <c r="K100" s="97" t="n">
        <f aca="false">+G101*I100</f>
        <v>2400</v>
      </c>
      <c r="L100" s="97" t="n">
        <f aca="false">(((H101*F100)/1000000)*I100)</f>
        <v>3.6</v>
      </c>
    </row>
    <row r="101" customFormat="false" ht="17.35" hidden="false" customHeight="false" outlineLevel="0" collapsed="false">
      <c r="C101" s="97" t="n">
        <v>3</v>
      </c>
      <c r="D101" s="98" t="s">
        <v>18</v>
      </c>
      <c r="E101" s="98"/>
      <c r="F101" s="97" t="n">
        <v>1800</v>
      </c>
      <c r="G101" s="97" t="n">
        <f aca="false">H101-300</f>
        <v>1200</v>
      </c>
      <c r="H101" s="97" t="n">
        <v>1500</v>
      </c>
      <c r="I101" s="97" t="n">
        <v>1</v>
      </c>
      <c r="J101" s="97" t="n">
        <f aca="false">+F101*5</f>
        <v>9000</v>
      </c>
      <c r="K101" s="97" t="n">
        <f aca="false">+G102*I101</f>
        <v>1200</v>
      </c>
      <c r="L101" s="97" t="n">
        <f aca="false">(((H102*F101)/1000000)*I101)</f>
        <v>2.7</v>
      </c>
    </row>
    <row r="102" customFormat="false" ht="17.35" hidden="false" customHeight="false" outlineLevel="0" collapsed="false">
      <c r="C102" s="97" t="n">
        <v>4</v>
      </c>
      <c r="D102" s="98" t="s">
        <v>18</v>
      </c>
      <c r="E102" s="98"/>
      <c r="F102" s="97" t="n">
        <v>1600</v>
      </c>
      <c r="G102" s="97" t="n">
        <f aca="false">H102-300</f>
        <v>1200</v>
      </c>
      <c r="H102" s="97" t="n">
        <v>1500</v>
      </c>
      <c r="I102" s="97" t="n">
        <v>2</v>
      </c>
      <c r="J102" s="97" t="n">
        <f aca="false">+F102*5</f>
        <v>8000</v>
      </c>
      <c r="K102" s="97" t="n">
        <f aca="false">+G103*I102</f>
        <v>2400</v>
      </c>
      <c r="L102" s="97" t="n">
        <f aca="false">(((H103*F102)/1000000)*I102)</f>
        <v>4.8</v>
      </c>
    </row>
    <row r="103" customFormat="false" ht="17.35" hidden="false" customHeight="false" outlineLevel="0" collapsed="false">
      <c r="C103" s="97" t="n">
        <v>5</v>
      </c>
      <c r="D103" s="98" t="s">
        <v>18</v>
      </c>
      <c r="E103" s="98"/>
      <c r="F103" s="97" t="n">
        <v>1500</v>
      </c>
      <c r="G103" s="97" t="n">
        <f aca="false">H103-300</f>
        <v>1200</v>
      </c>
      <c r="H103" s="97" t="n">
        <v>1500</v>
      </c>
      <c r="I103" s="97" t="n">
        <v>6</v>
      </c>
      <c r="J103" s="97" t="n">
        <f aca="false">+F103*5</f>
        <v>7500</v>
      </c>
      <c r="K103" s="97" t="n">
        <f aca="false">+G104*I103</f>
        <v>7200</v>
      </c>
      <c r="L103" s="97" t="n">
        <f aca="false">(((H104*F103)/1000000)*I103)</f>
        <v>13.5</v>
      </c>
    </row>
    <row r="104" customFormat="false" ht="17.35" hidden="false" customHeight="false" outlineLevel="0" collapsed="false">
      <c r="C104" s="97" t="n">
        <v>6</v>
      </c>
      <c r="D104" s="98" t="s">
        <v>18</v>
      </c>
      <c r="E104" s="98"/>
      <c r="F104" s="97" t="n">
        <v>0</v>
      </c>
      <c r="G104" s="97" t="n">
        <f aca="false">H104-300</f>
        <v>1200</v>
      </c>
      <c r="H104" s="97" t="n">
        <v>1500</v>
      </c>
      <c r="I104" s="97"/>
      <c r="J104" s="97" t="n">
        <f aca="false">+F104*5</f>
        <v>0</v>
      </c>
      <c r="K104" s="97" t="n">
        <f aca="false">+G105*I104</f>
        <v>0</v>
      </c>
      <c r="L104" s="97" t="n">
        <f aca="false">(((H105*F104)/1000000)*I104)</f>
        <v>0</v>
      </c>
    </row>
    <row r="105" customFormat="false" ht="17.35" hidden="false" customHeight="false" outlineLevel="0" collapsed="false">
      <c r="C105" s="97" t="n">
        <v>7</v>
      </c>
      <c r="D105" s="98" t="s">
        <v>18</v>
      </c>
      <c r="E105" s="98"/>
      <c r="F105" s="97" t="n">
        <v>0</v>
      </c>
      <c r="G105" s="97" t="n">
        <v>0</v>
      </c>
      <c r="H105" s="97" t="n">
        <v>0</v>
      </c>
      <c r="I105" s="97"/>
      <c r="J105" s="97" t="n">
        <f aca="false">+F105*5</f>
        <v>0</v>
      </c>
      <c r="K105" s="97" t="n">
        <f aca="false">+G106*I105</f>
        <v>0</v>
      </c>
      <c r="L105" s="97" t="n">
        <f aca="false">(((H106*F105)/1000000)*I105)</f>
        <v>0</v>
      </c>
    </row>
    <row r="106" customFormat="false" ht="17.35" hidden="false" customHeight="false" outlineLevel="0" collapsed="false">
      <c r="C106" s="97" t="n">
        <v>8</v>
      </c>
      <c r="D106" s="98" t="s">
        <v>18</v>
      </c>
      <c r="E106" s="98"/>
      <c r="F106" s="97" t="n">
        <v>0</v>
      </c>
      <c r="G106" s="97" t="n">
        <v>0</v>
      </c>
      <c r="H106" s="97" t="n">
        <v>0</v>
      </c>
      <c r="I106" s="97"/>
      <c r="J106" s="97" t="n">
        <f aca="false">+F106*5</f>
        <v>0</v>
      </c>
      <c r="K106" s="97" t="n">
        <f aca="false">+G107*I106</f>
        <v>0</v>
      </c>
      <c r="L106" s="97" t="n">
        <f aca="false">(((H107*F106)/1000000)*I106)</f>
        <v>0</v>
      </c>
    </row>
    <row r="107" customFormat="false" ht="17.35" hidden="false" customHeight="false" outlineLevel="0" collapsed="false">
      <c r="C107" s="97" t="n">
        <v>9</v>
      </c>
      <c r="D107" s="98" t="s">
        <v>18</v>
      </c>
      <c r="E107" s="98"/>
      <c r="F107" s="97" t="n">
        <v>0</v>
      </c>
      <c r="G107" s="97" t="n">
        <v>0</v>
      </c>
      <c r="H107" s="97" t="n">
        <v>0</v>
      </c>
      <c r="I107" s="97"/>
      <c r="J107" s="97" t="n">
        <f aca="false">+F107*5</f>
        <v>0</v>
      </c>
      <c r="K107" s="97" t="n">
        <f aca="false">+G108*I107</f>
        <v>0</v>
      </c>
      <c r="L107" s="97" t="n">
        <f aca="false">(((H108*F107)/1000000)*I107)</f>
        <v>0</v>
      </c>
    </row>
    <row r="108" customFormat="false" ht="17.35" hidden="false" customHeight="false" outlineLevel="0" collapsed="false">
      <c r="C108" s="97" t="n">
        <v>10</v>
      </c>
      <c r="D108" s="98" t="s">
        <v>18</v>
      </c>
      <c r="E108" s="98"/>
      <c r="F108" s="97" t="n">
        <v>0</v>
      </c>
      <c r="G108" s="97" t="n">
        <v>0</v>
      </c>
      <c r="H108" s="97" t="n">
        <v>0</v>
      </c>
      <c r="I108" s="97"/>
      <c r="J108" s="97" t="n">
        <f aca="false">+F108*5</f>
        <v>0</v>
      </c>
      <c r="K108" s="97" t="n">
        <f aca="false">+G109*I108</f>
        <v>0</v>
      </c>
      <c r="L108" s="97" t="n">
        <f aca="false">(((H109*F108)/1000000)*I108)</f>
        <v>0</v>
      </c>
    </row>
    <row r="109" customFormat="false" ht="17.35" hidden="false" customHeight="false" outlineLevel="0" collapsed="false">
      <c r="C109" s="97" t="n">
        <v>11</v>
      </c>
      <c r="D109" s="98" t="s">
        <v>18</v>
      </c>
      <c r="E109" s="98"/>
      <c r="F109" s="97" t="n">
        <v>0</v>
      </c>
      <c r="G109" s="97" t="n">
        <v>0</v>
      </c>
      <c r="H109" s="97" t="n">
        <v>0</v>
      </c>
      <c r="I109" s="97"/>
      <c r="J109" s="97" t="n">
        <f aca="false">+F109*5</f>
        <v>0</v>
      </c>
      <c r="K109" s="97" t="n">
        <f aca="false">+G110*I109</f>
        <v>0</v>
      </c>
      <c r="L109" s="97" t="n">
        <f aca="false">(((H110*F109)/1000000)*I109)</f>
        <v>0</v>
      </c>
    </row>
    <row r="110" customFormat="false" ht="17.35" hidden="false" customHeight="false" outlineLevel="0" collapsed="false">
      <c r="C110" s="97" t="n">
        <v>12</v>
      </c>
      <c r="D110" s="98" t="s">
        <v>18</v>
      </c>
      <c r="E110" s="98"/>
      <c r="F110" s="97" t="n">
        <v>0</v>
      </c>
      <c r="G110" s="97" t="n">
        <v>0</v>
      </c>
      <c r="H110" s="97" t="n">
        <v>0</v>
      </c>
      <c r="I110" s="97"/>
      <c r="J110" s="97" t="n">
        <f aca="false">+F110*5</f>
        <v>0</v>
      </c>
      <c r="K110" s="97" t="n">
        <f aca="false">+G111*I110</f>
        <v>0</v>
      </c>
      <c r="L110" s="97" t="n">
        <f aca="false">(((H111*F110)/1000000)*I110)</f>
        <v>0</v>
      </c>
    </row>
    <row r="111" customFormat="false" ht="17.35" hidden="false" customHeight="false" outlineLevel="0" collapsed="false">
      <c r="C111" s="97" t="n">
        <v>13</v>
      </c>
      <c r="D111" s="98" t="s">
        <v>18</v>
      </c>
      <c r="E111" s="98"/>
      <c r="F111" s="97" t="n">
        <v>0</v>
      </c>
      <c r="G111" s="97" t="n">
        <v>0</v>
      </c>
      <c r="H111" s="97" t="n">
        <v>0</v>
      </c>
      <c r="I111" s="97"/>
      <c r="J111" s="97" t="n">
        <f aca="false">+F111*5</f>
        <v>0</v>
      </c>
      <c r="K111" s="97" t="n">
        <f aca="false">+G112*I111</f>
        <v>0</v>
      </c>
      <c r="L111" s="97" t="n">
        <f aca="false">(((H112*F111)/1000000)*I111)</f>
        <v>0</v>
      </c>
    </row>
    <row r="112" customFormat="false" ht="17.35" hidden="false" customHeight="false" outlineLevel="0" collapsed="false">
      <c r="C112" s="97" t="n">
        <v>14</v>
      </c>
      <c r="D112" s="98" t="s">
        <v>18</v>
      </c>
      <c r="E112" s="98"/>
      <c r="F112" s="97" t="n">
        <v>0</v>
      </c>
      <c r="G112" s="97" t="n">
        <v>0</v>
      </c>
      <c r="H112" s="97" t="n">
        <v>0</v>
      </c>
      <c r="I112" s="97"/>
      <c r="J112" s="97" t="n">
        <f aca="false">+F112*5</f>
        <v>0</v>
      </c>
      <c r="K112" s="97" t="n">
        <f aca="false">+G113*I112</f>
        <v>0</v>
      </c>
      <c r="L112" s="97" t="n">
        <f aca="false">(((H113*F112)/1000000)*I112)</f>
        <v>0</v>
      </c>
    </row>
    <row r="113" customFormat="false" ht="17.35" hidden="false" customHeight="false" outlineLevel="0" collapsed="false">
      <c r="C113" s="97" t="n">
        <v>15</v>
      </c>
      <c r="D113" s="98" t="s">
        <v>18</v>
      </c>
      <c r="E113" s="98"/>
      <c r="F113" s="97" t="n">
        <v>0</v>
      </c>
      <c r="G113" s="97" t="n">
        <v>0</v>
      </c>
      <c r="H113" s="97" t="n">
        <v>0</v>
      </c>
      <c r="I113" s="97"/>
      <c r="J113" s="97" t="n">
        <f aca="false">+F113*5</f>
        <v>0</v>
      </c>
      <c r="K113" s="97" t="n">
        <f aca="false">+G114*I113</f>
        <v>0</v>
      </c>
      <c r="L113" s="97" t="n">
        <f aca="false">(((H114*F113)/1000000)*I113)</f>
        <v>0</v>
      </c>
    </row>
    <row r="114" customFormat="false" ht="17.35" hidden="false" customHeight="false" outlineLevel="0" collapsed="false">
      <c r="C114" s="97" t="n">
        <v>16</v>
      </c>
      <c r="D114" s="98" t="s">
        <v>18</v>
      </c>
      <c r="E114" s="98"/>
      <c r="F114" s="97" t="n">
        <v>0</v>
      </c>
      <c r="G114" s="97" t="n">
        <v>0</v>
      </c>
      <c r="H114" s="97" t="n">
        <v>0</v>
      </c>
      <c r="I114" s="97"/>
      <c r="J114" s="97" t="n">
        <f aca="false">+F114*5</f>
        <v>0</v>
      </c>
      <c r="K114" s="97" t="n">
        <f aca="false">+G115*I114</f>
        <v>0</v>
      </c>
      <c r="L114" s="97" t="n">
        <f aca="false">(((H115*F114)/1000000)*I114)</f>
        <v>0</v>
      </c>
    </row>
    <row r="115" customFormat="false" ht="17.35" hidden="false" customHeight="false" outlineLevel="0" collapsed="false">
      <c r="C115" s="97" t="n">
        <v>17</v>
      </c>
      <c r="D115" s="98" t="s">
        <v>18</v>
      </c>
      <c r="E115" s="98"/>
      <c r="F115" s="97" t="n">
        <v>0</v>
      </c>
      <c r="G115" s="97" t="n">
        <v>0</v>
      </c>
      <c r="H115" s="97" t="n">
        <v>0</v>
      </c>
      <c r="I115" s="97"/>
      <c r="J115" s="97" t="n">
        <f aca="false">+F115*5</f>
        <v>0</v>
      </c>
      <c r="K115" s="97" t="n">
        <f aca="false">+G116*I115</f>
        <v>0</v>
      </c>
      <c r="L115" s="97" t="n">
        <f aca="false">(((H116*F115)/1000000)*I115)</f>
        <v>0</v>
      </c>
    </row>
    <row r="116" customFormat="false" ht="17.35" hidden="false" customHeight="false" outlineLevel="0" collapsed="false">
      <c r="C116" s="97" t="n">
        <v>18</v>
      </c>
      <c r="D116" s="98" t="s">
        <v>18</v>
      </c>
      <c r="E116" s="98"/>
      <c r="F116" s="97" t="n">
        <v>0</v>
      </c>
      <c r="G116" s="97" t="n">
        <v>0</v>
      </c>
      <c r="H116" s="97" t="n">
        <v>0</v>
      </c>
      <c r="I116" s="97"/>
      <c r="J116" s="97" t="n">
        <f aca="false">+F116*5</f>
        <v>0</v>
      </c>
      <c r="K116" s="97" t="n">
        <f aca="false">+G117*I116</f>
        <v>0</v>
      </c>
      <c r="L116" s="97" t="n">
        <f aca="false">(((H117*F116)/1000000)*I116)</f>
        <v>0</v>
      </c>
    </row>
    <row r="117" customFormat="false" ht="17.35" hidden="false" customHeight="false" outlineLevel="0" collapsed="false">
      <c r="C117" s="97" t="n">
        <v>19</v>
      </c>
      <c r="D117" s="98" t="s">
        <v>18</v>
      </c>
      <c r="E117" s="98"/>
      <c r="F117" s="97" t="n">
        <v>0</v>
      </c>
      <c r="G117" s="97" t="n">
        <v>0</v>
      </c>
      <c r="H117" s="97" t="n">
        <v>0</v>
      </c>
      <c r="I117" s="97"/>
      <c r="J117" s="97" t="n">
        <f aca="false">+F117*5</f>
        <v>0</v>
      </c>
      <c r="K117" s="97" t="n">
        <f aca="false">+G118*I117</f>
        <v>0</v>
      </c>
      <c r="L117" s="97" t="n">
        <f aca="false">(((H118*F117)/1000000)*I117)</f>
        <v>0</v>
      </c>
    </row>
    <row r="118" customFormat="false" ht="17.35" hidden="false" customHeight="false" outlineLevel="0" collapsed="false">
      <c r="C118" s="97" t="n">
        <v>20</v>
      </c>
      <c r="D118" s="98" t="s">
        <v>18</v>
      </c>
      <c r="E118" s="98"/>
      <c r="F118" s="97" t="n">
        <v>0</v>
      </c>
      <c r="G118" s="97" t="n">
        <v>0</v>
      </c>
      <c r="H118" s="97" t="n">
        <v>0</v>
      </c>
      <c r="I118" s="97"/>
      <c r="J118" s="97" t="n">
        <f aca="false">+F118*5</f>
        <v>0</v>
      </c>
      <c r="K118" s="97" t="n">
        <f aca="false">+G119*I118</f>
        <v>0</v>
      </c>
      <c r="L118" s="97" t="n">
        <f aca="false">(((H119*F118)/1000000)*I118)</f>
        <v>0</v>
      </c>
    </row>
    <row r="119" customFormat="false" ht="17.35" hidden="false" customHeight="false" outlineLevel="0" collapsed="false">
      <c r="F119" s="3" t="n">
        <f aca="false">SUM(F99:F118)</f>
        <v>7600</v>
      </c>
      <c r="G119" s="97" t="n">
        <v>0</v>
      </c>
      <c r="H119" s="97" t="n">
        <v>0</v>
      </c>
      <c r="I119" s="95" t="n">
        <f aca="false">SUM(I99:I118)</f>
        <v>16</v>
      </c>
      <c r="J119" s="119" t="n">
        <f aca="false">SUM(J99:J118)</f>
        <v>38000</v>
      </c>
      <c r="K119" s="119" t="n">
        <f aca="false">SUM(K99:K118)</f>
        <v>19200</v>
      </c>
      <c r="L119" s="102" t="n">
        <f aca="false">SUM(L99:L118)</f>
        <v>35.85</v>
      </c>
    </row>
    <row r="120" customFormat="false" ht="17.35" hidden="false" customHeight="false" outlineLevel="0" collapsed="false">
      <c r="C120" s="95" t="s">
        <v>21</v>
      </c>
      <c r="D120" s="95" t="s">
        <v>23</v>
      </c>
      <c r="E120" s="95" t="s">
        <v>24</v>
      </c>
      <c r="F120" s="95" t="s">
        <v>25</v>
      </c>
      <c r="G120" s="95" t="n">
        <f aca="false">SUM(G100:G119)</f>
        <v>6000</v>
      </c>
      <c r="H120" s="95" t="n">
        <f aca="false">SUM(H100:H119)</f>
        <v>7500</v>
      </c>
      <c r="I120" s="12"/>
      <c r="J120" s="12"/>
      <c r="K120" s="12"/>
      <c r="L120" s="12"/>
    </row>
    <row r="121" customFormat="false" ht="17.35" hidden="false" customHeight="false" outlineLevel="0" collapsed="false">
      <c r="C121" s="97" t="n">
        <v>5017</v>
      </c>
      <c r="D121" s="120" t="n">
        <f aca="false">+(J119*2)+(K119*2)</f>
        <v>114400</v>
      </c>
      <c r="E121" s="100" t="n">
        <f aca="false">D121+(D121*10%)</f>
        <v>125840</v>
      </c>
      <c r="F121" s="101" t="n">
        <f aca="false">E121/6400</f>
        <v>19.6625</v>
      </c>
      <c r="G121" s="99" t="s">
        <v>26</v>
      </c>
      <c r="H121" s="99" t="s">
        <v>37</v>
      </c>
      <c r="I121" s="22"/>
      <c r="J121" s="22"/>
      <c r="K121" s="22"/>
      <c r="L121" s="22"/>
    </row>
    <row r="122" customFormat="false" ht="17.35" hidden="false" customHeight="false" outlineLevel="0" collapsed="false">
      <c r="C122" s="97" t="n">
        <v>5019</v>
      </c>
      <c r="D122" s="121" t="n">
        <f aca="false">+J119*2.5+K119*6</f>
        <v>210200</v>
      </c>
      <c r="E122" s="100" t="n">
        <f aca="false">D122+(D122*10%)</f>
        <v>231220</v>
      </c>
      <c r="F122" s="101" t="n">
        <f aca="false">E122/6400</f>
        <v>36.128125</v>
      </c>
      <c r="G122" s="101" t="n">
        <f aca="false">ROUNDUP(F121,0)</f>
        <v>20</v>
      </c>
      <c r="H122" s="102" t="n">
        <f aca="false">G122*7.4</f>
        <v>148</v>
      </c>
      <c r="I122" s="22"/>
      <c r="J122" s="22"/>
      <c r="K122" s="22"/>
      <c r="L122" s="22"/>
    </row>
    <row r="123" customFormat="false" ht="17.35" hidden="false" customHeight="false" outlineLevel="0" collapsed="false">
      <c r="C123" s="97" t="n">
        <v>5023</v>
      </c>
      <c r="D123" s="97" t="n">
        <f aca="false">+K119*3</f>
        <v>57600</v>
      </c>
      <c r="E123" s="100" t="n">
        <f aca="false">D123+(D123*10%)</f>
        <v>63360</v>
      </c>
      <c r="F123" s="101" t="n">
        <f aca="false">E123/6400</f>
        <v>9.9</v>
      </c>
      <c r="G123" s="101" t="n">
        <f aca="false">ROUNDUP(F122,0)</f>
        <v>37</v>
      </c>
      <c r="H123" s="102" t="n">
        <f aca="false">G123*7.4</f>
        <v>273.8</v>
      </c>
      <c r="I123" s="22"/>
      <c r="J123" s="22"/>
      <c r="K123" s="22"/>
      <c r="L123" s="22"/>
    </row>
    <row r="124" customFormat="false" ht="17.35" hidden="false" customHeight="false" outlineLevel="0" collapsed="false">
      <c r="C124" s="97" t="n">
        <v>5025</v>
      </c>
      <c r="D124" s="120" t="n">
        <f aca="false">+J119*1+K119*2</f>
        <v>76400</v>
      </c>
      <c r="E124" s="100" t="n">
        <f aca="false">D124+(D124*10%)</f>
        <v>84040</v>
      </c>
      <c r="F124" s="101" t="n">
        <f aca="false">E124/6400</f>
        <v>13.13125</v>
      </c>
      <c r="G124" s="101" t="n">
        <f aca="false">ROUNDUP(F123,0)</f>
        <v>10</v>
      </c>
      <c r="H124" s="102" t="n">
        <f aca="false">G124*7.4</f>
        <v>74</v>
      </c>
      <c r="I124" s="22"/>
      <c r="J124" s="22"/>
      <c r="K124" s="22"/>
      <c r="L124" s="22"/>
    </row>
    <row r="125" customFormat="false" ht="17.35" hidden="false" customHeight="false" outlineLevel="0" collapsed="false">
      <c r="G125" s="101" t="n">
        <f aca="false">ROUNDUP(F124,0)</f>
        <v>14</v>
      </c>
      <c r="H125" s="102" t="n">
        <f aca="false">G125*7.4</f>
        <v>103.6</v>
      </c>
      <c r="L125" s="23"/>
    </row>
    <row r="127" customFormat="false" ht="17.35" hidden="false" customHeight="false" outlineLevel="0" collapsed="false">
      <c r="C127" s="122"/>
      <c r="D127" s="122"/>
      <c r="E127" s="122"/>
      <c r="F127" s="123"/>
      <c r="I127" s="23"/>
      <c r="J127" s="23"/>
      <c r="K127" s="23"/>
      <c r="L127" s="22"/>
    </row>
    <row r="128" customFormat="false" ht="17.35" hidden="false" customHeight="false" outlineLevel="0" collapsed="false">
      <c r="C128" s="97" t="n">
        <v>5029</v>
      </c>
      <c r="D128" s="97" t="n">
        <f aca="false">(F99*2)+(F100*2)+(F101*2)+(F102*2)+(F103*2)+(F104*2)+(F105*2)+(F106*2)+(F107*2)+(F108*2)+(F109*2)+(F110*2)+(F111*2)+(F112*2)+(F113*2)+(F114*2)+(F115*2)+(F116*2)+(F117*2)+(F118*2)+(300*8)</f>
        <v>17600</v>
      </c>
      <c r="E128" s="100" t="n">
        <f aca="false">D128+(D128*10%)</f>
        <v>19360</v>
      </c>
      <c r="F128" s="101" t="n">
        <f aca="false">E128/6400</f>
        <v>3.025</v>
      </c>
      <c r="G128" s="21"/>
      <c r="H128" s="23"/>
      <c r="I128" s="102"/>
      <c r="J128" s="102"/>
      <c r="K128" s="102"/>
      <c r="L128" s="105" t="s">
        <v>129</v>
      </c>
    </row>
    <row r="129" customFormat="false" ht="17.35" hidden="false" customHeight="false" outlineLevel="0" collapsed="false">
      <c r="C129" s="97" t="n">
        <v>5031</v>
      </c>
      <c r="D129" s="97" t="n">
        <f aca="false">300*4</f>
        <v>1200</v>
      </c>
      <c r="E129" s="100" t="n">
        <f aca="false">D129+(D129*10%)</f>
        <v>1320</v>
      </c>
      <c r="F129" s="100" t="n">
        <f aca="false">E129/6400</f>
        <v>0.20625</v>
      </c>
      <c r="G129" s="101" t="n">
        <f aca="false">ROUNDUP(F128,0)</f>
        <v>4</v>
      </c>
      <c r="H129" s="102" t="n">
        <f aca="false">G129*7.4</f>
        <v>29.6</v>
      </c>
      <c r="I129" s="102"/>
      <c r="J129" s="102"/>
      <c r="K129" s="102"/>
      <c r="L129" s="105" t="s">
        <v>132</v>
      </c>
    </row>
    <row r="130" customFormat="false" ht="17.35" hidden="false" customHeight="false" outlineLevel="0" collapsed="false">
      <c r="C130" s="97" t="n">
        <v>1544</v>
      </c>
      <c r="D130" s="97" t="n">
        <f aca="false">300*16</f>
        <v>4800</v>
      </c>
      <c r="E130" s="100" t="n">
        <f aca="false">D130+(D130*10%)</f>
        <v>5280</v>
      </c>
      <c r="F130" s="101" t="n">
        <f aca="false">E130/6400</f>
        <v>0.825</v>
      </c>
      <c r="G130" s="101" t="n">
        <f aca="false">ROUNDUP(F129,0)</f>
        <v>1</v>
      </c>
      <c r="H130" s="102" t="n">
        <f aca="false">G130*7.4</f>
        <v>7.4</v>
      </c>
      <c r="I130" s="102"/>
      <c r="J130" s="102"/>
      <c r="K130" s="102"/>
      <c r="L130" s="105" t="s">
        <v>133</v>
      </c>
    </row>
    <row r="131" customFormat="false" ht="17.35" hidden="false" customHeight="false" outlineLevel="0" collapsed="false">
      <c r="C131" s="97" t="n">
        <v>6515</v>
      </c>
      <c r="D131" s="97" t="n">
        <f aca="false">(F99*5)+(F100*5)+(F101*5)+(F102*5)+(F103*5)+(F104*5)+(F105*5)+(F106*5)+(F107*5)+(F108*5)+(F109*5)+(F110*5)+(F111*5)+(F112*5)+(F113*5)+(F114*5)+(F115*5)+(F116*5)+(F117*5)+(F118*5)</f>
        <v>38000</v>
      </c>
      <c r="E131" s="100" t="n">
        <f aca="false">D131+(D131*10%)</f>
        <v>41800</v>
      </c>
      <c r="F131" s="101" t="n">
        <f aca="false">E131/6400</f>
        <v>6.53125</v>
      </c>
      <c r="G131" s="101" t="n">
        <f aca="false">ROUNDUP(F130,0)</f>
        <v>1</v>
      </c>
      <c r="H131" s="102" t="n">
        <f aca="false">G131*7.4</f>
        <v>7.4</v>
      </c>
      <c r="I131" s="102"/>
      <c r="J131" s="102"/>
      <c r="K131" s="102"/>
      <c r="L131" s="105" t="s">
        <v>130</v>
      </c>
    </row>
    <row r="132" customFormat="false" ht="17.35" hidden="false" customHeight="false" outlineLevel="0" collapsed="false">
      <c r="C132" s="97" t="n">
        <v>3035</v>
      </c>
      <c r="D132" s="97" t="n">
        <f aca="false">(F99*2)+(F100*2)+(F101*2)+(F102*2)+(F103*2)+(F104*2)+(F105*2)+(F106*2)+(F107*2)+(F108*2)+(F109*2)+(F110*2)+(F111*2)+(F112*2)+(F113*2)+(F114*2)+(F115*2)+(F116*2)+(F117*2)+(F118*2)+(300*16)</f>
        <v>20000</v>
      </c>
      <c r="E132" s="100" t="n">
        <f aca="false">D132+(D132*10%)</f>
        <v>22000</v>
      </c>
      <c r="F132" s="101" t="n">
        <f aca="false">E132/6400</f>
        <v>3.4375</v>
      </c>
      <c r="G132" s="101" t="n">
        <f aca="false">ROUNDUP(F131,0)</f>
        <v>7</v>
      </c>
      <c r="H132" s="102" t="n">
        <f aca="false">G132*7.4</f>
        <v>51.8</v>
      </c>
      <c r="I132" s="102"/>
      <c r="J132" s="102"/>
      <c r="K132" s="102"/>
      <c r="L132" s="105" t="s">
        <v>133</v>
      </c>
    </row>
    <row r="133" customFormat="false" ht="17.35" hidden="false" customHeight="false" outlineLevel="0" collapsed="false">
      <c r="D133" s="124" t="s">
        <v>19</v>
      </c>
      <c r="E133" s="124"/>
      <c r="F133" s="125" t="n">
        <f aca="false">SUM(F121:F132)</f>
        <v>92.846875</v>
      </c>
      <c r="G133" s="101" t="n">
        <f aca="false">ROUNDUP(F132,0)</f>
        <v>4</v>
      </c>
      <c r="H133" s="102" t="n">
        <f aca="false">G133*7.4</f>
        <v>29.6</v>
      </c>
      <c r="I133" s="91"/>
      <c r="J133" s="91"/>
      <c r="K133" s="91"/>
    </row>
    <row r="134" customFormat="false" ht="17.35" hidden="false" customHeight="false" outlineLevel="0" collapsed="false">
      <c r="G134" s="125"/>
      <c r="H134" s="125" t="n">
        <f aca="false">SUM(H122:H133)</f>
        <v>725.2</v>
      </c>
    </row>
  </sheetData>
  <mergeCells count="81">
    <mergeCell ref="P2:T3"/>
    <mergeCell ref="Z2:AD3"/>
    <mergeCell ref="B3:N3"/>
    <mergeCell ref="R4:S4"/>
    <mergeCell ref="AB4:AC4"/>
    <mergeCell ref="R5:S5"/>
    <mergeCell ref="AB5:AC5"/>
    <mergeCell ref="R6:S6"/>
    <mergeCell ref="AB6:AC6"/>
    <mergeCell ref="R7:S7"/>
    <mergeCell ref="AB7:AC7"/>
    <mergeCell ref="R8:S8"/>
    <mergeCell ref="AB8:AC8"/>
    <mergeCell ref="R9:S9"/>
    <mergeCell ref="AB9:AC9"/>
    <mergeCell ref="R10:S10"/>
    <mergeCell ref="AB10:AC10"/>
    <mergeCell ref="R11:S11"/>
    <mergeCell ref="AB11:AC11"/>
    <mergeCell ref="R12:S12"/>
    <mergeCell ref="AB12:AC12"/>
    <mergeCell ref="R13:S13"/>
    <mergeCell ref="AB13:AC13"/>
    <mergeCell ref="R14:S14"/>
    <mergeCell ref="AB14:AC14"/>
    <mergeCell ref="R15:S15"/>
    <mergeCell ref="AB15:AC15"/>
    <mergeCell ref="R16:S16"/>
    <mergeCell ref="AB16:AC16"/>
    <mergeCell ref="R17:S17"/>
    <mergeCell ref="AB17:AC17"/>
    <mergeCell ref="R18:S18"/>
    <mergeCell ref="AB18:AC18"/>
    <mergeCell ref="R19:S19"/>
    <mergeCell ref="AB19:AC19"/>
    <mergeCell ref="R20:S20"/>
    <mergeCell ref="AB20:AC20"/>
    <mergeCell ref="R21:S21"/>
    <mergeCell ref="AB21:AC21"/>
    <mergeCell ref="R22:S22"/>
    <mergeCell ref="AB22:AC22"/>
    <mergeCell ref="R23:S23"/>
    <mergeCell ref="AB23:AC23"/>
    <mergeCell ref="R24:S24"/>
    <mergeCell ref="AB24:AC24"/>
    <mergeCell ref="B25:C25"/>
    <mergeCell ref="B27:J27"/>
    <mergeCell ref="B34:M34"/>
    <mergeCell ref="P34:Q34"/>
    <mergeCell ref="K35:M35"/>
    <mergeCell ref="K36:M36"/>
    <mergeCell ref="K37:M37"/>
    <mergeCell ref="K38:M38"/>
    <mergeCell ref="K39:M39"/>
    <mergeCell ref="K40:M40"/>
    <mergeCell ref="K41:M41"/>
    <mergeCell ref="B44:H44"/>
    <mergeCell ref="B59:H59"/>
    <mergeCell ref="B74:D74"/>
    <mergeCell ref="F74:H74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K121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I25" activeCellId="0" sqref="I25"/>
    </sheetView>
  </sheetViews>
  <sheetFormatPr defaultColWidth="10.8203125" defaultRowHeight="17.35" zeroHeight="false" outlineLevelRow="0" outlineLevelCol="0"/>
  <cols>
    <col collapsed="false" customWidth="true" hidden="false" outlineLevel="0" max="1" min="1" style="3" width="18"/>
    <col collapsed="false" customWidth="true" hidden="false" outlineLevel="0" max="2" min="2" style="3" width="7.84"/>
    <col collapsed="false" customWidth="true" hidden="false" outlineLevel="0" max="3" min="3" style="3" width="22"/>
    <col collapsed="false" customWidth="true" hidden="false" outlineLevel="0" max="4" min="4" style="3" width="20.17"/>
    <col collapsed="false" customWidth="true" hidden="false" outlineLevel="0" max="5" min="5" style="3" width="22.67"/>
    <col collapsed="false" customWidth="true" hidden="false" outlineLevel="0" max="6" min="6" style="3" width="16.84"/>
    <col collapsed="false" customWidth="true" hidden="false" outlineLevel="0" max="7" min="7" style="3" width="22.33"/>
    <col collapsed="false" customWidth="true" hidden="false" outlineLevel="0" max="8" min="8" style="3" width="16.33"/>
    <col collapsed="false" customWidth="true" hidden="false" outlineLevel="0" max="9" min="9" style="3" width="15.16"/>
    <col collapsed="false" customWidth="true" hidden="false" outlineLevel="0" max="10" min="10" style="3" width="13.5"/>
    <col collapsed="false" customWidth="true" hidden="false" outlineLevel="0" max="13" min="11" style="3" width="15.16"/>
    <col collapsed="false" customWidth="true" hidden="false" outlineLevel="0" max="14" min="14" style="3" width="15.33"/>
    <col collapsed="false" customWidth="true" hidden="false" outlineLevel="0" max="15" min="15" style="3" width="13.67"/>
    <col collapsed="false" customWidth="true" hidden="false" outlineLevel="0" max="17" min="16" style="3" width="11"/>
    <col collapsed="false" customWidth="true" hidden="false" outlineLevel="0" max="18" min="18" style="3" width="14.82"/>
    <col collapsed="false" customWidth="true" hidden="false" outlineLevel="0" max="19" min="19" style="3" width="11"/>
    <col collapsed="false" customWidth="true" hidden="false" outlineLevel="0" max="20" min="20" style="3" width="12"/>
    <col collapsed="false" customWidth="true" hidden="false" outlineLevel="0" max="22" min="21" style="3" width="11"/>
    <col collapsed="false" customWidth="true" hidden="false" outlineLevel="0" max="23" min="23" style="3" width="17.33"/>
    <col collapsed="false" customWidth="true" hidden="false" outlineLevel="0" max="26" min="24" style="3" width="11"/>
    <col collapsed="false" customWidth="true" hidden="false" outlineLevel="0" max="27" min="27" style="3" width="13.67"/>
    <col collapsed="false" customWidth="true" hidden="false" outlineLevel="0" max="28" min="28" style="3" width="20.83"/>
    <col collapsed="false" customWidth="true" hidden="false" outlineLevel="0" max="33" min="29" style="3" width="11"/>
    <col collapsed="false" customWidth="false" hidden="false" outlineLevel="0" max="1024" min="34" style="3" width="10.83"/>
  </cols>
  <sheetData>
    <row r="2" customFormat="false" ht="16" hidden="false" customHeight="true" outlineLevel="0" collapsed="false">
      <c r="B2" s="4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94" t="s">
        <v>106</v>
      </c>
      <c r="Q2" s="94"/>
      <c r="R2" s="94"/>
      <c r="S2" s="94"/>
      <c r="T2" s="94"/>
      <c r="U2" s="6"/>
      <c r="Y2" s="5"/>
      <c r="Z2" s="94" t="s">
        <v>107</v>
      </c>
      <c r="AA2" s="94"/>
      <c r="AB2" s="94"/>
      <c r="AC2" s="94"/>
      <c r="AD2" s="94"/>
      <c r="AE2" s="6"/>
    </row>
    <row r="3" customFormat="false" ht="31" hidden="false" customHeight="true" outlineLevel="0" collapsed="false"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2"/>
      <c r="O3" s="5"/>
      <c r="P3" s="94"/>
      <c r="Q3" s="94"/>
      <c r="R3" s="94"/>
      <c r="S3" s="94"/>
      <c r="T3" s="94"/>
      <c r="U3" s="6"/>
      <c r="Y3" s="5"/>
      <c r="Z3" s="94"/>
      <c r="AA3" s="94"/>
      <c r="AB3" s="94"/>
      <c r="AC3" s="94"/>
      <c r="AD3" s="94"/>
      <c r="AE3" s="6"/>
    </row>
    <row r="4" s="8" customFormat="true" ht="29.85" hidden="false" customHeight="false" outlineLevel="0" collapsed="false">
      <c r="B4" s="9" t="s">
        <v>5</v>
      </c>
      <c r="C4" s="9" t="s">
        <v>6</v>
      </c>
      <c r="D4" s="9" t="s">
        <v>114</v>
      </c>
      <c r="E4" s="10" t="s">
        <v>9</v>
      </c>
      <c r="F4" s="9" t="s">
        <v>10</v>
      </c>
      <c r="G4" s="9" t="s">
        <v>23</v>
      </c>
      <c r="H4" s="10" t="s">
        <v>12</v>
      </c>
      <c r="I4" s="9" t="s">
        <v>13</v>
      </c>
      <c r="J4" s="9" t="s">
        <v>14</v>
      </c>
      <c r="K4" s="10" t="s">
        <v>15</v>
      </c>
      <c r="L4" s="9" t="s">
        <v>111</v>
      </c>
      <c r="M4" s="10" t="s">
        <v>17</v>
      </c>
      <c r="P4" s="95" t="s">
        <v>112</v>
      </c>
      <c r="Q4" s="95" t="s">
        <v>113</v>
      </c>
      <c r="R4" s="95"/>
      <c r="S4" s="95" t="s">
        <v>114</v>
      </c>
      <c r="T4" s="95" t="s">
        <v>115</v>
      </c>
      <c r="U4" s="95" t="s">
        <v>109</v>
      </c>
      <c r="V4" s="95" t="s">
        <v>116</v>
      </c>
      <c r="Z4" s="95" t="s">
        <v>112</v>
      </c>
      <c r="AA4" s="95" t="s">
        <v>113</v>
      </c>
      <c r="AB4" s="95"/>
      <c r="AC4" s="95" t="s">
        <v>114</v>
      </c>
      <c r="AD4" s="95" t="s">
        <v>115</v>
      </c>
      <c r="AE4" s="95" t="s">
        <v>109</v>
      </c>
      <c r="AF4" s="95" t="s">
        <v>116</v>
      </c>
    </row>
    <row r="5" customFormat="false" ht="17.35" hidden="false" customHeight="false" outlineLevel="0" collapsed="false">
      <c r="B5" s="13" t="n">
        <v>1</v>
      </c>
      <c r="C5" s="14" t="s">
        <v>18</v>
      </c>
      <c r="D5" s="15" t="n">
        <v>4100</v>
      </c>
      <c r="E5" s="15" t="n">
        <v>2400</v>
      </c>
      <c r="F5" s="13" t="n">
        <v>9</v>
      </c>
      <c r="G5" s="13" t="n">
        <f aca="false">+D5*F5</f>
        <v>36900</v>
      </c>
      <c r="H5" s="15" t="n">
        <f aca="false">+E5*F5</f>
        <v>21600</v>
      </c>
      <c r="I5" s="13" t="n">
        <f aca="false">+E5*F5</f>
        <v>21600</v>
      </c>
      <c r="J5" s="16" t="n">
        <f aca="false">+D5*E5/1000000</f>
        <v>9.84</v>
      </c>
      <c r="K5" s="16" t="n">
        <f aca="false">+D5*E5/1000000</f>
        <v>9.84</v>
      </c>
      <c r="L5" s="16" t="n">
        <f aca="false">F5*J5</f>
        <v>88.56</v>
      </c>
      <c r="M5" s="17" t="n">
        <f aca="false">+F5*K5</f>
        <v>88.56</v>
      </c>
      <c r="P5" s="97" t="n">
        <v>1</v>
      </c>
      <c r="Q5" s="98" t="s">
        <v>18</v>
      </c>
      <c r="R5" s="98"/>
      <c r="S5" s="97" t="n">
        <v>1500</v>
      </c>
      <c r="T5" s="97" t="n">
        <f aca="false">U5-300</f>
        <v>1200</v>
      </c>
      <c r="U5" s="97" t="n">
        <v>1500</v>
      </c>
      <c r="V5" s="97" t="n">
        <f aca="false">U5*S5/1000000</f>
        <v>2.25</v>
      </c>
      <c r="Z5" s="97" t="n">
        <v>1</v>
      </c>
      <c r="AA5" s="98" t="s">
        <v>18</v>
      </c>
      <c r="AB5" s="98"/>
      <c r="AC5" s="97" t="n">
        <v>1500</v>
      </c>
      <c r="AD5" s="97" t="n">
        <f aca="false">AE5-300</f>
        <v>1200</v>
      </c>
      <c r="AE5" s="97" t="n">
        <v>1500</v>
      </c>
      <c r="AF5" s="97" t="n">
        <f aca="false">AE5*AC5/1000000</f>
        <v>2.25</v>
      </c>
    </row>
    <row r="6" customFormat="false" ht="17.35" hidden="false" customHeight="false" outlineLevel="0" collapsed="false">
      <c r="B6" s="13" t="n">
        <v>2</v>
      </c>
      <c r="C6" s="14" t="s">
        <v>18</v>
      </c>
      <c r="D6" s="15" t="n">
        <v>3300</v>
      </c>
      <c r="E6" s="15" t="n">
        <v>2700</v>
      </c>
      <c r="F6" s="13" t="n">
        <v>2</v>
      </c>
      <c r="G6" s="13" t="n">
        <f aca="false">+D6*F6</f>
        <v>6600</v>
      </c>
      <c r="H6" s="15" t="n">
        <f aca="false">+E6*F6</f>
        <v>5400</v>
      </c>
      <c r="I6" s="13" t="n">
        <f aca="false">+E6*F6</f>
        <v>5400</v>
      </c>
      <c r="J6" s="16" t="n">
        <f aca="false">+D6*E6/1000000</f>
        <v>8.91</v>
      </c>
      <c r="K6" s="16" t="n">
        <f aca="false">+D6*E6/1000000</f>
        <v>8.91</v>
      </c>
      <c r="L6" s="16" t="n">
        <f aca="false">F6*J6</f>
        <v>17.82</v>
      </c>
      <c r="M6" s="17" t="n">
        <f aca="false">+F6*K6</f>
        <v>17.82</v>
      </c>
      <c r="P6" s="97" t="n">
        <v>2</v>
      </c>
      <c r="Q6" s="98" t="s">
        <v>18</v>
      </c>
      <c r="R6" s="98"/>
      <c r="S6" s="97" t="n">
        <v>1200</v>
      </c>
      <c r="T6" s="97" t="n">
        <f aca="false">U6-300</f>
        <v>1200</v>
      </c>
      <c r="U6" s="97" t="n">
        <v>1500</v>
      </c>
      <c r="V6" s="97" t="n">
        <f aca="false">U6*S6/1000000</f>
        <v>1.8</v>
      </c>
      <c r="Z6" s="97" t="n">
        <v>2</v>
      </c>
      <c r="AA6" s="98" t="s">
        <v>18</v>
      </c>
      <c r="AB6" s="98"/>
      <c r="AC6" s="97" t="n">
        <v>1200</v>
      </c>
      <c r="AD6" s="97" t="n">
        <f aca="false">AE6-300</f>
        <v>1200</v>
      </c>
      <c r="AE6" s="97" t="n">
        <v>1500</v>
      </c>
      <c r="AF6" s="97" t="n">
        <f aca="false">AE6*AC6/1000000</f>
        <v>1.8</v>
      </c>
    </row>
    <row r="7" customFormat="false" ht="17.35" hidden="false" customHeight="false" outlineLevel="0" collapsed="false">
      <c r="B7" s="13" t="n">
        <v>3</v>
      </c>
      <c r="C7" s="14" t="s">
        <v>18</v>
      </c>
      <c r="D7" s="15" t="n">
        <v>3300</v>
      </c>
      <c r="E7" s="15" t="n">
        <v>2400</v>
      </c>
      <c r="F7" s="13" t="n">
        <v>2</v>
      </c>
      <c r="G7" s="13" t="n">
        <f aca="false">+D7*F7</f>
        <v>6600</v>
      </c>
      <c r="H7" s="15" t="n">
        <f aca="false">+E7*F7</f>
        <v>4800</v>
      </c>
      <c r="I7" s="13" t="n">
        <f aca="false">+E7*F7</f>
        <v>4800</v>
      </c>
      <c r="J7" s="16" t="n">
        <f aca="false">+D7*E7/1000000</f>
        <v>7.92</v>
      </c>
      <c r="K7" s="16" t="n">
        <f aca="false">+D7*E7/1000000</f>
        <v>7.92</v>
      </c>
      <c r="L7" s="16" t="n">
        <f aca="false">F7*J7</f>
        <v>15.84</v>
      </c>
      <c r="M7" s="17" t="n">
        <f aca="false">+F7*K7</f>
        <v>15.84</v>
      </c>
      <c r="P7" s="97" t="n">
        <v>3</v>
      </c>
      <c r="Q7" s="98" t="s">
        <v>18</v>
      </c>
      <c r="R7" s="98"/>
      <c r="S7" s="97" t="n">
        <v>1800</v>
      </c>
      <c r="T7" s="97" t="n">
        <f aca="false">U7-300</f>
        <v>1200</v>
      </c>
      <c r="U7" s="97" t="n">
        <v>1500</v>
      </c>
      <c r="V7" s="97" t="n">
        <f aca="false">U7*S7/1000000</f>
        <v>2.7</v>
      </c>
      <c r="Z7" s="97" t="n">
        <v>3</v>
      </c>
      <c r="AA7" s="98" t="s">
        <v>18</v>
      </c>
      <c r="AB7" s="98"/>
      <c r="AC7" s="97" t="n">
        <v>1800</v>
      </c>
      <c r="AD7" s="97" t="n">
        <f aca="false">AE7-300</f>
        <v>1200</v>
      </c>
      <c r="AE7" s="97" t="n">
        <v>1500</v>
      </c>
      <c r="AF7" s="97" t="n">
        <f aca="false">AE7*AC7/1000000</f>
        <v>2.7</v>
      </c>
    </row>
    <row r="8" customFormat="false" ht="17.35" hidden="false" customHeight="false" outlineLevel="0" collapsed="false">
      <c r="B8" s="13" t="n">
        <v>4</v>
      </c>
      <c r="C8" s="14" t="s">
        <v>18</v>
      </c>
      <c r="D8" s="15" t="n">
        <v>1500</v>
      </c>
      <c r="E8" s="15" t="n">
        <v>2700</v>
      </c>
      <c r="F8" s="13" t="n">
        <v>2</v>
      </c>
      <c r="G8" s="13" t="n">
        <f aca="false">+D8*F8</f>
        <v>3000</v>
      </c>
      <c r="H8" s="15" t="n">
        <f aca="false">+E8*F8</f>
        <v>5400</v>
      </c>
      <c r="I8" s="13" t="n">
        <f aca="false">+E8*F8</f>
        <v>5400</v>
      </c>
      <c r="J8" s="16" t="n">
        <f aca="false">+D8*E8/1000000</f>
        <v>4.05</v>
      </c>
      <c r="K8" s="16" t="n">
        <f aca="false">+D8*E8/1000000</f>
        <v>4.05</v>
      </c>
      <c r="L8" s="16" t="n">
        <f aca="false">F8*J8</f>
        <v>8.1</v>
      </c>
      <c r="M8" s="17" t="n">
        <f aca="false">+F8*K8</f>
        <v>8.1</v>
      </c>
      <c r="P8" s="97" t="n">
        <v>4</v>
      </c>
      <c r="Q8" s="98" t="s">
        <v>18</v>
      </c>
      <c r="R8" s="98"/>
      <c r="S8" s="97" t="n">
        <v>1600</v>
      </c>
      <c r="T8" s="97" t="n">
        <f aca="false">U8-300</f>
        <v>1200</v>
      </c>
      <c r="U8" s="97" t="n">
        <v>1500</v>
      </c>
      <c r="V8" s="97" t="n">
        <f aca="false">U8*S8/1000000</f>
        <v>2.4</v>
      </c>
      <c r="Z8" s="97" t="n">
        <v>4</v>
      </c>
      <c r="AA8" s="98" t="s">
        <v>18</v>
      </c>
      <c r="AB8" s="98"/>
      <c r="AC8" s="97" t="n">
        <v>1600</v>
      </c>
      <c r="AD8" s="97" t="n">
        <f aca="false">AE8-300</f>
        <v>1200</v>
      </c>
      <c r="AE8" s="97" t="n">
        <v>1500</v>
      </c>
      <c r="AF8" s="97" t="n">
        <f aca="false">AE8*AC8/1000000</f>
        <v>2.4</v>
      </c>
    </row>
    <row r="9" customFormat="false" ht="17.35" hidden="false" customHeight="false" outlineLevel="0" collapsed="false">
      <c r="B9" s="13" t="n">
        <v>10</v>
      </c>
      <c r="C9" s="14" t="s">
        <v>18</v>
      </c>
      <c r="D9" s="15" t="n">
        <v>0</v>
      </c>
      <c r="E9" s="15" t="n">
        <v>0</v>
      </c>
      <c r="F9" s="13"/>
      <c r="G9" s="13" t="n">
        <f aca="false">+D9*F9</f>
        <v>0</v>
      </c>
      <c r="H9" s="15" t="n">
        <f aca="false">+E9*F9</f>
        <v>0</v>
      </c>
      <c r="I9" s="13" t="n">
        <f aca="false">+E9*F9</f>
        <v>0</v>
      </c>
      <c r="J9" s="16" t="n">
        <f aca="false">+D9*E9/1000000</f>
        <v>0</v>
      </c>
      <c r="K9" s="16" t="n">
        <f aca="false">+D9*E9/1000000</f>
        <v>0</v>
      </c>
      <c r="L9" s="16" t="n">
        <f aca="false">F9*J9</f>
        <v>0</v>
      </c>
      <c r="M9" s="17" t="n">
        <f aca="false">+F9*K9</f>
        <v>0</v>
      </c>
      <c r="P9" s="97" t="n">
        <v>10</v>
      </c>
      <c r="Q9" s="98" t="s">
        <v>18</v>
      </c>
      <c r="R9" s="98"/>
      <c r="S9" s="97" t="n">
        <v>0</v>
      </c>
      <c r="T9" s="97" t="n">
        <v>0</v>
      </c>
      <c r="U9" s="97" t="n">
        <v>0</v>
      </c>
      <c r="V9" s="97" t="n">
        <f aca="false">U9*S9/1000000</f>
        <v>0</v>
      </c>
      <c r="Z9" s="97" t="n">
        <v>10</v>
      </c>
      <c r="AA9" s="98" t="s">
        <v>18</v>
      </c>
      <c r="AB9" s="98"/>
      <c r="AC9" s="97" t="n">
        <v>0</v>
      </c>
      <c r="AD9" s="97" t="n">
        <v>0</v>
      </c>
      <c r="AE9" s="97" t="n">
        <v>0</v>
      </c>
      <c r="AF9" s="97" t="n">
        <f aca="false">AE9*AC9/1000000</f>
        <v>0</v>
      </c>
    </row>
    <row r="10" customFormat="false" ht="17.35" hidden="false" customHeight="false" outlineLevel="0" collapsed="false">
      <c r="B10" s="13" t="n">
        <v>11</v>
      </c>
      <c r="C10" s="14" t="s">
        <v>18</v>
      </c>
      <c r="D10" s="15" t="n">
        <v>0</v>
      </c>
      <c r="E10" s="15" t="n">
        <v>0</v>
      </c>
      <c r="F10" s="13"/>
      <c r="G10" s="13" t="n">
        <f aca="false">+D10*F10</f>
        <v>0</v>
      </c>
      <c r="H10" s="15" t="n">
        <f aca="false">+E10*F10</f>
        <v>0</v>
      </c>
      <c r="I10" s="13" t="n">
        <f aca="false">+E10*F10</f>
        <v>0</v>
      </c>
      <c r="J10" s="16" t="n">
        <f aca="false">+D10*E10/1000000</f>
        <v>0</v>
      </c>
      <c r="K10" s="16" t="n">
        <f aca="false">+D10*E10/1000000</f>
        <v>0</v>
      </c>
      <c r="L10" s="16" t="n">
        <f aca="false">F10*J10</f>
        <v>0</v>
      </c>
      <c r="M10" s="17" t="n">
        <f aca="false">+F10*K10</f>
        <v>0</v>
      </c>
      <c r="P10" s="97" t="n">
        <v>11</v>
      </c>
      <c r="Q10" s="98" t="s">
        <v>18</v>
      </c>
      <c r="R10" s="98"/>
      <c r="S10" s="97" t="n">
        <v>0</v>
      </c>
      <c r="T10" s="97" t="n">
        <v>0</v>
      </c>
      <c r="U10" s="97" t="n">
        <v>0</v>
      </c>
      <c r="V10" s="97" t="n">
        <f aca="false">U10*S10/1000000</f>
        <v>0</v>
      </c>
      <c r="Z10" s="97" t="n">
        <v>11</v>
      </c>
      <c r="AA10" s="98" t="s">
        <v>18</v>
      </c>
      <c r="AB10" s="98"/>
      <c r="AC10" s="97" t="n">
        <v>0</v>
      </c>
      <c r="AD10" s="97" t="n">
        <v>0</v>
      </c>
      <c r="AE10" s="97" t="n">
        <v>0</v>
      </c>
      <c r="AF10" s="97" t="n">
        <f aca="false">AE10*AC10/1000000</f>
        <v>0</v>
      </c>
    </row>
    <row r="11" customFormat="false" ht="17.35" hidden="false" customHeight="false" outlineLevel="0" collapsed="false">
      <c r="B11" s="13" t="n">
        <v>12</v>
      </c>
      <c r="C11" s="14" t="s">
        <v>18</v>
      </c>
      <c r="D11" s="15" t="n">
        <v>0</v>
      </c>
      <c r="E11" s="15" t="n">
        <v>0</v>
      </c>
      <c r="F11" s="13"/>
      <c r="G11" s="13" t="n">
        <f aca="false">+D11*F11</f>
        <v>0</v>
      </c>
      <c r="H11" s="15" t="n">
        <f aca="false">+E11*F11</f>
        <v>0</v>
      </c>
      <c r="I11" s="13" t="n">
        <f aca="false">+E11*F11</f>
        <v>0</v>
      </c>
      <c r="J11" s="16" t="n">
        <f aca="false">+D11*E11/1000000</f>
        <v>0</v>
      </c>
      <c r="K11" s="16" t="n">
        <f aca="false">+D11*E11/1000000</f>
        <v>0</v>
      </c>
      <c r="L11" s="16" t="n">
        <f aca="false">F11*J11</f>
        <v>0</v>
      </c>
      <c r="M11" s="17" t="n">
        <f aca="false">+F11*K11</f>
        <v>0</v>
      </c>
      <c r="P11" s="97" t="n">
        <v>12</v>
      </c>
      <c r="Q11" s="98" t="s">
        <v>18</v>
      </c>
      <c r="R11" s="98"/>
      <c r="S11" s="97" t="n">
        <v>0</v>
      </c>
      <c r="T11" s="97" t="n">
        <v>0</v>
      </c>
      <c r="U11" s="97" t="n">
        <v>0</v>
      </c>
      <c r="V11" s="97" t="n">
        <f aca="false">U11*S11/1000000</f>
        <v>0</v>
      </c>
      <c r="Z11" s="97" t="n">
        <v>12</v>
      </c>
      <c r="AA11" s="98" t="s">
        <v>18</v>
      </c>
      <c r="AB11" s="98"/>
      <c r="AC11" s="97" t="n">
        <v>0</v>
      </c>
      <c r="AD11" s="97" t="n">
        <v>0</v>
      </c>
      <c r="AE11" s="97" t="n">
        <v>0</v>
      </c>
      <c r="AF11" s="97" t="n">
        <f aca="false">AE11*AC11/1000000</f>
        <v>0</v>
      </c>
    </row>
    <row r="12" customFormat="false" ht="17.35" hidden="false" customHeight="false" outlineLevel="0" collapsed="false">
      <c r="B12" s="13" t="n">
        <v>13</v>
      </c>
      <c r="C12" s="14" t="s">
        <v>18</v>
      </c>
      <c r="D12" s="15" t="n">
        <v>0</v>
      </c>
      <c r="E12" s="15" t="n">
        <v>0</v>
      </c>
      <c r="F12" s="13"/>
      <c r="G12" s="13" t="n">
        <f aca="false">+D12*F12</f>
        <v>0</v>
      </c>
      <c r="H12" s="15" t="n">
        <f aca="false">+E12*F12</f>
        <v>0</v>
      </c>
      <c r="I12" s="13" t="n">
        <f aca="false">+E12*F12</f>
        <v>0</v>
      </c>
      <c r="J12" s="16" t="n">
        <f aca="false">+D12*E12/1000000</f>
        <v>0</v>
      </c>
      <c r="K12" s="16" t="n">
        <f aca="false">+D12*E12/1000000</f>
        <v>0</v>
      </c>
      <c r="L12" s="16" t="n">
        <f aca="false">F12*J12</f>
        <v>0</v>
      </c>
      <c r="M12" s="17" t="n">
        <f aca="false">+F12*K12</f>
        <v>0</v>
      </c>
      <c r="P12" s="97" t="n">
        <v>13</v>
      </c>
      <c r="Q12" s="98" t="s">
        <v>18</v>
      </c>
      <c r="R12" s="98"/>
      <c r="S12" s="97" t="n">
        <v>0</v>
      </c>
      <c r="T12" s="97" t="n">
        <v>0</v>
      </c>
      <c r="U12" s="97" t="n">
        <v>0</v>
      </c>
      <c r="V12" s="97" t="n">
        <f aca="false">U12*S12/1000000</f>
        <v>0</v>
      </c>
      <c r="Z12" s="97" t="n">
        <v>13</v>
      </c>
      <c r="AA12" s="98" t="s">
        <v>18</v>
      </c>
      <c r="AB12" s="98"/>
      <c r="AC12" s="97" t="n">
        <v>0</v>
      </c>
      <c r="AD12" s="97" t="n">
        <v>0</v>
      </c>
      <c r="AE12" s="97" t="n">
        <v>0</v>
      </c>
      <c r="AF12" s="97" t="n">
        <f aca="false">AE12*AC12/1000000</f>
        <v>0</v>
      </c>
    </row>
    <row r="13" customFormat="false" ht="17.35" hidden="false" customHeight="false" outlineLevel="0" collapsed="false">
      <c r="B13" s="13" t="n">
        <v>14</v>
      </c>
      <c r="C13" s="14" t="s">
        <v>18</v>
      </c>
      <c r="D13" s="15" t="n">
        <v>0</v>
      </c>
      <c r="E13" s="15" t="n">
        <v>0</v>
      </c>
      <c r="F13" s="13"/>
      <c r="G13" s="13" t="n">
        <f aca="false">+D13*F13</f>
        <v>0</v>
      </c>
      <c r="H13" s="15" t="n">
        <f aca="false">+E13*F13</f>
        <v>0</v>
      </c>
      <c r="I13" s="13" t="n">
        <f aca="false">+E13*F13</f>
        <v>0</v>
      </c>
      <c r="J13" s="16" t="n">
        <f aca="false">+D13*E13/1000000</f>
        <v>0</v>
      </c>
      <c r="K13" s="16" t="n">
        <f aca="false">+D13*E13/1000000</f>
        <v>0</v>
      </c>
      <c r="L13" s="16" t="n">
        <f aca="false">F13*J13</f>
        <v>0</v>
      </c>
      <c r="M13" s="17" t="n">
        <f aca="false">+F13*K13</f>
        <v>0</v>
      </c>
      <c r="P13" s="97" t="n">
        <v>14</v>
      </c>
      <c r="Q13" s="98" t="s">
        <v>18</v>
      </c>
      <c r="R13" s="98"/>
      <c r="S13" s="97" t="n">
        <v>0</v>
      </c>
      <c r="T13" s="97" t="n">
        <v>0</v>
      </c>
      <c r="U13" s="97" t="n">
        <v>0</v>
      </c>
      <c r="V13" s="97" t="n">
        <f aca="false">U13*S13/1000000</f>
        <v>0</v>
      </c>
      <c r="Z13" s="97" t="n">
        <v>14</v>
      </c>
      <c r="AA13" s="98" t="s">
        <v>18</v>
      </c>
      <c r="AB13" s="98"/>
      <c r="AC13" s="97" t="n">
        <v>0</v>
      </c>
      <c r="AD13" s="97" t="n">
        <v>0</v>
      </c>
      <c r="AE13" s="97" t="n">
        <v>0</v>
      </c>
      <c r="AF13" s="97" t="n">
        <f aca="false">AE13*AC13/1000000</f>
        <v>0</v>
      </c>
    </row>
    <row r="14" customFormat="false" ht="17.35" hidden="false" customHeight="false" outlineLevel="0" collapsed="false">
      <c r="B14" s="13" t="n">
        <v>15</v>
      </c>
      <c r="C14" s="14" t="s">
        <v>18</v>
      </c>
      <c r="D14" s="15" t="n">
        <v>0</v>
      </c>
      <c r="E14" s="15" t="n">
        <v>0</v>
      </c>
      <c r="F14" s="13"/>
      <c r="G14" s="13" t="n">
        <f aca="false">+D14*F14</f>
        <v>0</v>
      </c>
      <c r="H14" s="15" t="n">
        <f aca="false">+E14*F14</f>
        <v>0</v>
      </c>
      <c r="I14" s="13" t="n">
        <f aca="false">+E14*F14</f>
        <v>0</v>
      </c>
      <c r="J14" s="16" t="n">
        <f aca="false">+D14*E14/1000000</f>
        <v>0</v>
      </c>
      <c r="K14" s="16" t="n">
        <f aca="false">+D14*E14/1000000</f>
        <v>0</v>
      </c>
      <c r="L14" s="16" t="n">
        <f aca="false">F14*J14</f>
        <v>0</v>
      </c>
      <c r="M14" s="17" t="n">
        <f aca="false">+F14*K14</f>
        <v>0</v>
      </c>
      <c r="P14" s="97" t="n">
        <v>15</v>
      </c>
      <c r="Q14" s="98" t="s">
        <v>18</v>
      </c>
      <c r="R14" s="98"/>
      <c r="S14" s="97" t="n">
        <v>0</v>
      </c>
      <c r="T14" s="97" t="n">
        <v>0</v>
      </c>
      <c r="U14" s="97" t="n">
        <v>0</v>
      </c>
      <c r="V14" s="97" t="n">
        <f aca="false">U14*S14/1000000</f>
        <v>0</v>
      </c>
      <c r="Z14" s="97" t="n">
        <v>15</v>
      </c>
      <c r="AA14" s="98" t="s">
        <v>18</v>
      </c>
      <c r="AB14" s="98"/>
      <c r="AC14" s="97" t="n">
        <v>0</v>
      </c>
      <c r="AD14" s="97" t="n">
        <v>0</v>
      </c>
      <c r="AE14" s="97" t="n">
        <v>0</v>
      </c>
      <c r="AF14" s="97" t="n">
        <f aca="false">AE14*AC14/1000000</f>
        <v>0</v>
      </c>
    </row>
    <row r="15" customFormat="false" ht="17.35" hidden="false" customHeight="false" outlineLevel="0" collapsed="false">
      <c r="B15" s="13" t="n">
        <v>16</v>
      </c>
      <c r="C15" s="14" t="s">
        <v>18</v>
      </c>
      <c r="D15" s="15" t="n">
        <v>0</v>
      </c>
      <c r="E15" s="15" t="n">
        <v>0</v>
      </c>
      <c r="F15" s="13"/>
      <c r="G15" s="13" t="n">
        <f aca="false">+D15*F15</f>
        <v>0</v>
      </c>
      <c r="H15" s="15" t="n">
        <f aca="false">+E15*F15</f>
        <v>0</v>
      </c>
      <c r="I15" s="13" t="n">
        <f aca="false">+E15*F15</f>
        <v>0</v>
      </c>
      <c r="J15" s="16" t="n">
        <f aca="false">+D15*E15/1000000</f>
        <v>0</v>
      </c>
      <c r="K15" s="16" t="n">
        <f aca="false">+D15*E15/1000000</f>
        <v>0</v>
      </c>
      <c r="L15" s="16" t="n">
        <f aca="false">F15*J15</f>
        <v>0</v>
      </c>
      <c r="M15" s="17" t="n">
        <f aca="false">+F15*K15</f>
        <v>0</v>
      </c>
      <c r="P15" s="97" t="n">
        <v>16</v>
      </c>
      <c r="Q15" s="98" t="s">
        <v>18</v>
      </c>
      <c r="R15" s="98"/>
      <c r="S15" s="97" t="n">
        <v>0</v>
      </c>
      <c r="T15" s="97" t="n">
        <v>0</v>
      </c>
      <c r="U15" s="97" t="n">
        <v>0</v>
      </c>
      <c r="V15" s="97" t="n">
        <f aca="false">U15*S15/1000000</f>
        <v>0</v>
      </c>
      <c r="Z15" s="97" t="n">
        <v>16</v>
      </c>
      <c r="AA15" s="98" t="s">
        <v>18</v>
      </c>
      <c r="AB15" s="98"/>
      <c r="AC15" s="97" t="n">
        <v>0</v>
      </c>
      <c r="AD15" s="97" t="n">
        <v>0</v>
      </c>
      <c r="AE15" s="97" t="n">
        <v>0</v>
      </c>
      <c r="AF15" s="97" t="n">
        <f aca="false">AE15*AC15/1000000</f>
        <v>0</v>
      </c>
    </row>
    <row r="16" customFormat="false" ht="17.35" hidden="false" customHeight="false" outlineLevel="0" collapsed="false">
      <c r="B16" s="13" t="n">
        <v>17</v>
      </c>
      <c r="C16" s="14" t="s">
        <v>18</v>
      </c>
      <c r="D16" s="15" t="n">
        <v>0</v>
      </c>
      <c r="E16" s="15" t="n">
        <v>0</v>
      </c>
      <c r="F16" s="13"/>
      <c r="G16" s="13" t="n">
        <f aca="false">+D16*F16</f>
        <v>0</v>
      </c>
      <c r="H16" s="15" t="n">
        <f aca="false">+E16*F16</f>
        <v>0</v>
      </c>
      <c r="I16" s="13" t="n">
        <f aca="false">+E16*F16</f>
        <v>0</v>
      </c>
      <c r="J16" s="16" t="n">
        <f aca="false">+D16*E16/1000000</f>
        <v>0</v>
      </c>
      <c r="K16" s="16" t="n">
        <f aca="false">+D16*E16/1000000</f>
        <v>0</v>
      </c>
      <c r="L16" s="16" t="n">
        <f aca="false">F16*J16</f>
        <v>0</v>
      </c>
      <c r="M16" s="17" t="n">
        <f aca="false">+F16*K16</f>
        <v>0</v>
      </c>
      <c r="P16" s="97" t="n">
        <v>17</v>
      </c>
      <c r="Q16" s="98" t="s">
        <v>18</v>
      </c>
      <c r="R16" s="98"/>
      <c r="S16" s="97" t="n">
        <v>0</v>
      </c>
      <c r="T16" s="97" t="n">
        <v>0</v>
      </c>
      <c r="U16" s="97" t="n">
        <v>0</v>
      </c>
      <c r="V16" s="97" t="n">
        <f aca="false">U16*S16/1000000</f>
        <v>0</v>
      </c>
      <c r="Z16" s="97" t="n">
        <v>17</v>
      </c>
      <c r="AA16" s="98" t="s">
        <v>18</v>
      </c>
      <c r="AB16" s="98"/>
      <c r="AC16" s="97" t="n">
        <v>0</v>
      </c>
      <c r="AD16" s="97" t="n">
        <v>0</v>
      </c>
      <c r="AE16" s="97" t="n">
        <v>0</v>
      </c>
      <c r="AF16" s="97" t="n">
        <f aca="false">AE16*AC16/1000000</f>
        <v>0</v>
      </c>
    </row>
    <row r="17" customFormat="false" ht="17.35" hidden="false" customHeight="false" outlineLevel="0" collapsed="false">
      <c r="B17" s="13" t="n">
        <v>18</v>
      </c>
      <c r="C17" s="14" t="s">
        <v>18</v>
      </c>
      <c r="D17" s="15" t="n">
        <v>0</v>
      </c>
      <c r="E17" s="15" t="n">
        <v>0</v>
      </c>
      <c r="F17" s="13"/>
      <c r="G17" s="13" t="n">
        <f aca="false">+D17*F17</f>
        <v>0</v>
      </c>
      <c r="H17" s="15" t="n">
        <f aca="false">+E17*F17</f>
        <v>0</v>
      </c>
      <c r="I17" s="13" t="n">
        <f aca="false">+E17*F17</f>
        <v>0</v>
      </c>
      <c r="J17" s="16" t="n">
        <f aca="false">+D17*E17/1000000</f>
        <v>0</v>
      </c>
      <c r="K17" s="16" t="n">
        <f aca="false">+D17*E17/1000000</f>
        <v>0</v>
      </c>
      <c r="L17" s="16" t="n">
        <f aca="false">F17*J17</f>
        <v>0</v>
      </c>
      <c r="M17" s="17" t="n">
        <f aca="false">+F17*K17</f>
        <v>0</v>
      </c>
      <c r="P17" s="97" t="n">
        <v>18</v>
      </c>
      <c r="Q17" s="98" t="s">
        <v>18</v>
      </c>
      <c r="R17" s="98"/>
      <c r="S17" s="97" t="n">
        <v>0</v>
      </c>
      <c r="T17" s="97" t="n">
        <v>0</v>
      </c>
      <c r="U17" s="97" t="n">
        <v>0</v>
      </c>
      <c r="V17" s="97" t="n">
        <f aca="false">U17*S17/1000000</f>
        <v>0</v>
      </c>
      <c r="Z17" s="97" t="n">
        <v>18</v>
      </c>
      <c r="AA17" s="98" t="s">
        <v>18</v>
      </c>
      <c r="AB17" s="98"/>
      <c r="AC17" s="97" t="n">
        <v>0</v>
      </c>
      <c r="AD17" s="97" t="n">
        <v>0</v>
      </c>
      <c r="AE17" s="97" t="n">
        <v>0</v>
      </c>
      <c r="AF17" s="97" t="n">
        <f aca="false">AE17*AC17/1000000</f>
        <v>0</v>
      </c>
    </row>
    <row r="18" customFormat="false" ht="17.35" hidden="false" customHeight="false" outlineLevel="0" collapsed="false">
      <c r="B18" s="13" t="n">
        <v>19</v>
      </c>
      <c r="C18" s="14" t="s">
        <v>18</v>
      </c>
      <c r="D18" s="15" t="n">
        <v>0</v>
      </c>
      <c r="E18" s="15" t="n">
        <v>0</v>
      </c>
      <c r="F18" s="13"/>
      <c r="G18" s="13" t="n">
        <f aca="false">+D18*F18</f>
        <v>0</v>
      </c>
      <c r="H18" s="15" t="n">
        <f aca="false">+E18*F18</f>
        <v>0</v>
      </c>
      <c r="I18" s="13" t="n">
        <f aca="false">+E18*F18</f>
        <v>0</v>
      </c>
      <c r="J18" s="16" t="n">
        <f aca="false">+D18*E18/1000000</f>
        <v>0</v>
      </c>
      <c r="K18" s="16" t="n">
        <f aca="false">+D18*E18/1000000</f>
        <v>0</v>
      </c>
      <c r="L18" s="16" t="n">
        <f aca="false">F18*J18</f>
        <v>0</v>
      </c>
      <c r="M18" s="17" t="n">
        <f aca="false">+F18*K18</f>
        <v>0</v>
      </c>
      <c r="P18" s="97" t="n">
        <v>19</v>
      </c>
      <c r="Q18" s="98" t="s">
        <v>18</v>
      </c>
      <c r="R18" s="98"/>
      <c r="S18" s="97" t="n">
        <v>0</v>
      </c>
      <c r="T18" s="97" t="n">
        <v>0</v>
      </c>
      <c r="U18" s="97" t="n">
        <v>0</v>
      </c>
      <c r="V18" s="97" t="n">
        <f aca="false">U18*S18/1000000</f>
        <v>0</v>
      </c>
      <c r="Z18" s="97" t="n">
        <v>19</v>
      </c>
      <c r="AA18" s="98" t="s">
        <v>18</v>
      </c>
      <c r="AB18" s="98"/>
      <c r="AC18" s="97" t="n">
        <v>0</v>
      </c>
      <c r="AD18" s="97" t="n">
        <v>0</v>
      </c>
      <c r="AE18" s="97" t="n">
        <v>0</v>
      </c>
      <c r="AF18" s="97" t="n">
        <f aca="false">AE18*AC18/1000000</f>
        <v>0</v>
      </c>
    </row>
    <row r="19" customFormat="false" ht="17.35" hidden="false" customHeight="false" outlineLevel="0" collapsed="false">
      <c r="B19" s="13" t="n">
        <v>20</v>
      </c>
      <c r="C19" s="14" t="s">
        <v>18</v>
      </c>
      <c r="D19" s="15" t="n">
        <v>0</v>
      </c>
      <c r="E19" s="15" t="n">
        <v>0</v>
      </c>
      <c r="F19" s="13"/>
      <c r="G19" s="13" t="n">
        <f aca="false">+D19*F19</f>
        <v>0</v>
      </c>
      <c r="H19" s="15" t="n">
        <f aca="false">+E19*F19</f>
        <v>0</v>
      </c>
      <c r="I19" s="13" t="n">
        <f aca="false">+E19*F19</f>
        <v>0</v>
      </c>
      <c r="J19" s="16" t="n">
        <f aca="false">+D19*E19/1000000</f>
        <v>0</v>
      </c>
      <c r="K19" s="16" t="n">
        <f aca="false">+D19*E19/1000000</f>
        <v>0</v>
      </c>
      <c r="L19" s="16" t="n">
        <f aca="false">F19*J19</f>
        <v>0</v>
      </c>
      <c r="M19" s="17" t="n">
        <f aca="false">+F19*K19</f>
        <v>0</v>
      </c>
      <c r="P19" s="97" t="n">
        <v>20</v>
      </c>
      <c r="Q19" s="98" t="s">
        <v>18</v>
      </c>
      <c r="R19" s="98"/>
      <c r="S19" s="97" t="n">
        <v>0</v>
      </c>
      <c r="T19" s="97" t="n">
        <v>0</v>
      </c>
      <c r="U19" s="97" t="n">
        <v>0</v>
      </c>
      <c r="V19" s="97" t="n">
        <f aca="false">U19*S19/1000000</f>
        <v>0</v>
      </c>
      <c r="Z19" s="97" t="n">
        <v>20</v>
      </c>
      <c r="AA19" s="98" t="s">
        <v>18</v>
      </c>
      <c r="AB19" s="98"/>
      <c r="AC19" s="97" t="n">
        <v>0</v>
      </c>
      <c r="AD19" s="97" t="n">
        <v>0</v>
      </c>
      <c r="AE19" s="97" t="n">
        <v>0</v>
      </c>
      <c r="AF19" s="97" t="n">
        <f aca="false">AE19*AC19/1000000</f>
        <v>0</v>
      </c>
    </row>
    <row r="20" customFormat="false" ht="17.35" hidden="false" customHeight="false" outlineLevel="0" collapsed="false">
      <c r="B20" s="31" t="s">
        <v>19</v>
      </c>
      <c r="C20" s="31"/>
      <c r="D20" s="32" t="n">
        <f aca="false">SUM(D5:D19)</f>
        <v>12200</v>
      </c>
      <c r="E20" s="33" t="n">
        <f aca="false">SUM(E5:E19)</f>
        <v>10200</v>
      </c>
      <c r="F20" s="34" t="n">
        <f aca="false">SUM(F5:F19)</f>
        <v>15</v>
      </c>
      <c r="G20" s="32" t="n">
        <f aca="false">SUM(G5:G19)</f>
        <v>53100</v>
      </c>
      <c r="H20" s="32" t="n">
        <f aca="false">SUM(H5:H19)</f>
        <v>37200</v>
      </c>
      <c r="I20" s="32" t="n">
        <f aca="false">SUM(I5:I19)</f>
        <v>37200</v>
      </c>
      <c r="J20" s="35" t="n">
        <f aca="false">SUM(J5:J19)</f>
        <v>30.72</v>
      </c>
      <c r="K20" s="35" t="n">
        <f aca="false">SUM(K5:K19)</f>
        <v>30.72</v>
      </c>
      <c r="L20" s="36" t="n">
        <f aca="false">SUM(L5:L19)</f>
        <v>130.32</v>
      </c>
      <c r="M20" s="37" t="n">
        <f aca="false">SUM(M5:M19)</f>
        <v>130.32</v>
      </c>
      <c r="T20" s="97" t="s">
        <v>117</v>
      </c>
      <c r="U20" s="97"/>
      <c r="V20" s="97" t="n">
        <f aca="false">SUM(V5:V19)</f>
        <v>9.15</v>
      </c>
      <c r="AD20" s="97" t="s">
        <v>117</v>
      </c>
      <c r="AE20" s="97"/>
      <c r="AF20" s="97" t="n">
        <f aca="false">SUM(AF5:AF19)</f>
        <v>9.15</v>
      </c>
    </row>
    <row r="21" customFormat="false" ht="17.35" hidden="false" customHeight="false" outlineLevel="0" collapsed="false">
      <c r="B21" s="4"/>
      <c r="C21" s="4"/>
      <c r="D21" s="4"/>
      <c r="E21" s="38"/>
      <c r="F21" s="39"/>
      <c r="G21" s="39"/>
      <c r="H21" s="4"/>
      <c r="I21" s="12"/>
      <c r="J21" s="12"/>
      <c r="K21" s="12"/>
      <c r="S21" s="95" t="s">
        <v>21</v>
      </c>
      <c r="T21" s="95" t="s">
        <v>23</v>
      </c>
      <c r="U21" s="95" t="s">
        <v>24</v>
      </c>
      <c r="V21" s="95" t="s">
        <v>25</v>
      </c>
      <c r="W21" s="99" t="s">
        <v>26</v>
      </c>
      <c r="X21" s="99" t="s">
        <v>37</v>
      </c>
      <c r="Y21" s="12"/>
      <c r="AD21" s="95" t="s">
        <v>21</v>
      </c>
      <c r="AE21" s="95" t="s">
        <v>23</v>
      </c>
      <c r="AF21" s="95" t="s">
        <v>24</v>
      </c>
      <c r="AG21" s="95" t="s">
        <v>25</v>
      </c>
      <c r="AH21" s="99" t="s">
        <v>26</v>
      </c>
      <c r="AI21" s="99" t="s">
        <v>37</v>
      </c>
      <c r="AJ21" s="12"/>
    </row>
    <row r="22" customFormat="false" ht="17.35" hidden="false" customHeight="false" outlineLevel="0" collapsed="false">
      <c r="B22" s="40" t="s">
        <v>20</v>
      </c>
      <c r="C22" s="40"/>
      <c r="D22" s="40"/>
      <c r="E22" s="40"/>
      <c r="F22" s="40"/>
      <c r="G22" s="40"/>
      <c r="H22" s="40"/>
      <c r="I22" s="40"/>
      <c r="J22" s="40"/>
      <c r="K22" s="22"/>
      <c r="R22" s="97" t="s">
        <v>118</v>
      </c>
      <c r="S22" s="97" t="n">
        <v>2015</v>
      </c>
      <c r="T22" s="97" t="e">
        <f aca="false">(S5*1)+(S6*1)+(S7*1)+(S8*1)+(#REF!*1)+(#REF!*1)+(#REF!*1)+(#REF!*1)+(#REF!*1)+(S9*1)+(S10*1)+(S11*1)+(S12*1)+(S13*1)+(S14*1)+(S15*1)+(S16*1)+(S17*1)+(S18*1)+(S19*1)</f>
        <v>#REF!</v>
      </c>
      <c r="U22" s="100" t="e">
        <f aca="false">T22+(T22*10%)</f>
        <v>#REF!</v>
      </c>
      <c r="V22" s="101" t="e">
        <f aca="false">U22/6400</f>
        <v>#REF!</v>
      </c>
      <c r="W22" s="101" t="e">
        <f aca="false">ROUNDUP(V22,0)</f>
        <v>#REF!</v>
      </c>
      <c r="X22" s="102" t="e">
        <f aca="false">W22*7.2</f>
        <v>#REF!</v>
      </c>
      <c r="Y22" s="22"/>
      <c r="AC22" s="97" t="s">
        <v>118</v>
      </c>
      <c r="AD22" s="97" t="n">
        <v>1005</v>
      </c>
      <c r="AE22" s="97" t="e">
        <f aca="false">(AC5*1)+(AC6*1)+(AC7*1)+(AC8*1)+(#REF!*1)+(#REF!*1)+(#REF!*1)+(#REF!*1)+(#REF!*1)+(AC9*1)+(AC10*1)+(AC11*1)+(AC12*1)+(AC13*1)+(AC14*1)+(AC15*1)+(AC16*1)+(AC17*1)+(AC18*1)+(AC19*1)</f>
        <v>#REF!</v>
      </c>
      <c r="AF22" s="100" t="e">
        <f aca="false">AE22+(AE22*10%)</f>
        <v>#REF!</v>
      </c>
      <c r="AG22" s="101" t="e">
        <f aca="false">AE22/6400</f>
        <v>#REF!</v>
      </c>
      <c r="AH22" s="101" t="e">
        <f aca="false">ROUNDUP(AG22,0)</f>
        <v>#REF!</v>
      </c>
      <c r="AI22" s="102" t="e">
        <f aca="false">AH22*7.2</f>
        <v>#REF!</v>
      </c>
      <c r="AJ22" s="22"/>
    </row>
    <row r="23" customFormat="false" ht="17.35" hidden="false" customHeight="false" outlineLevel="0" collapsed="false">
      <c r="B23" s="9" t="s">
        <v>5</v>
      </c>
      <c r="C23" s="42" t="s">
        <v>21</v>
      </c>
      <c r="D23" s="42" t="s">
        <v>22</v>
      </c>
      <c r="E23" s="42" t="s">
        <v>23</v>
      </c>
      <c r="F23" s="42" t="s">
        <v>24</v>
      </c>
      <c r="G23" s="42" t="s">
        <v>25</v>
      </c>
      <c r="H23" s="42" t="s">
        <v>26</v>
      </c>
      <c r="I23" s="42" t="s">
        <v>27</v>
      </c>
      <c r="J23" s="42" t="s">
        <v>28</v>
      </c>
      <c r="K23" s="22"/>
      <c r="L23" s="22"/>
      <c r="M23" s="22"/>
      <c r="N23" s="22"/>
      <c r="O23" s="22"/>
      <c r="P23" s="22"/>
      <c r="S23" s="97" t="s">
        <v>119</v>
      </c>
      <c r="T23" s="97" t="n">
        <v>2013</v>
      </c>
      <c r="U23" s="97" t="e">
        <f aca="false">(S5*1)+(S6*1)+(S7*1)+(S8*1)+(#REF!*1)+(#REF!*1)+(#REF!*1)+(#REF!*1)+(#REF!*1)+(S9*1)+(S10*1)+(S11*1)+(S12*1)+(S13*1)+(S14*1)+(S15*1)+(S16*1)+(S17*1)+(S18*1)+(S19*1)+(T5*2)+(T6*2)+(T7*2)+(T8*2)+(#REF!*2)+(#REF!*2)+(#REF!*2)+(#REF!*2)+(#REF!*2)+(T9*2)+(T10*2)+(T11*2)+(T12*2)+(T13*2)+(T14*2)+(T15*2)+(T16*2)+(T17*2)+(T18*2)+(T19*2)</f>
        <v>#REF!</v>
      </c>
      <c r="V23" s="100" t="e">
        <f aca="false">U23+(U23*10%)</f>
        <v>#REF!</v>
      </c>
      <c r="W23" s="101" t="e">
        <f aca="false">V23/6400</f>
        <v>#REF!</v>
      </c>
      <c r="X23" s="101" t="e">
        <f aca="false">ROUNDUP(W23,0)</f>
        <v>#REF!</v>
      </c>
      <c r="Y23" s="102" t="e">
        <f aca="false">X23*7.2</f>
        <v>#REF!</v>
      </c>
      <c r="Z23" s="22"/>
      <c r="AD23" s="97" t="s">
        <v>120</v>
      </c>
      <c r="AE23" s="97" t="n">
        <v>1007</v>
      </c>
      <c r="AF23" s="97" t="e">
        <f aca="false">(AD5*2)+(AD6*2)+(AD7*2)+(AD8*2)+(#REF!*2)+(#REF!*2)+(#REF!*2)+(#REF!*2)+(#REF!*2)+(AD9*2)+(AD10*2)+(AD11*2)+(AD12*2)+(AD13*2)+(AD14*2)+(AD15*2)+(AD16*2)+(AD17*2)+(AD18*2)+(AD19*2)</f>
        <v>#REF!</v>
      </c>
      <c r="AG23" s="100" t="e">
        <f aca="false">AF23+(AF23*10%)</f>
        <v>#REF!</v>
      </c>
      <c r="AH23" s="101" t="e">
        <f aca="false">AF23/6400</f>
        <v>#REF!</v>
      </c>
      <c r="AI23" s="101" t="e">
        <f aca="false">ROUNDUP(AH23,0)</f>
        <v>#REF!</v>
      </c>
      <c r="AJ23" s="102" t="e">
        <f aca="false">AI23*7.2</f>
        <v>#REF!</v>
      </c>
      <c r="AK23" s="22"/>
    </row>
    <row r="24" customFormat="false" ht="17.35" hidden="false" customHeight="false" outlineLevel="0" collapsed="false">
      <c r="B24" s="13" t="n">
        <v>1</v>
      </c>
      <c r="C24" s="13" t="n">
        <v>5034</v>
      </c>
      <c r="D24" s="13" t="s">
        <v>29</v>
      </c>
      <c r="E24" s="15" t="n">
        <f aca="false">+G20*2+I20*2</f>
        <v>180600</v>
      </c>
      <c r="F24" s="15" t="n">
        <f aca="false">E24+(E24*10%)</f>
        <v>198660</v>
      </c>
      <c r="G24" s="43" t="n">
        <f aca="false">F24/6400</f>
        <v>31.040625</v>
      </c>
      <c r="H24" s="43" t="n">
        <f aca="false">ROUNDUP(G24,0)</f>
        <v>32</v>
      </c>
      <c r="I24" s="44" t="n">
        <v>5.4</v>
      </c>
      <c r="J24" s="44" t="n">
        <f aca="false">+I24*H24</f>
        <v>172.8</v>
      </c>
      <c r="K24" s="22"/>
      <c r="L24" s="22"/>
      <c r="M24" s="22"/>
      <c r="N24" s="22"/>
      <c r="O24" s="22"/>
      <c r="P24" s="22"/>
      <c r="S24" s="97" t="s">
        <v>121</v>
      </c>
      <c r="T24" s="97" t="n">
        <v>2005</v>
      </c>
      <c r="U24" s="97" t="e">
        <f aca="false">(S5*1)+(S6*1)+(S7*1)+(S8*1)+(#REF!*1)+(#REF!*1)+(#REF!*1)+(#REF!*1)+(#REF!*1)+(S9*1)+(S10*1)+(S11*1)+(S12*1)+(S13*1)+(S14*1)+(S15*1)+(S16*1)+(S17*1)+(S18*1)+(S19*1)</f>
        <v>#REF!</v>
      </c>
      <c r="V24" s="100" t="e">
        <f aca="false">U24+(U24*10%)</f>
        <v>#REF!</v>
      </c>
      <c r="W24" s="101" t="e">
        <f aca="false">V24/6400</f>
        <v>#REF!</v>
      </c>
      <c r="X24" s="101" t="e">
        <f aca="false">ROUNDUP(W24,0)</f>
        <v>#REF!</v>
      </c>
      <c r="Y24" s="102" t="e">
        <f aca="false">X24*7.2</f>
        <v>#REF!</v>
      </c>
      <c r="Z24" s="22"/>
      <c r="AD24" s="97" t="s">
        <v>122</v>
      </c>
      <c r="AE24" s="3" t="n">
        <v>1001</v>
      </c>
      <c r="AF24" s="3" t="e">
        <f aca="false">(AC5*1)+(AC6*1)+(AC7*1)+(AC8*1)+(#REF!*1)+(#REF!*1)+(#REF!*1)+(#REF!*1)+(#REF!*1)+(AC9*1)+(AC10*1)+(AC11*1)+(AC12*1)+(AC13*1)+(AC14*1)+(AC15*1)+(AC16*1)+(AC17*1)+(AC18*1)+(AC19*1)</f>
        <v>#REF!</v>
      </c>
      <c r="AG24" s="100" t="e">
        <f aca="false">AF24+(AF24*10%)</f>
        <v>#REF!</v>
      </c>
      <c r="AH24" s="101" t="e">
        <f aca="false">AF24/6400</f>
        <v>#REF!</v>
      </c>
      <c r="AI24" s="101" t="e">
        <f aca="false">ROUNDUP(AH24,0)</f>
        <v>#REF!</v>
      </c>
      <c r="AJ24" s="102" t="e">
        <f aca="false">AI24*7.2</f>
        <v>#REF!</v>
      </c>
      <c r="AK24" s="22"/>
    </row>
    <row r="25" customFormat="false" ht="17.35" hidden="false" customHeight="false" outlineLevel="0" collapsed="false">
      <c r="B25" s="13" t="n">
        <v>2</v>
      </c>
      <c r="C25" s="13" t="n">
        <v>5019</v>
      </c>
      <c r="D25" s="13" t="s">
        <v>30</v>
      </c>
      <c r="E25" s="15" t="n">
        <f aca="false">+G20*2+I20*4</f>
        <v>255000</v>
      </c>
      <c r="F25" s="15" t="n">
        <f aca="false">E25+(E25*10%)</f>
        <v>280500</v>
      </c>
      <c r="G25" s="43" t="n">
        <f aca="false">F25/6400</f>
        <v>43.828125</v>
      </c>
      <c r="H25" s="43" t="n">
        <f aca="false">ROUNDUP(G25,0)</f>
        <v>44</v>
      </c>
      <c r="I25" s="44" t="n">
        <v>4.5</v>
      </c>
      <c r="J25" s="44" t="n">
        <f aca="false">+I25*H25</f>
        <v>198</v>
      </c>
      <c r="K25" s="22"/>
      <c r="L25" s="22"/>
      <c r="M25" s="22"/>
      <c r="N25" s="22"/>
      <c r="O25" s="22"/>
      <c r="P25" s="22"/>
      <c r="S25" s="97" t="s">
        <v>123</v>
      </c>
      <c r="T25" s="97" t="n">
        <v>2007</v>
      </c>
      <c r="U25" s="103" t="e">
        <f aca="false">(S5*1)+(S6*1)+(S7*1)+(S8*1)+(#REF!*1)+(#REF!*1)+(#REF!*1)+(#REF!*1)+(#REF!*1)+(S9*1)+(S10*1)+(S11*1)+(S12*1)+(S13*1)+(S14*1)+(S15*1)+(S16*1)+(S17*1)+(S18*1)+(S19*1)</f>
        <v>#REF!</v>
      </c>
      <c r="V25" s="100" t="e">
        <f aca="false">U25+(U25*10%)</f>
        <v>#REF!</v>
      </c>
      <c r="W25" s="101" t="e">
        <f aca="false">V25/6400</f>
        <v>#REF!</v>
      </c>
      <c r="X25" s="101" t="e">
        <f aca="false">ROUNDUP(W25,0)</f>
        <v>#REF!</v>
      </c>
      <c r="Y25" s="102" t="e">
        <f aca="false">X25*7.2</f>
        <v>#REF!</v>
      </c>
      <c r="Z25" s="21"/>
      <c r="AD25" s="97" t="s">
        <v>121</v>
      </c>
      <c r="AE25" s="97" t="n">
        <v>1009</v>
      </c>
      <c r="AF25" s="97" t="e">
        <f aca="false">(AC5*1)+(AC6*1)+(AC7*1)+(AC8*1)+(#REF!*1)+(#REF!*1)+(#REF!*1)+(#REF!*1)+(#REF!*1)+(AC9*1)+(AC10*1)+(AC11*1)+(AC12*1)+(AC13*1)+(AC14*1)+(AC15*1)+(AC16*1)+(AC17*1)+(AC18*1)+(AC19*1)</f>
        <v>#REF!</v>
      </c>
      <c r="AG25" s="100" t="e">
        <f aca="false">AF25+(AF25*10%)</f>
        <v>#REF!</v>
      </c>
      <c r="AH25" s="101" t="e">
        <f aca="false">AF25/6400</f>
        <v>#REF!</v>
      </c>
      <c r="AI25" s="101" t="e">
        <f aca="false">ROUNDUP(AH25,0)</f>
        <v>#REF!</v>
      </c>
      <c r="AJ25" s="102" t="e">
        <f aca="false">AI25*7.2</f>
        <v>#REF!</v>
      </c>
      <c r="AK25" s="21"/>
    </row>
    <row r="26" customFormat="false" ht="17.35" hidden="false" customHeight="false" outlineLevel="0" collapsed="false">
      <c r="B26" s="13" t="n">
        <v>3</v>
      </c>
      <c r="C26" s="13" t="n">
        <v>5023</v>
      </c>
      <c r="D26" s="13" t="s">
        <v>31</v>
      </c>
      <c r="E26" s="15" t="n">
        <f aca="false">+I20*2</f>
        <v>74400</v>
      </c>
      <c r="F26" s="15" t="n">
        <f aca="false">E26+(E26*10%)</f>
        <v>81840</v>
      </c>
      <c r="G26" s="43" t="n">
        <f aca="false">F26/6400</f>
        <v>12.7875</v>
      </c>
      <c r="H26" s="43" t="n">
        <f aca="false">ROUNDUP(G26,0)</f>
        <v>13</v>
      </c>
      <c r="I26" s="44" t="n">
        <v>2.3</v>
      </c>
      <c r="J26" s="44" t="n">
        <f aca="false">+I26*H26</f>
        <v>29.9</v>
      </c>
      <c r="K26" s="23"/>
      <c r="L26" s="23"/>
      <c r="M26" s="23"/>
      <c r="N26" s="23"/>
      <c r="O26" s="23"/>
      <c r="P26" s="23"/>
      <c r="S26" s="97" t="s">
        <v>124</v>
      </c>
      <c r="T26" s="97" t="n">
        <v>2009</v>
      </c>
      <c r="U26" s="97" t="e">
        <f aca="false">(T5*2)+(T6*2)+(T7*2)+(T8*2)+(#REF!*2)+(#REF!*2)+(#REF!*2)+(#REF!*2)+(#REF!*2)+(T9*2)+(T10*2)+(T11*2)+(T12*2)+(T13*2)+(T14*2)+(T15*2)+(T16*2)+(T17*2)+(T18*2)+(T19*2)</f>
        <v>#REF!</v>
      </c>
      <c r="V26" s="100" t="e">
        <f aca="false">U26+(U26*10%)</f>
        <v>#REF!</v>
      </c>
      <c r="W26" s="101" t="e">
        <f aca="false">V26/6400</f>
        <v>#REF!</v>
      </c>
      <c r="X26" s="101" t="e">
        <f aca="false">ROUNDUP(W26,0)</f>
        <v>#REF!</v>
      </c>
      <c r="Y26" s="102" t="e">
        <f aca="false">X26*7.2</f>
        <v>#REF!</v>
      </c>
      <c r="Z26" s="21"/>
      <c r="AD26" s="97" t="s">
        <v>123</v>
      </c>
      <c r="AE26" s="97" t="n">
        <v>1011</v>
      </c>
      <c r="AF26" s="103" t="e">
        <f aca="false">(AC5*1)+(AC6*1)+(AC7*1)+(AC8*1)+(#REF!*1)+(#REF!*1)+(#REF!*1)+(#REF!*1)+(#REF!*1)+(AC9*1)+(AC10*1)+(AC11*1)+(AC12*1)+(AC13*1)+(AC14*1)+(AC15*1)+(AC16*1)+(AC17*1)+(AC18*1)+(AC19*1)</f>
        <v>#REF!</v>
      </c>
      <c r="AG26" s="100" t="e">
        <f aca="false">AF26+(AF26*10%)</f>
        <v>#REF!</v>
      </c>
      <c r="AH26" s="101" t="e">
        <f aca="false">AF26/6400</f>
        <v>#REF!</v>
      </c>
      <c r="AI26" s="101" t="e">
        <f aca="false">ROUNDUP(AH26,0)</f>
        <v>#REF!</v>
      </c>
      <c r="AJ26" s="102" t="e">
        <f aca="false">AI26*7.2</f>
        <v>#REF!</v>
      </c>
      <c r="AK26" s="21"/>
    </row>
    <row r="27" customFormat="false" ht="17.35" hidden="false" customHeight="false" outlineLevel="0" collapsed="false">
      <c r="B27" s="13"/>
      <c r="C27" s="13"/>
      <c r="D27" s="13"/>
      <c r="E27" s="15"/>
      <c r="F27" s="15"/>
      <c r="G27" s="43"/>
      <c r="H27" s="43"/>
      <c r="I27" s="44"/>
      <c r="J27" s="44"/>
      <c r="R27" s="25"/>
      <c r="S27" s="97" t="s">
        <v>125</v>
      </c>
      <c r="T27" s="97" t="n">
        <v>2011</v>
      </c>
      <c r="U27" s="97" t="e">
        <f aca="false">(T5*2)+(T6*2)+(T7*2)+(T8*2)+(#REF!*2)+(#REF!*2)+(#REF!*2)+(#REF!*2)+(#REF!*2)+(T9*2)+(T10*2)+(T11*2)+(T12*2)+(T13*2)+(T14*2)+(T15*2)+(T16*2)+(T17*2)+(T18*2)+(T19*2)</f>
        <v>#REF!</v>
      </c>
      <c r="V27" s="100" t="e">
        <f aca="false">U27+(U27*10%)</f>
        <v>#REF!</v>
      </c>
      <c r="W27" s="101" t="e">
        <f aca="false">V27/6400</f>
        <v>#REF!</v>
      </c>
      <c r="X27" s="101" t="e">
        <f aca="false">ROUNDUP(W27,0)</f>
        <v>#REF!</v>
      </c>
      <c r="Y27" s="102" t="e">
        <f aca="false">X27*7.2</f>
        <v>#REF!</v>
      </c>
      <c r="Z27" s="21"/>
      <c r="AD27" s="97" t="s">
        <v>124</v>
      </c>
      <c r="AE27" s="97" t="n">
        <v>1013</v>
      </c>
      <c r="AF27" s="97" t="e">
        <f aca="false">(AD5*2)+(AD6*2)+(AD7*2)+(AD8*2)+(#REF!*2)+(#REF!*2)+(#REF!*2)+(#REF!*2)+(#REF!*2)+(AD9*2)+(AD10*2)+(AD11*2)+(AD12*2)+(AD13*2)+(AD14*2)+(AD15*2)+(AD16*2)+(AD17*2)+(AD18*2)+(AD19*2)</f>
        <v>#REF!</v>
      </c>
      <c r="AG27" s="100" t="e">
        <f aca="false">AF27+(AF27*10%)</f>
        <v>#REF!</v>
      </c>
      <c r="AH27" s="101" t="e">
        <f aca="false">AF27/6400</f>
        <v>#REF!</v>
      </c>
      <c r="AI27" s="101" t="e">
        <f aca="false">ROUNDUP(AH27,0)</f>
        <v>#REF!</v>
      </c>
      <c r="AJ27" s="102" t="e">
        <f aca="false">AI27*7.2</f>
        <v>#REF!</v>
      </c>
      <c r="AK27" s="21"/>
    </row>
    <row r="28" customFormat="false" ht="17.35" hidden="false" customHeight="false" outlineLevel="0" collapsed="false">
      <c r="H28" s="23"/>
      <c r="I28" s="56" t="s">
        <v>19</v>
      </c>
      <c r="J28" s="56" t="n">
        <f aca="false">SUM(J24:J27)</f>
        <v>400.7</v>
      </c>
      <c r="K28" s="22"/>
      <c r="P28" s="25"/>
      <c r="Q28" s="97" t="s">
        <v>126</v>
      </c>
      <c r="R28" s="3" t="n">
        <v>2025</v>
      </c>
      <c r="S28" s="97" t="e">
        <f aca="false">(S5*1)+(S6*1)+(S7*1)+(S8*1)+(#REF!*1)+(#REF!*1)+(#REF!*1)+(#REF!*1)+(#REF!*1)+(S9*1)+(S10*1)+(S11*1)+(S12*1)+(S13*1)+(S14*1)+(S15*1)+(S16*1)+(S17*1)+(S18*1)+(S19*1)+(T5*2)+(T6*2)+(T7*2)+(T8*2)+(#REF!*2)+(#REF!*2)+(#REF!*2)+(#REF!*2)+(#REF!*2)+(T9*2)+(T10*2)+(T11*2)+(T12*2)+(T13*2)+(T14*2)+(T15*2)+(T16*2)+(T17*2)+(T18*2)+(T19*2)</f>
        <v>#REF!</v>
      </c>
      <c r="T28" s="100" t="e">
        <f aca="false">S28+(S28*10%)</f>
        <v>#REF!</v>
      </c>
      <c r="U28" s="101" t="e">
        <f aca="false">T28/6400</f>
        <v>#REF!</v>
      </c>
      <c r="V28" s="101" t="e">
        <f aca="false">ROUNDUP(U28,0)</f>
        <v>#REF!</v>
      </c>
      <c r="W28" s="102" t="e">
        <f aca="false">V28*7.2</f>
        <v>#REF!</v>
      </c>
      <c r="X28" s="23"/>
      <c r="AB28" s="97" t="s">
        <v>125</v>
      </c>
      <c r="AC28" s="97" t="n">
        <v>1017</v>
      </c>
      <c r="AD28" s="97" t="e">
        <f aca="false">(AD5*2)+(AD6*2)+(AD7*2)+(AD8*2)+(#REF!*2)+(#REF!*2)+(#REF!*2)+(#REF!*2)+(#REF!*2)+(AD9*2)+(AD10*2)+(AD11*2)+(AD12*2)+(AD13*2)+(AD14*2)+(AD15*2)+(AD16*2)+(AD17*2)+(AD18*2)+(AD19*2)</f>
        <v>#REF!</v>
      </c>
      <c r="AE28" s="100" t="e">
        <f aca="false">AD28+(AD28*10%)</f>
        <v>#REF!</v>
      </c>
      <c r="AF28" s="101" t="e">
        <f aca="false">AD28/6400</f>
        <v>#REF!</v>
      </c>
      <c r="AG28" s="101" t="e">
        <f aca="false">ROUNDUP(AF28,0)</f>
        <v>#REF!</v>
      </c>
      <c r="AH28" s="102" t="e">
        <f aca="false">AG28*7.2</f>
        <v>#REF!</v>
      </c>
      <c r="AI28" s="23"/>
    </row>
    <row r="29" customFormat="false" ht="17.35" hidden="false" customHeight="false" outlineLevel="0" collapsed="false">
      <c r="H29" s="11"/>
      <c r="N29" s="6"/>
      <c r="O29" s="6"/>
      <c r="P29" s="104" t="s">
        <v>127</v>
      </c>
      <c r="Q29" s="104"/>
      <c r="U29" s="101"/>
      <c r="V29" s="23"/>
      <c r="AA29" s="97" t="s">
        <v>128</v>
      </c>
      <c r="AB29" s="97" t="n">
        <v>1019</v>
      </c>
      <c r="AC29" s="97" t="e">
        <f aca="false">(AC5*1)+(AC6*1)+(AC7*1)+(AC8*1)+(#REF!*1)+(#REF!*1)+(#REF!*1)+(#REF!*1)+(#REF!*1)+(AC9*1)+(AC10*1)+(AC11*1)+(AC12*1)+(AC13*1)+(AC14*1)+(AC15*1)+(AC16*1)+(AC17*1)+(AC18*1)+(AC19*1)+(AD5*2)+(AD6*2)+(AD7*2)+(AD8*2)+(#REF!*2)+(#REF!*2)+(#REF!*2)+(#REF!*2)+(#REF!*2)+(AD9*2)+(AD10*2)+(AD11*2)+(AD12*2)+(AD13*2)+(AD14*2)+(AD15*2)+(AD16*2)+(AD17*2)+(AD18*2)+(AD19*2)</f>
        <v>#REF!</v>
      </c>
      <c r="AD29" s="100" t="e">
        <f aca="false">AC29+(AC29*10%)</f>
        <v>#REF!</v>
      </c>
      <c r="AE29" s="101" t="e">
        <f aca="false">AC29/6400</f>
        <v>#REF!</v>
      </c>
      <c r="AF29" s="101" t="e">
        <f aca="false">ROUNDUP(AE29,0)</f>
        <v>#REF!</v>
      </c>
      <c r="AG29" s="102" t="e">
        <f aca="false">AF29*7.2</f>
        <v>#REF!</v>
      </c>
    </row>
    <row r="30" customFormat="false" ht="17.35" hidden="false" customHeight="false" outlineLevel="0" collapsed="false">
      <c r="A30" s="4"/>
      <c r="N30" s="12"/>
      <c r="O30" s="25"/>
      <c r="P30" s="105" t="s">
        <v>129</v>
      </c>
      <c r="Q30" s="97" t="n">
        <v>7007</v>
      </c>
      <c r="R30" s="97" t="e">
        <f aca="false">(S5*2)+(S6*2)+(S7*2)+(S8*2)+(#REF!*2)+(#REF!*2)+(#REF!*2)+(#REF!*2)+(#REF!*2)+(S9*2)+(S10*2)+(S11*2)+(S12*2)+(S13*2)+(S14*2)+(S15*2)+(S16*2)+(S17*2)+(S18*2)+(S19*2)+(300*8)</f>
        <v>#REF!</v>
      </c>
      <c r="S30" s="100" t="e">
        <f aca="false">R30+(R30*10%)</f>
        <v>#REF!</v>
      </c>
      <c r="T30" s="101" t="e">
        <f aca="false">S30/6400</f>
        <v>#REF!</v>
      </c>
      <c r="U30" s="101" t="e">
        <f aca="false">ROUNDUP(T30,0)</f>
        <v>#REF!</v>
      </c>
      <c r="V30" s="102" t="e">
        <f aca="false">U30*7.2</f>
        <v>#REF!</v>
      </c>
      <c r="AA30" s="106" t="s">
        <v>127</v>
      </c>
      <c r="AB30" s="106"/>
      <c r="AF30" s="101"/>
      <c r="AG30" s="23"/>
    </row>
    <row r="31" customFormat="false" ht="17.35" hidden="false" customHeight="false" outlineLevel="0" collapsed="false">
      <c r="A31" s="27"/>
      <c r="B31" s="42" t="s">
        <v>50</v>
      </c>
      <c r="C31" s="42"/>
      <c r="D31" s="42"/>
      <c r="E31" s="42"/>
      <c r="F31" s="42"/>
      <c r="G31" s="42"/>
      <c r="H31" s="42"/>
      <c r="N31" s="22"/>
      <c r="P31" s="25"/>
      <c r="Q31" s="105" t="s">
        <v>129</v>
      </c>
      <c r="R31" s="97" t="n">
        <v>1544</v>
      </c>
      <c r="S31" s="97" t="n">
        <f aca="false">300*8</f>
        <v>2400</v>
      </c>
      <c r="T31" s="100" t="n">
        <f aca="false">S31+(S31*10%)</f>
        <v>2640</v>
      </c>
      <c r="U31" s="101" t="n">
        <f aca="false">T31/6400</f>
        <v>0.4125</v>
      </c>
      <c r="V31" s="101" t="n">
        <f aca="false">ROUNDUP(U31,0)</f>
        <v>1</v>
      </c>
      <c r="W31" s="102" t="n">
        <f aca="false">V31*7.2</f>
        <v>7.2</v>
      </c>
      <c r="AA31" s="97" t="s">
        <v>120</v>
      </c>
      <c r="AB31" s="105" t="s">
        <v>129</v>
      </c>
      <c r="AC31" s="97" t="n">
        <v>1021</v>
      </c>
      <c r="AD31" s="97" t="n">
        <f aca="false">300*8</f>
        <v>2400</v>
      </c>
      <c r="AE31" s="100" t="n">
        <f aca="false">AD31+(AD31*10%)</f>
        <v>2640</v>
      </c>
      <c r="AF31" s="101" t="n">
        <f aca="false">AD31/6400</f>
        <v>0.375</v>
      </c>
      <c r="AG31" s="101" t="n">
        <f aca="false">ROUNDUP(AF31,0)</f>
        <v>1</v>
      </c>
      <c r="AH31" s="102" t="n">
        <f aca="false">AG31*7.2</f>
        <v>7.2</v>
      </c>
    </row>
    <row r="32" customFormat="false" ht="17.35" hidden="false" customHeight="false" outlineLevel="0" collapsed="false">
      <c r="A32" s="27"/>
      <c r="B32" s="9" t="s">
        <v>5</v>
      </c>
      <c r="C32" s="9" t="s">
        <v>22</v>
      </c>
      <c r="D32" s="9" t="s">
        <v>51</v>
      </c>
      <c r="E32" s="9" t="s">
        <v>52</v>
      </c>
      <c r="F32" s="9" t="s">
        <v>53</v>
      </c>
      <c r="G32" s="9" t="s">
        <v>54</v>
      </c>
      <c r="H32" s="9" t="s">
        <v>55</v>
      </c>
      <c r="N32" s="22"/>
      <c r="Q32" s="105" t="s">
        <v>130</v>
      </c>
      <c r="R32" s="97" t="n">
        <v>6515</v>
      </c>
      <c r="S32" s="97" t="e">
        <f aca="false">(S19*5)+(S5*5)+(S6*5)+(S7*5)+(S8*5)+(#REF!*5)+(#REF!*5)+(#REF!*5)+(#REF!*5)+(#REF!*5)+(S9*5)+(S10*5)+(S11*5)+(S12*5)+(S13*5)+(S14*5)+(S15*5)+(S16*5)+(S17*5)+(S18*5)</f>
        <v>#REF!</v>
      </c>
      <c r="T32" s="100" t="e">
        <f aca="false">S32+(S32*10%)</f>
        <v>#REF!</v>
      </c>
      <c r="U32" s="101" t="e">
        <f aca="false">T32/6400</f>
        <v>#REF!</v>
      </c>
      <c r="V32" s="101" t="e">
        <f aca="false">ROUNDUP(U32,0)</f>
        <v>#REF!</v>
      </c>
      <c r="W32" s="102" t="e">
        <f aca="false">V32*7.2</f>
        <v>#REF!</v>
      </c>
      <c r="AA32" s="97" t="s">
        <v>131</v>
      </c>
      <c r="AB32" s="105" t="s">
        <v>132</v>
      </c>
      <c r="AC32" s="97" t="n">
        <v>1027</v>
      </c>
      <c r="AD32" s="97" t="e">
        <f aca="false">(AC5*1)+(AC6*1)+(AC7*1)+(AC8*1)+(#REF!*1)+(#REF!*1)+(#REF!*1)+(#REF!*1)+(#REF!*1)+(AC9*1)+(AC10*1)+(AC11*1)+(AC12*1)+(AC13*1)+(AC14*1)+(AC15*1)+(AC16*1)+(AC17*1)+(AC18*1)+(AC19*1)</f>
        <v>#REF!</v>
      </c>
      <c r="AE32" s="100" t="e">
        <f aca="false">AD32+(AD32*10%)</f>
        <v>#REF!</v>
      </c>
      <c r="AF32" s="101" t="e">
        <f aca="false">AD32/6400</f>
        <v>#REF!</v>
      </c>
      <c r="AG32" s="101" t="e">
        <f aca="false">ROUNDUP(AF32,0)</f>
        <v>#REF!</v>
      </c>
      <c r="AH32" s="102" t="e">
        <f aca="false">AG32*7.2</f>
        <v>#REF!</v>
      </c>
    </row>
    <row r="33" customFormat="false" ht="17.35" hidden="false" customHeight="false" outlineLevel="0" collapsed="false">
      <c r="A33" s="27"/>
      <c r="B33" s="13" t="n">
        <v>1</v>
      </c>
      <c r="C33" s="13" t="s">
        <v>56</v>
      </c>
      <c r="D33" s="58" t="s">
        <v>57</v>
      </c>
      <c r="E33" s="13" t="n">
        <v>2</v>
      </c>
      <c r="F33" s="13" t="n">
        <f aca="false">+E33*$F$20</f>
        <v>30</v>
      </c>
      <c r="G33" s="15" t="n">
        <v>4000</v>
      </c>
      <c r="H33" s="15" t="n">
        <f aca="false">+F33*G33</f>
        <v>120000</v>
      </c>
      <c r="N33" s="22"/>
      <c r="Q33" s="105" t="s">
        <v>133</v>
      </c>
      <c r="R33" s="97" t="n">
        <v>3035</v>
      </c>
      <c r="S33" s="97" t="e">
        <f aca="false">(S19*2)+(S5*2)+(S6*2)+(S7*2)+(S8*2)+(#REF!*2)+(#REF!*2)+(#REF!*2)+(#REF!*2)+(#REF!*2)+(S9*2)+(S10*2)+(S11*2)+(S12*2)+(S13*2)+(S14*2)+(S15*2)+(S16*2)+(S17*2)+(S18*2)+(300*16)</f>
        <v>#REF!</v>
      </c>
      <c r="T33" s="100" t="e">
        <f aca="false">S33+(S33*10%)</f>
        <v>#REF!</v>
      </c>
      <c r="U33" s="101" t="e">
        <f aca="false">T33/6400</f>
        <v>#REF!</v>
      </c>
      <c r="V33" s="101" t="e">
        <f aca="false">ROUNDUP(U33,0)</f>
        <v>#REF!</v>
      </c>
      <c r="W33" s="102" t="e">
        <f aca="false">V33*7.2</f>
        <v>#REF!</v>
      </c>
      <c r="AA33" s="97" t="s">
        <v>134</v>
      </c>
      <c r="AB33" s="105" t="s">
        <v>132</v>
      </c>
      <c r="AC33" s="97" t="n">
        <v>1029</v>
      </c>
      <c r="AD33" s="97" t="n">
        <f aca="false">300*4</f>
        <v>1200</v>
      </c>
      <c r="AE33" s="100" t="n">
        <f aca="false">AD33+(AD33*10%)</f>
        <v>1320</v>
      </c>
      <c r="AF33" s="101" t="n">
        <f aca="false">AD33/6400</f>
        <v>0.1875</v>
      </c>
      <c r="AG33" s="101" t="n">
        <f aca="false">ROUNDUP(AF33,0)</f>
        <v>1</v>
      </c>
      <c r="AH33" s="102" t="n">
        <f aca="false">AG33*7.2</f>
        <v>7.2</v>
      </c>
    </row>
    <row r="34" customFormat="false" ht="17.35" hidden="false" customHeight="false" outlineLevel="0" collapsed="false">
      <c r="A34" s="27"/>
      <c r="B34" s="13" t="n">
        <v>2</v>
      </c>
      <c r="C34" s="13" t="s">
        <v>58</v>
      </c>
      <c r="D34" s="58" t="s">
        <v>57</v>
      </c>
      <c r="E34" s="13" t="n">
        <v>1</v>
      </c>
      <c r="F34" s="13" t="n">
        <f aca="false">+E34*$F$20</f>
        <v>15</v>
      </c>
      <c r="G34" s="15" t="n">
        <v>10000</v>
      </c>
      <c r="H34" s="15" t="n">
        <f aca="false">+F34*G34</f>
        <v>150000</v>
      </c>
      <c r="N34" s="22"/>
      <c r="Q34" s="25"/>
      <c r="U34" s="107" t="e">
        <f aca="false">SUM(R22:R33)</f>
        <v>#REF!</v>
      </c>
      <c r="V34" s="107"/>
      <c r="W34" s="108" t="e">
        <f aca="false">SUM(T22:T33)</f>
        <v>#REF!</v>
      </c>
      <c r="AB34" s="105" t="s">
        <v>133</v>
      </c>
      <c r="AC34" s="97" t="n">
        <v>3035</v>
      </c>
      <c r="AD34" s="97" t="e">
        <f aca="false">(AC19*2)+(AC5*2)+(AC6*2)+(AC7*2)+(AC8*2)+(#REF!*2)+(#REF!*2)+(#REF!*2)+(#REF!*2)+(#REF!*2)+(AC9*2)+(AC10*2)+(AC11*2)+(AC12*2)+(AC13*2)+(AC14*2)+(AC15*2)+(AC16*2)+(AC17*2)+(AC18*2)+(300*16)</f>
        <v>#REF!</v>
      </c>
      <c r="AE34" s="100" t="e">
        <f aca="false">AD34+(AD34*10%)</f>
        <v>#REF!</v>
      </c>
      <c r="AF34" s="101" t="e">
        <f aca="false">AD34/6400</f>
        <v>#REF!</v>
      </c>
      <c r="AG34" s="101" t="e">
        <f aca="false">ROUNDUP(AF34,0)</f>
        <v>#REF!</v>
      </c>
      <c r="AH34" s="102" t="e">
        <f aca="false">AG34*7.2</f>
        <v>#REF!</v>
      </c>
    </row>
    <row r="35" customFormat="false" ht="17.35" hidden="false" customHeight="false" outlineLevel="0" collapsed="false">
      <c r="A35" s="27"/>
      <c r="B35" s="13" t="n">
        <v>3</v>
      </c>
      <c r="C35" s="13" t="s">
        <v>59</v>
      </c>
      <c r="D35" s="58" t="s">
        <v>57</v>
      </c>
      <c r="E35" s="13" t="n">
        <v>8</v>
      </c>
      <c r="F35" s="13" t="n">
        <f aca="false">+E35*$F$20</f>
        <v>120</v>
      </c>
      <c r="G35" s="15" t="n">
        <v>3500</v>
      </c>
      <c r="H35" s="15" t="n">
        <f aca="false">F35*G35</f>
        <v>420000</v>
      </c>
      <c r="N35" s="22"/>
      <c r="AA35" s="105" t="s">
        <v>132</v>
      </c>
      <c r="AB35" s="97" t="n">
        <v>1544</v>
      </c>
      <c r="AC35" s="97" t="n">
        <f aca="false">300*4</f>
        <v>1200</v>
      </c>
      <c r="AD35" s="100" t="n">
        <f aca="false">AC35+(AC35*10%)</f>
        <v>1320</v>
      </c>
      <c r="AE35" s="101" t="n">
        <f aca="false">AD35/6400</f>
        <v>0.20625</v>
      </c>
      <c r="AF35" s="101" t="n">
        <f aca="false">AD35/6400</f>
        <v>0.20625</v>
      </c>
      <c r="AG35" s="101" t="n">
        <f aca="false">ROUNDUP(AF35,0)</f>
        <v>1</v>
      </c>
      <c r="AH35" s="102" t="n">
        <f aca="false">AG35*7.2</f>
        <v>7.2</v>
      </c>
    </row>
    <row r="36" customFormat="false" ht="17.35" hidden="false" customHeight="false" outlineLevel="0" collapsed="false">
      <c r="B36" s="13" t="n">
        <v>4</v>
      </c>
      <c r="C36" s="13" t="s">
        <v>60</v>
      </c>
      <c r="D36" s="58" t="s">
        <v>57</v>
      </c>
      <c r="E36" s="13" t="n">
        <v>16</v>
      </c>
      <c r="F36" s="13" t="n">
        <f aca="false">+E36*$F$20</f>
        <v>240</v>
      </c>
      <c r="G36" s="15" t="n">
        <v>400</v>
      </c>
      <c r="H36" s="15" t="n">
        <f aca="false">+F36*G36</f>
        <v>96000</v>
      </c>
      <c r="N36" s="23"/>
      <c r="Q36" s="95" t="s">
        <v>135</v>
      </c>
      <c r="R36" s="95"/>
      <c r="S36" s="95"/>
      <c r="T36" s="109" t="e">
        <f aca="false">W34*3.7</f>
        <v>#REF!</v>
      </c>
      <c r="Y36" s="105" t="s">
        <v>133</v>
      </c>
      <c r="Z36" s="97" t="n">
        <v>6515</v>
      </c>
      <c r="AA36" s="97" t="e">
        <f aca="false">(#REF!*5)+(#REF!*5)+(#REF!*5)+(#REF!*5)+(#REF!*5)+(AC9*5)+(AC10*5)+(AC11*5)+(AC12*5)+(AC13*5)+(AC14*5)+(AC15*5)+(AC16*5)+(AC17*5)+(AC18*5)+(AC19*5)+(AC5*5)+(AC6*5)+(AC7*5)+(AC8*5)</f>
        <v>#REF!</v>
      </c>
      <c r="AB36" s="100" t="e">
        <f aca="false">AA36+(AA36*10%)</f>
        <v>#REF!</v>
      </c>
      <c r="AC36" s="101" t="e">
        <f aca="false">AB36/6400</f>
        <v>#REF!</v>
      </c>
      <c r="AD36" s="101" t="e">
        <f aca="false">AB36/6400</f>
        <v>#REF!</v>
      </c>
      <c r="AE36" s="101" t="e">
        <f aca="false">ROUNDUP(AD36,0)</f>
        <v>#REF!</v>
      </c>
      <c r="AF36" s="102" t="e">
        <f aca="false">AE36*7.2</f>
        <v>#REF!</v>
      </c>
    </row>
    <row r="37" customFormat="false" ht="17.35" hidden="false" customHeight="false" outlineLevel="0" collapsed="false">
      <c r="B37" s="13" t="n">
        <v>5</v>
      </c>
      <c r="C37" s="13" t="s">
        <v>61</v>
      </c>
      <c r="D37" s="58" t="s">
        <v>62</v>
      </c>
      <c r="E37" s="13" t="s">
        <v>153</v>
      </c>
      <c r="F37" s="16" t="n">
        <f aca="false">+(G20*3+I20*8)/1000</f>
        <v>456.9</v>
      </c>
      <c r="G37" s="15" t="n">
        <v>335</v>
      </c>
      <c r="H37" s="15" t="n">
        <f aca="false">+F37*G37</f>
        <v>153061.5</v>
      </c>
      <c r="AB37" s="108" t="e">
        <f aca="false">SUM(AC22:AC36)</f>
        <v>#REF!</v>
      </c>
      <c r="AD37" s="101"/>
      <c r="AE37" s="110" t="e">
        <f aca="false">SUM(AE22:AE36)</f>
        <v>#REF!</v>
      </c>
    </row>
    <row r="38" customFormat="false" ht="65" hidden="false" customHeight="true" outlineLevel="0" collapsed="false">
      <c r="B38" s="46" t="n">
        <v>6</v>
      </c>
      <c r="C38" s="58" t="s">
        <v>64</v>
      </c>
      <c r="D38" s="58" t="s">
        <v>62</v>
      </c>
      <c r="E38" s="59" t="s">
        <v>154</v>
      </c>
      <c r="F38" s="60" t="n">
        <f aca="false">+(G20*6+H20*16)/1000</f>
        <v>913.8</v>
      </c>
      <c r="G38" s="61" t="n">
        <v>1000</v>
      </c>
      <c r="H38" s="48" t="n">
        <f aca="false">+F38*G38</f>
        <v>913800</v>
      </c>
    </row>
    <row r="39" customFormat="false" ht="17.35" hidden="false" customHeight="false" outlineLevel="0" collapsed="false">
      <c r="B39" s="13" t="n">
        <v>7</v>
      </c>
      <c r="C39" s="13" t="s">
        <v>66</v>
      </c>
      <c r="D39" s="58" t="s">
        <v>57</v>
      </c>
      <c r="E39" s="13" t="n">
        <v>12</v>
      </c>
      <c r="F39" s="13" t="n">
        <f aca="false">+E39*$F$20</f>
        <v>180</v>
      </c>
      <c r="G39" s="15" t="n">
        <v>50</v>
      </c>
      <c r="H39" s="15" t="n">
        <f aca="false">+F39*G39</f>
        <v>9000</v>
      </c>
      <c r="M39" s="3" t="n">
        <v>0.9</v>
      </c>
    </row>
    <row r="40" customFormat="false" ht="17.35" hidden="false" customHeight="false" outlineLevel="0" collapsed="false">
      <c r="B40" s="13" t="n">
        <v>8</v>
      </c>
      <c r="C40" s="13" t="s">
        <v>67</v>
      </c>
      <c r="D40" s="58" t="s">
        <v>57</v>
      </c>
      <c r="E40" s="13" t="n">
        <v>12</v>
      </c>
      <c r="F40" s="13" t="n">
        <f aca="false">+E40*$F$20</f>
        <v>180</v>
      </c>
      <c r="G40" s="15" t="n">
        <v>40</v>
      </c>
      <c r="H40" s="15" t="n">
        <f aca="false">+F40*G40</f>
        <v>7200</v>
      </c>
      <c r="M40" s="3" t="n">
        <v>1.1</v>
      </c>
      <c r="AB40" s="95" t="s">
        <v>135</v>
      </c>
      <c r="AC40" s="111"/>
      <c r="AD40" s="111"/>
      <c r="AE40" s="112" t="e">
        <f aca="false">AE37*3.7</f>
        <v>#REF!</v>
      </c>
    </row>
    <row r="41" customFormat="false" ht="17.35" hidden="false" customHeight="false" outlineLevel="0" collapsed="false">
      <c r="B41" s="13" t="n">
        <v>9</v>
      </c>
      <c r="C41" s="13" t="s">
        <v>68</v>
      </c>
      <c r="D41" s="58" t="s">
        <v>57</v>
      </c>
      <c r="E41" s="13" t="n">
        <v>2</v>
      </c>
      <c r="F41" s="13" t="n">
        <f aca="false">+E41*$F$20</f>
        <v>30</v>
      </c>
      <c r="G41" s="15" t="n">
        <v>10000</v>
      </c>
      <c r="H41" s="15" t="n">
        <f aca="false">+F41*G41</f>
        <v>300000</v>
      </c>
      <c r="M41" s="3" t="n">
        <v>1.1</v>
      </c>
    </row>
    <row r="42" customFormat="false" ht="29.85" hidden="false" customHeight="false" outlineLevel="0" collapsed="false">
      <c r="B42" s="46" t="n">
        <v>10</v>
      </c>
      <c r="C42" s="46" t="s">
        <v>70</v>
      </c>
      <c r="D42" s="58" t="s">
        <v>14</v>
      </c>
      <c r="E42" s="47" t="s">
        <v>71</v>
      </c>
      <c r="F42" s="62" t="n">
        <f aca="false">L20</f>
        <v>130.32</v>
      </c>
      <c r="G42" s="48" t="n">
        <v>48000</v>
      </c>
      <c r="H42" s="48" t="n">
        <f aca="false">+F42*G42</f>
        <v>6255360</v>
      </c>
      <c r="M42" s="3" t="n">
        <v>1.5</v>
      </c>
    </row>
    <row r="43" customFormat="false" ht="17.35" hidden="false" customHeight="false" outlineLevel="0" collapsed="false">
      <c r="B43" s="13"/>
      <c r="C43" s="13"/>
      <c r="D43" s="58"/>
      <c r="E43" s="117"/>
      <c r="F43" s="13"/>
      <c r="G43" s="63"/>
      <c r="H43" s="15"/>
    </row>
    <row r="44" customFormat="false" ht="19.7" hidden="false" customHeight="false" outlineLevel="0" collapsed="false">
      <c r="G44" s="64" t="s">
        <v>19</v>
      </c>
      <c r="H44" s="65" t="n">
        <f aca="false">SUM(H33:H43)</f>
        <v>8424421.5</v>
      </c>
    </row>
    <row r="46" customFormat="false" ht="63" hidden="false" customHeight="true" outlineLevel="0" collapsed="false">
      <c r="B46" s="42" t="s">
        <v>73</v>
      </c>
      <c r="C46" s="42"/>
      <c r="D46" s="42"/>
      <c r="E46" s="42"/>
      <c r="F46" s="42"/>
      <c r="G46" s="42"/>
      <c r="H46" s="42"/>
    </row>
    <row r="47" customFormat="false" ht="17.35" hidden="false" customHeight="false" outlineLevel="0" collapsed="false">
      <c r="B47" s="9" t="s">
        <v>5</v>
      </c>
      <c r="C47" s="9" t="s">
        <v>22</v>
      </c>
      <c r="D47" s="9" t="s">
        <v>51</v>
      </c>
      <c r="E47" s="9" t="s">
        <v>74</v>
      </c>
      <c r="F47" s="9" t="s">
        <v>75</v>
      </c>
      <c r="G47" s="9" t="s">
        <v>54</v>
      </c>
      <c r="H47" s="9" t="s">
        <v>55</v>
      </c>
      <c r="N47" s="3" t="n">
        <v>0.85</v>
      </c>
      <c r="O47" s="3" t="n">
        <f aca="false">+M39*N47</f>
        <v>0.765</v>
      </c>
    </row>
    <row r="48" customFormat="false" ht="17.35" hidden="false" customHeight="false" outlineLevel="0" collapsed="false">
      <c r="B48" s="46" t="n">
        <v>1</v>
      </c>
      <c r="C48" s="46" t="s">
        <v>56</v>
      </c>
      <c r="D48" s="58" t="s">
        <v>57</v>
      </c>
      <c r="E48" s="46" t="n">
        <v>4</v>
      </c>
      <c r="F48" s="46" t="n">
        <f aca="false">+E48*$F$20</f>
        <v>60</v>
      </c>
      <c r="G48" s="48" t="n">
        <v>4000</v>
      </c>
      <c r="H48" s="48" t="n">
        <f aca="false">+F48*G48</f>
        <v>240000</v>
      </c>
      <c r="N48" s="3" t="n">
        <v>2.4</v>
      </c>
      <c r="O48" s="3" t="n">
        <f aca="false">+M40*N48</f>
        <v>2.64</v>
      </c>
    </row>
    <row r="49" customFormat="false" ht="17.35" hidden="false" customHeight="false" outlineLevel="0" collapsed="false">
      <c r="B49" s="46" t="n">
        <v>2</v>
      </c>
      <c r="C49" s="46" t="s">
        <v>58</v>
      </c>
      <c r="D49" s="58" t="s">
        <v>57</v>
      </c>
      <c r="E49" s="46" t="n">
        <v>2</v>
      </c>
      <c r="F49" s="46" t="n">
        <f aca="false">+E49*$F$20</f>
        <v>30</v>
      </c>
      <c r="G49" s="48" t="n">
        <v>10000</v>
      </c>
      <c r="H49" s="48" t="n">
        <f aca="false">+F49*G49</f>
        <v>300000</v>
      </c>
      <c r="N49" s="3" t="n">
        <v>1.85</v>
      </c>
      <c r="O49" s="3" t="n">
        <f aca="false">+M41*N49</f>
        <v>2.035</v>
      </c>
    </row>
    <row r="50" customFormat="false" ht="17.35" hidden="false" customHeight="false" outlineLevel="0" collapsed="false">
      <c r="B50" s="46" t="n">
        <v>4</v>
      </c>
      <c r="C50" s="46" t="s">
        <v>59</v>
      </c>
      <c r="D50" s="58" t="s">
        <v>57</v>
      </c>
      <c r="E50" s="46" t="n">
        <v>8</v>
      </c>
      <c r="F50" s="46" t="n">
        <f aca="false">+E50*$F$20</f>
        <v>120</v>
      </c>
      <c r="G50" s="48" t="n">
        <v>3500</v>
      </c>
      <c r="H50" s="48" t="n">
        <f aca="false">F50*G50</f>
        <v>420000</v>
      </c>
      <c r="N50" s="3" t="n">
        <v>2.4</v>
      </c>
      <c r="O50" s="3" t="n">
        <f aca="false">+M42*N50</f>
        <v>3.6</v>
      </c>
    </row>
    <row r="51" customFormat="false" ht="17.35" hidden="false" customHeight="false" outlineLevel="0" collapsed="false">
      <c r="B51" s="46" t="n">
        <v>5</v>
      </c>
      <c r="C51" s="46" t="s">
        <v>60</v>
      </c>
      <c r="D51" s="58" t="s">
        <v>57</v>
      </c>
      <c r="E51" s="46" t="n">
        <v>16</v>
      </c>
      <c r="F51" s="46" t="n">
        <f aca="false">+E51*$F$20</f>
        <v>240</v>
      </c>
      <c r="G51" s="48" t="n">
        <v>400</v>
      </c>
      <c r="H51" s="48" t="n">
        <f aca="false">+F51*G51</f>
        <v>96000</v>
      </c>
      <c r="O51" s="3" t="n">
        <f aca="false">SUM(O47:O50)</f>
        <v>9.04</v>
      </c>
      <c r="P51" s="3" t="n">
        <v>110</v>
      </c>
      <c r="Q51" s="3" t="n">
        <f aca="false">+O51*P51</f>
        <v>994.4</v>
      </c>
    </row>
    <row r="52" customFormat="false" ht="17.35" hidden="false" customHeight="false" outlineLevel="0" collapsed="false">
      <c r="B52" s="46" t="n">
        <v>6</v>
      </c>
      <c r="C52" s="46" t="s">
        <v>61</v>
      </c>
      <c r="D52" s="58" t="s">
        <v>62</v>
      </c>
      <c r="E52" s="46" t="s">
        <v>153</v>
      </c>
      <c r="F52" s="60" t="n">
        <f aca="false">+(G20*3+I20*8)/1000</f>
        <v>456.9</v>
      </c>
      <c r="G52" s="48" t="n">
        <v>335</v>
      </c>
      <c r="H52" s="48" t="n">
        <f aca="false">+F52*G52</f>
        <v>153061.5</v>
      </c>
    </row>
    <row r="53" customFormat="false" ht="29.85" hidden="false" customHeight="false" outlineLevel="0" collapsed="false">
      <c r="B53" s="66" t="n">
        <v>7</v>
      </c>
      <c r="C53" s="58" t="s">
        <v>64</v>
      </c>
      <c r="D53" s="58" t="s">
        <v>62</v>
      </c>
      <c r="E53" s="59" t="s">
        <v>155</v>
      </c>
      <c r="F53" s="60" t="n">
        <f aca="false">+(G20*6+H20*16)/1000</f>
        <v>913.8</v>
      </c>
      <c r="G53" s="61" t="n">
        <v>1000</v>
      </c>
      <c r="H53" s="48" t="n">
        <f aca="false">+F53*G53</f>
        <v>913800</v>
      </c>
    </row>
    <row r="54" customFormat="false" ht="17.35" hidden="false" customHeight="false" outlineLevel="0" collapsed="false">
      <c r="B54" s="46" t="n">
        <v>8</v>
      </c>
      <c r="C54" s="46" t="s">
        <v>66</v>
      </c>
      <c r="D54" s="58" t="s">
        <v>57</v>
      </c>
      <c r="E54" s="46" t="n">
        <v>12</v>
      </c>
      <c r="F54" s="46" t="n">
        <f aca="false">+E54*$F$20</f>
        <v>180</v>
      </c>
      <c r="G54" s="48" t="n">
        <v>50</v>
      </c>
      <c r="H54" s="48" t="n">
        <f aca="false">+F54*G54</f>
        <v>9000</v>
      </c>
    </row>
    <row r="55" customFormat="false" ht="17.35" hidden="false" customHeight="false" outlineLevel="0" collapsed="false">
      <c r="B55" s="46" t="n">
        <v>9</v>
      </c>
      <c r="C55" s="46" t="s">
        <v>67</v>
      </c>
      <c r="D55" s="58" t="s">
        <v>57</v>
      </c>
      <c r="E55" s="46" t="n">
        <v>12</v>
      </c>
      <c r="F55" s="46" t="n">
        <f aca="false">+E55*$F$20</f>
        <v>180</v>
      </c>
      <c r="G55" s="48" t="n">
        <v>40</v>
      </c>
      <c r="H55" s="48" t="n">
        <f aca="false">+F55*G55</f>
        <v>7200</v>
      </c>
    </row>
    <row r="56" customFormat="false" ht="17.35" hidden="false" customHeight="false" outlineLevel="0" collapsed="false">
      <c r="B56" s="46" t="n">
        <v>10</v>
      </c>
      <c r="C56" s="46" t="s">
        <v>68</v>
      </c>
      <c r="D56" s="58" t="s">
        <v>57</v>
      </c>
      <c r="E56" s="46" t="n">
        <v>2</v>
      </c>
      <c r="F56" s="46" t="n">
        <f aca="false">+E56*$F$20</f>
        <v>30</v>
      </c>
      <c r="G56" s="48" t="n">
        <v>16000</v>
      </c>
      <c r="H56" s="48" t="n">
        <f aca="false">+F56*G56</f>
        <v>480000</v>
      </c>
    </row>
    <row r="57" customFormat="false" ht="29.85" hidden="false" customHeight="false" outlineLevel="0" collapsed="false">
      <c r="B57" s="46" t="n">
        <v>11</v>
      </c>
      <c r="C57" s="46" t="s">
        <v>70</v>
      </c>
      <c r="D57" s="58" t="s">
        <v>14</v>
      </c>
      <c r="E57" s="47" t="s">
        <v>71</v>
      </c>
      <c r="F57" s="62" t="n">
        <f aca="false">L20</f>
        <v>130.32</v>
      </c>
      <c r="G57" s="48" t="n">
        <v>48000</v>
      </c>
      <c r="H57" s="48" t="n">
        <f aca="false">+F57*G57</f>
        <v>6255360</v>
      </c>
    </row>
    <row r="58" customFormat="false" ht="17.35" hidden="false" customHeight="false" outlineLevel="0" collapsed="false">
      <c r="B58" s="46"/>
      <c r="C58" s="46"/>
      <c r="D58" s="58"/>
      <c r="E58" s="118"/>
      <c r="F58" s="46"/>
      <c r="G58" s="69"/>
      <c r="H58" s="48"/>
    </row>
    <row r="59" customFormat="false" ht="19.7" hidden="false" customHeight="false" outlineLevel="0" collapsed="false">
      <c r="B59" s="72"/>
      <c r="C59" s="72"/>
      <c r="D59" s="72"/>
      <c r="E59" s="72"/>
      <c r="F59" s="72"/>
      <c r="G59" s="73" t="s">
        <v>19</v>
      </c>
      <c r="H59" s="74" t="n">
        <f aca="false">SUM(H48:H58)</f>
        <v>8874421.5</v>
      </c>
    </row>
    <row r="61" customFormat="false" ht="61" hidden="false" customHeight="true" outlineLevel="0" collapsed="false">
      <c r="B61" s="75" t="s">
        <v>159</v>
      </c>
      <c r="C61" s="75"/>
      <c r="D61" s="75"/>
      <c r="E61" s="76"/>
      <c r="F61" s="75" t="s">
        <v>159</v>
      </c>
      <c r="G61" s="75"/>
      <c r="H61" s="75"/>
    </row>
    <row r="62" customFormat="false" ht="37.3" hidden="false" customHeight="false" outlineLevel="0" collapsed="false">
      <c r="B62" s="77" t="s">
        <v>95</v>
      </c>
      <c r="C62" s="77" t="s">
        <v>96</v>
      </c>
      <c r="D62" s="77" t="s">
        <v>97</v>
      </c>
      <c r="F62" s="77" t="s">
        <v>95</v>
      </c>
      <c r="G62" s="77" t="s">
        <v>96</v>
      </c>
      <c r="H62" s="77" t="s">
        <v>97</v>
      </c>
    </row>
    <row r="63" customFormat="false" ht="22.05" hidden="false" customHeight="false" outlineLevel="0" collapsed="false">
      <c r="B63" s="78" t="n">
        <v>1</v>
      </c>
      <c r="C63" s="79" t="s">
        <v>98</v>
      </c>
      <c r="D63" s="80" t="n">
        <f aca="false">+J28*4</f>
        <v>1602.8</v>
      </c>
      <c r="F63" s="78" t="n">
        <v>1</v>
      </c>
      <c r="G63" s="79" t="s">
        <v>98</v>
      </c>
      <c r="H63" s="80" t="n">
        <f aca="false">+J28*4</f>
        <v>1602.8</v>
      </c>
    </row>
    <row r="64" customFormat="false" ht="22.05" hidden="false" customHeight="false" outlineLevel="0" collapsed="false">
      <c r="B64" s="78" t="n">
        <v>2</v>
      </c>
      <c r="C64" s="79" t="s">
        <v>99</v>
      </c>
      <c r="D64" s="80" t="n">
        <f aca="false">+H44/3650</f>
        <v>2308.06068493151</v>
      </c>
      <c r="F64" s="78" t="n">
        <v>2</v>
      </c>
      <c r="G64" s="79" t="s">
        <v>99</v>
      </c>
      <c r="H64" s="80" t="n">
        <f aca="false">+H59/3650</f>
        <v>2431.34835616438</v>
      </c>
    </row>
    <row r="65" customFormat="false" ht="22.05" hidden="false" customHeight="false" outlineLevel="0" collapsed="false">
      <c r="B65" s="78" t="n">
        <v>3</v>
      </c>
      <c r="C65" s="79" t="s">
        <v>100</v>
      </c>
      <c r="D65" s="80" t="n">
        <f aca="false">+M20*15</f>
        <v>1954.8</v>
      </c>
      <c r="F65" s="78" t="n">
        <v>3</v>
      </c>
      <c r="G65" s="79" t="s">
        <v>100</v>
      </c>
      <c r="H65" s="80" t="n">
        <f aca="false">+M20*15</f>
        <v>1954.8</v>
      </c>
    </row>
    <row r="66" customFormat="false" ht="22.05" hidden="false" customHeight="false" outlineLevel="0" collapsed="false">
      <c r="B66" s="78" t="n">
        <v>4</v>
      </c>
      <c r="C66" s="79" t="s">
        <v>101</v>
      </c>
      <c r="D66" s="80" t="n">
        <f aca="false">+M20*0</f>
        <v>0</v>
      </c>
      <c r="F66" s="78" t="n">
        <v>4</v>
      </c>
      <c r="G66" s="79" t="s">
        <v>101</v>
      </c>
      <c r="H66" s="80" t="n">
        <f aca="false">+M20*0</f>
        <v>0</v>
      </c>
    </row>
    <row r="67" customFormat="false" ht="22.05" hidden="false" customHeight="false" outlineLevel="0" collapsed="false">
      <c r="C67" s="81" t="s">
        <v>19</v>
      </c>
      <c r="D67" s="80" t="n">
        <f aca="false">SUM(D63:D66)</f>
        <v>5865.66068493151</v>
      </c>
      <c r="G67" s="81" t="s">
        <v>19</v>
      </c>
      <c r="H67" s="80" t="n">
        <f aca="false">SUM(H63:H66)</f>
        <v>5988.94835616438</v>
      </c>
    </row>
    <row r="68" customFormat="false" ht="22.05" hidden="false" customHeight="false" outlineLevel="0" collapsed="false">
      <c r="C68" s="81" t="s">
        <v>160</v>
      </c>
      <c r="D68" s="82" t="n">
        <f aca="false">+D67*30%</f>
        <v>1759.69820547945</v>
      </c>
      <c r="G68" s="81" t="s">
        <v>160</v>
      </c>
      <c r="H68" s="82" t="n">
        <f aca="false">+H67*30%</f>
        <v>1796.68450684932</v>
      </c>
    </row>
    <row r="69" customFormat="false" ht="22.05" hidden="false" customHeight="false" outlineLevel="0" collapsed="false">
      <c r="C69" s="83" t="s">
        <v>103</v>
      </c>
      <c r="D69" s="84" t="n">
        <f aca="false">+D67+D68</f>
        <v>7625.35889041096</v>
      </c>
      <c r="G69" s="83" t="s">
        <v>103</v>
      </c>
      <c r="H69" s="84" t="n">
        <f aca="false">+H67+H68</f>
        <v>7785.6328630137</v>
      </c>
    </row>
    <row r="70" customFormat="false" ht="22.05" hidden="false" customHeight="false" outlineLevel="0" collapsed="false">
      <c r="C70" s="87" t="s">
        <v>104</v>
      </c>
      <c r="D70" s="88" t="n">
        <f aca="false">+D67/M20</f>
        <v>45.0096737640539</v>
      </c>
      <c r="G70" s="87" t="s">
        <v>104</v>
      </c>
      <c r="H70" s="88" t="n">
        <f aca="false">+H67/M20</f>
        <v>45.9557117569397</v>
      </c>
    </row>
    <row r="71" customFormat="false" ht="37.3" hidden="false" customHeight="false" outlineLevel="0" collapsed="false">
      <c r="C71" s="89" t="s">
        <v>105</v>
      </c>
      <c r="D71" s="90" t="n">
        <f aca="false">+D69/M20</f>
        <v>58.5125758932701</v>
      </c>
      <c r="G71" s="89" t="s">
        <v>105</v>
      </c>
      <c r="H71" s="90" t="n">
        <f aca="false">+H69/M20</f>
        <v>59.7424252840216</v>
      </c>
    </row>
    <row r="83" customFormat="false" ht="17.35" hidden="false" customHeight="false" outlineLevel="0" collapsed="false">
      <c r="C83" s="94" t="s">
        <v>161</v>
      </c>
      <c r="D83" s="94"/>
      <c r="E83" s="94"/>
      <c r="F83" s="94"/>
      <c r="I83" s="6"/>
      <c r="J83" s="6"/>
      <c r="K83" s="6"/>
      <c r="L83" s="5"/>
    </row>
    <row r="84" customFormat="false" ht="17.35" hidden="false" customHeight="false" outlineLevel="0" collapsed="false">
      <c r="C84" s="94"/>
      <c r="D84" s="94"/>
      <c r="E84" s="94"/>
      <c r="F84" s="94"/>
      <c r="G84" s="94"/>
      <c r="H84" s="6"/>
      <c r="I84" s="6"/>
      <c r="J84" s="6"/>
      <c r="K84" s="6"/>
      <c r="L84" s="5"/>
    </row>
    <row r="85" customFormat="false" ht="17.35" hidden="false" customHeight="false" outlineLevel="0" collapsed="false">
      <c r="C85" s="95" t="s">
        <v>112</v>
      </c>
      <c r="D85" s="95" t="s">
        <v>113</v>
      </c>
      <c r="E85" s="95"/>
      <c r="F85" s="95" t="s">
        <v>114</v>
      </c>
      <c r="G85" s="94"/>
      <c r="H85" s="6"/>
      <c r="I85" s="95" t="s">
        <v>10</v>
      </c>
      <c r="J85" s="95" t="s">
        <v>23</v>
      </c>
      <c r="K85" s="95" t="s">
        <v>13</v>
      </c>
      <c r="L85" s="95" t="s">
        <v>116</v>
      </c>
    </row>
    <row r="86" customFormat="false" ht="17.35" hidden="false" customHeight="false" outlineLevel="0" collapsed="false">
      <c r="C86" s="97" t="n">
        <v>1</v>
      </c>
      <c r="D86" s="98" t="s">
        <v>18</v>
      </c>
      <c r="E86" s="98"/>
      <c r="F86" s="97" t="n">
        <v>1500</v>
      </c>
      <c r="G86" s="95" t="s">
        <v>115</v>
      </c>
      <c r="H86" s="95" t="s">
        <v>109</v>
      </c>
      <c r="I86" s="97" t="n">
        <v>5</v>
      </c>
      <c r="J86" s="97" t="n">
        <f aca="false">+F86*5</f>
        <v>7500</v>
      </c>
      <c r="K86" s="97" t="n">
        <f aca="false">+G87*I86</f>
        <v>6000</v>
      </c>
      <c r="L86" s="97" t="n">
        <f aca="false">(((H87*F86)/1000000)*I86)</f>
        <v>11.25</v>
      </c>
    </row>
    <row r="87" customFormat="false" ht="17.35" hidden="false" customHeight="false" outlineLevel="0" collapsed="false">
      <c r="C87" s="97" t="n">
        <v>2</v>
      </c>
      <c r="D87" s="98" t="s">
        <v>18</v>
      </c>
      <c r="E87" s="98"/>
      <c r="F87" s="97" t="n">
        <v>1200</v>
      </c>
      <c r="G87" s="97" t="n">
        <f aca="false">H87-300</f>
        <v>1200</v>
      </c>
      <c r="H87" s="97" t="n">
        <v>1500</v>
      </c>
      <c r="I87" s="97" t="n">
        <v>2</v>
      </c>
      <c r="J87" s="97" t="n">
        <f aca="false">+F87*5</f>
        <v>6000</v>
      </c>
      <c r="K87" s="97" t="n">
        <f aca="false">+G88*I87</f>
        <v>2400</v>
      </c>
      <c r="L87" s="97" t="n">
        <f aca="false">(((H88*F87)/1000000)*I87)</f>
        <v>3.6</v>
      </c>
    </row>
    <row r="88" customFormat="false" ht="17.35" hidden="false" customHeight="false" outlineLevel="0" collapsed="false">
      <c r="C88" s="97" t="n">
        <v>3</v>
      </c>
      <c r="D88" s="98" t="s">
        <v>18</v>
      </c>
      <c r="E88" s="98"/>
      <c r="F88" s="97" t="n">
        <v>1800</v>
      </c>
      <c r="G88" s="97" t="n">
        <f aca="false">H88-300</f>
        <v>1200</v>
      </c>
      <c r="H88" s="97" t="n">
        <v>1500</v>
      </c>
      <c r="I88" s="97" t="n">
        <v>1</v>
      </c>
      <c r="J88" s="97" t="n">
        <f aca="false">+F88*5</f>
        <v>9000</v>
      </c>
      <c r="K88" s="97" t="n">
        <f aca="false">+G89*I88</f>
        <v>1200</v>
      </c>
      <c r="L88" s="97" t="n">
        <f aca="false">(((H89*F88)/1000000)*I88)</f>
        <v>2.7</v>
      </c>
    </row>
    <row r="89" customFormat="false" ht="17.35" hidden="false" customHeight="false" outlineLevel="0" collapsed="false">
      <c r="C89" s="97" t="n">
        <v>4</v>
      </c>
      <c r="D89" s="98" t="s">
        <v>18</v>
      </c>
      <c r="E89" s="98"/>
      <c r="F89" s="97" t="n">
        <v>1600</v>
      </c>
      <c r="G89" s="97" t="n">
        <f aca="false">H89-300</f>
        <v>1200</v>
      </c>
      <c r="H89" s="97" t="n">
        <v>1500</v>
      </c>
      <c r="I89" s="97" t="n">
        <v>2</v>
      </c>
      <c r="J89" s="97" t="n">
        <f aca="false">+F89*5</f>
        <v>8000</v>
      </c>
      <c r="K89" s="97" t="n">
        <f aca="false">+G90*I89</f>
        <v>2400</v>
      </c>
      <c r="L89" s="97" t="n">
        <f aca="false">(((H90*F89)/1000000)*I89)</f>
        <v>4.8</v>
      </c>
    </row>
    <row r="90" customFormat="false" ht="17.35" hidden="false" customHeight="false" outlineLevel="0" collapsed="false">
      <c r="C90" s="97" t="n">
        <v>5</v>
      </c>
      <c r="D90" s="98" t="s">
        <v>18</v>
      </c>
      <c r="E90" s="98"/>
      <c r="F90" s="97" t="n">
        <v>1500</v>
      </c>
      <c r="G90" s="97" t="n">
        <f aca="false">H90-300</f>
        <v>1200</v>
      </c>
      <c r="H90" s="97" t="n">
        <v>1500</v>
      </c>
      <c r="I90" s="97" t="n">
        <v>6</v>
      </c>
      <c r="J90" s="97" t="n">
        <f aca="false">+F90*5</f>
        <v>7500</v>
      </c>
      <c r="K90" s="97" t="n">
        <f aca="false">+G91*I90</f>
        <v>7200</v>
      </c>
      <c r="L90" s="97" t="n">
        <f aca="false">(((H91*F90)/1000000)*I90)</f>
        <v>13.5</v>
      </c>
    </row>
    <row r="91" customFormat="false" ht="17.35" hidden="false" customHeight="false" outlineLevel="0" collapsed="false">
      <c r="C91" s="97" t="n">
        <v>6</v>
      </c>
      <c r="D91" s="98" t="s">
        <v>18</v>
      </c>
      <c r="E91" s="98"/>
      <c r="F91" s="97" t="n">
        <v>0</v>
      </c>
      <c r="G91" s="97" t="n">
        <f aca="false">H91-300</f>
        <v>1200</v>
      </c>
      <c r="H91" s="97" t="n">
        <v>1500</v>
      </c>
      <c r="I91" s="97"/>
      <c r="J91" s="97" t="n">
        <f aca="false">+F91*5</f>
        <v>0</v>
      </c>
      <c r="K91" s="97" t="n">
        <f aca="false">+G92*I91</f>
        <v>0</v>
      </c>
      <c r="L91" s="97" t="n">
        <f aca="false">(((H92*F91)/1000000)*I91)</f>
        <v>0</v>
      </c>
    </row>
    <row r="92" customFormat="false" ht="17.35" hidden="false" customHeight="false" outlineLevel="0" collapsed="false">
      <c r="C92" s="97" t="n">
        <v>7</v>
      </c>
      <c r="D92" s="98" t="s">
        <v>18</v>
      </c>
      <c r="E92" s="98"/>
      <c r="F92" s="97" t="n">
        <v>0</v>
      </c>
      <c r="G92" s="97" t="n">
        <v>0</v>
      </c>
      <c r="H92" s="97" t="n">
        <v>0</v>
      </c>
      <c r="I92" s="97"/>
      <c r="J92" s="97" t="n">
        <f aca="false">+F92*5</f>
        <v>0</v>
      </c>
      <c r="K92" s="97" t="n">
        <f aca="false">+G93*I92</f>
        <v>0</v>
      </c>
      <c r="L92" s="97" t="n">
        <f aca="false">(((H93*F92)/1000000)*I92)</f>
        <v>0</v>
      </c>
    </row>
    <row r="93" customFormat="false" ht="17.35" hidden="false" customHeight="false" outlineLevel="0" collapsed="false">
      <c r="C93" s="97" t="n">
        <v>8</v>
      </c>
      <c r="D93" s="98" t="s">
        <v>18</v>
      </c>
      <c r="E93" s="98"/>
      <c r="F93" s="97" t="n">
        <v>0</v>
      </c>
      <c r="G93" s="97" t="n">
        <v>0</v>
      </c>
      <c r="H93" s="97" t="n">
        <v>0</v>
      </c>
      <c r="I93" s="97"/>
      <c r="J93" s="97" t="n">
        <f aca="false">+F93*5</f>
        <v>0</v>
      </c>
      <c r="K93" s="97" t="n">
        <f aca="false">+G94*I93</f>
        <v>0</v>
      </c>
      <c r="L93" s="97" t="n">
        <f aca="false">(((H94*F93)/1000000)*I93)</f>
        <v>0</v>
      </c>
    </row>
    <row r="94" customFormat="false" ht="17.35" hidden="false" customHeight="false" outlineLevel="0" collapsed="false">
      <c r="C94" s="97" t="n">
        <v>9</v>
      </c>
      <c r="D94" s="98" t="s">
        <v>18</v>
      </c>
      <c r="E94" s="98"/>
      <c r="F94" s="97" t="n">
        <v>0</v>
      </c>
      <c r="G94" s="97" t="n">
        <v>0</v>
      </c>
      <c r="H94" s="97" t="n">
        <v>0</v>
      </c>
      <c r="I94" s="97"/>
      <c r="J94" s="97" t="n">
        <f aca="false">+F94*5</f>
        <v>0</v>
      </c>
      <c r="K94" s="97" t="n">
        <f aca="false">+G95*I94</f>
        <v>0</v>
      </c>
      <c r="L94" s="97" t="n">
        <f aca="false">(((H95*F94)/1000000)*I94)</f>
        <v>0</v>
      </c>
    </row>
    <row r="95" customFormat="false" ht="17.35" hidden="false" customHeight="false" outlineLevel="0" collapsed="false">
      <c r="C95" s="97" t="n">
        <v>10</v>
      </c>
      <c r="D95" s="98" t="s">
        <v>18</v>
      </c>
      <c r="E95" s="98"/>
      <c r="F95" s="97" t="n">
        <v>0</v>
      </c>
      <c r="G95" s="97" t="n">
        <v>0</v>
      </c>
      <c r="H95" s="97" t="n">
        <v>0</v>
      </c>
      <c r="I95" s="97"/>
      <c r="J95" s="97" t="n">
        <f aca="false">+F95*5</f>
        <v>0</v>
      </c>
      <c r="K95" s="97" t="n">
        <f aca="false">+G96*I95</f>
        <v>0</v>
      </c>
      <c r="L95" s="97" t="n">
        <f aca="false">(((H96*F95)/1000000)*I95)</f>
        <v>0</v>
      </c>
    </row>
    <row r="96" customFormat="false" ht="17.35" hidden="false" customHeight="false" outlineLevel="0" collapsed="false">
      <c r="C96" s="97" t="n">
        <v>11</v>
      </c>
      <c r="D96" s="98" t="s">
        <v>18</v>
      </c>
      <c r="E96" s="98"/>
      <c r="F96" s="97" t="n">
        <v>0</v>
      </c>
      <c r="G96" s="97" t="n">
        <v>0</v>
      </c>
      <c r="H96" s="97" t="n">
        <v>0</v>
      </c>
      <c r="I96" s="97"/>
      <c r="J96" s="97" t="n">
        <f aca="false">+F96*5</f>
        <v>0</v>
      </c>
      <c r="K96" s="97" t="n">
        <f aca="false">+G97*I96</f>
        <v>0</v>
      </c>
      <c r="L96" s="97" t="n">
        <f aca="false">(((H97*F96)/1000000)*I96)</f>
        <v>0</v>
      </c>
    </row>
    <row r="97" customFormat="false" ht="17.35" hidden="false" customHeight="false" outlineLevel="0" collapsed="false">
      <c r="C97" s="97" t="n">
        <v>12</v>
      </c>
      <c r="D97" s="98" t="s">
        <v>18</v>
      </c>
      <c r="E97" s="98"/>
      <c r="F97" s="97" t="n">
        <v>0</v>
      </c>
      <c r="G97" s="97" t="n">
        <v>0</v>
      </c>
      <c r="H97" s="97" t="n">
        <v>0</v>
      </c>
      <c r="I97" s="97"/>
      <c r="J97" s="97" t="n">
        <f aca="false">+F97*5</f>
        <v>0</v>
      </c>
      <c r="K97" s="97" t="n">
        <f aca="false">+G98*I97</f>
        <v>0</v>
      </c>
      <c r="L97" s="97" t="n">
        <f aca="false">(((H98*F97)/1000000)*I97)</f>
        <v>0</v>
      </c>
    </row>
    <row r="98" customFormat="false" ht="17.35" hidden="false" customHeight="false" outlineLevel="0" collapsed="false">
      <c r="C98" s="97" t="n">
        <v>13</v>
      </c>
      <c r="D98" s="98" t="s">
        <v>18</v>
      </c>
      <c r="E98" s="98"/>
      <c r="F98" s="97" t="n">
        <v>0</v>
      </c>
      <c r="G98" s="97" t="n">
        <v>0</v>
      </c>
      <c r="H98" s="97" t="n">
        <v>0</v>
      </c>
      <c r="I98" s="97"/>
      <c r="J98" s="97" t="n">
        <f aca="false">+F98*5</f>
        <v>0</v>
      </c>
      <c r="K98" s="97" t="n">
        <f aca="false">+G99*I98</f>
        <v>0</v>
      </c>
      <c r="L98" s="97" t="n">
        <f aca="false">(((H99*F98)/1000000)*I98)</f>
        <v>0</v>
      </c>
    </row>
    <row r="99" customFormat="false" ht="17.35" hidden="false" customHeight="false" outlineLevel="0" collapsed="false">
      <c r="C99" s="97" t="n">
        <v>14</v>
      </c>
      <c r="D99" s="98" t="s">
        <v>18</v>
      </c>
      <c r="E99" s="98"/>
      <c r="F99" s="97" t="n">
        <v>0</v>
      </c>
      <c r="G99" s="97" t="n">
        <v>0</v>
      </c>
      <c r="H99" s="97" t="n">
        <v>0</v>
      </c>
      <c r="I99" s="97"/>
      <c r="J99" s="97" t="n">
        <f aca="false">+F99*5</f>
        <v>0</v>
      </c>
      <c r="K99" s="97" t="n">
        <f aca="false">+G100*I99</f>
        <v>0</v>
      </c>
      <c r="L99" s="97" t="n">
        <f aca="false">(((H100*F99)/1000000)*I99)</f>
        <v>0</v>
      </c>
    </row>
    <row r="100" customFormat="false" ht="17.35" hidden="false" customHeight="false" outlineLevel="0" collapsed="false">
      <c r="C100" s="97" t="n">
        <v>15</v>
      </c>
      <c r="D100" s="98" t="s">
        <v>18</v>
      </c>
      <c r="E100" s="98"/>
      <c r="F100" s="97" t="n">
        <v>0</v>
      </c>
      <c r="G100" s="97" t="n">
        <v>0</v>
      </c>
      <c r="H100" s="97" t="n">
        <v>0</v>
      </c>
      <c r="I100" s="97"/>
      <c r="J100" s="97" t="n">
        <f aca="false">+F100*5</f>
        <v>0</v>
      </c>
      <c r="K100" s="97" t="n">
        <f aca="false">+G101*I100</f>
        <v>0</v>
      </c>
      <c r="L100" s="97" t="n">
        <f aca="false">(((H101*F100)/1000000)*I100)</f>
        <v>0</v>
      </c>
    </row>
    <row r="101" customFormat="false" ht="17.35" hidden="false" customHeight="false" outlineLevel="0" collapsed="false">
      <c r="C101" s="97" t="n">
        <v>16</v>
      </c>
      <c r="D101" s="98" t="s">
        <v>18</v>
      </c>
      <c r="E101" s="98"/>
      <c r="F101" s="97" t="n">
        <v>0</v>
      </c>
      <c r="G101" s="97" t="n">
        <v>0</v>
      </c>
      <c r="H101" s="97" t="n">
        <v>0</v>
      </c>
      <c r="I101" s="97"/>
      <c r="J101" s="97" t="n">
        <f aca="false">+F101*5</f>
        <v>0</v>
      </c>
      <c r="K101" s="97" t="n">
        <f aca="false">+G102*I101</f>
        <v>0</v>
      </c>
      <c r="L101" s="97" t="n">
        <f aca="false">(((H102*F101)/1000000)*I101)</f>
        <v>0</v>
      </c>
    </row>
    <row r="102" customFormat="false" ht="17.35" hidden="false" customHeight="false" outlineLevel="0" collapsed="false">
      <c r="C102" s="97" t="n">
        <v>17</v>
      </c>
      <c r="D102" s="98" t="s">
        <v>18</v>
      </c>
      <c r="E102" s="98"/>
      <c r="F102" s="97" t="n">
        <v>0</v>
      </c>
      <c r="G102" s="97" t="n">
        <v>0</v>
      </c>
      <c r="H102" s="97" t="n">
        <v>0</v>
      </c>
      <c r="I102" s="97"/>
      <c r="J102" s="97" t="n">
        <f aca="false">+F102*5</f>
        <v>0</v>
      </c>
      <c r="K102" s="97" t="n">
        <f aca="false">+G103*I102</f>
        <v>0</v>
      </c>
      <c r="L102" s="97" t="n">
        <f aca="false">(((H103*F102)/1000000)*I102)</f>
        <v>0</v>
      </c>
    </row>
    <row r="103" customFormat="false" ht="17.35" hidden="false" customHeight="false" outlineLevel="0" collapsed="false">
      <c r="C103" s="97" t="n">
        <v>18</v>
      </c>
      <c r="D103" s="98" t="s">
        <v>18</v>
      </c>
      <c r="E103" s="98"/>
      <c r="F103" s="97" t="n">
        <v>0</v>
      </c>
      <c r="G103" s="97" t="n">
        <v>0</v>
      </c>
      <c r="H103" s="97" t="n">
        <v>0</v>
      </c>
      <c r="I103" s="97"/>
      <c r="J103" s="97" t="n">
        <f aca="false">+F103*5</f>
        <v>0</v>
      </c>
      <c r="K103" s="97" t="n">
        <f aca="false">+G104*I103</f>
        <v>0</v>
      </c>
      <c r="L103" s="97" t="n">
        <f aca="false">(((H104*F103)/1000000)*I103)</f>
        <v>0</v>
      </c>
    </row>
    <row r="104" customFormat="false" ht="17.35" hidden="false" customHeight="false" outlineLevel="0" collapsed="false">
      <c r="C104" s="97" t="n">
        <v>19</v>
      </c>
      <c r="D104" s="98" t="s">
        <v>18</v>
      </c>
      <c r="E104" s="98"/>
      <c r="F104" s="97" t="n">
        <v>0</v>
      </c>
      <c r="G104" s="97" t="n">
        <v>0</v>
      </c>
      <c r="H104" s="97" t="n">
        <v>0</v>
      </c>
      <c r="I104" s="97"/>
      <c r="J104" s="97" t="n">
        <f aca="false">+F104*5</f>
        <v>0</v>
      </c>
      <c r="K104" s="97" t="n">
        <f aca="false">+G105*I104</f>
        <v>0</v>
      </c>
      <c r="L104" s="97" t="n">
        <f aca="false">(((H105*F104)/1000000)*I104)</f>
        <v>0</v>
      </c>
    </row>
    <row r="105" customFormat="false" ht="17.35" hidden="false" customHeight="false" outlineLevel="0" collapsed="false">
      <c r="C105" s="97" t="n">
        <v>20</v>
      </c>
      <c r="D105" s="98" t="s">
        <v>18</v>
      </c>
      <c r="E105" s="98"/>
      <c r="F105" s="97" t="n">
        <v>0</v>
      </c>
      <c r="G105" s="97" t="n">
        <v>0</v>
      </c>
      <c r="H105" s="97" t="n">
        <v>0</v>
      </c>
      <c r="I105" s="97"/>
      <c r="J105" s="97" t="n">
        <f aca="false">+F105*5</f>
        <v>0</v>
      </c>
      <c r="K105" s="97" t="n">
        <f aca="false">+G106*I105</f>
        <v>0</v>
      </c>
      <c r="L105" s="97" t="n">
        <f aca="false">(((H106*F105)/1000000)*I105)</f>
        <v>0</v>
      </c>
    </row>
    <row r="106" customFormat="false" ht="17.35" hidden="false" customHeight="false" outlineLevel="0" collapsed="false">
      <c r="F106" s="3" t="n">
        <f aca="false">SUM(F86:F105)</f>
        <v>7600</v>
      </c>
      <c r="G106" s="97" t="n">
        <v>0</v>
      </c>
      <c r="H106" s="97" t="n">
        <v>0</v>
      </c>
      <c r="I106" s="95" t="n">
        <f aca="false">SUM(I86:I105)</f>
        <v>16</v>
      </c>
      <c r="J106" s="119" t="n">
        <f aca="false">SUM(J86:J105)</f>
        <v>38000</v>
      </c>
      <c r="K106" s="119" t="n">
        <f aca="false">SUM(K86:K105)</f>
        <v>19200</v>
      </c>
      <c r="L106" s="102" t="n">
        <f aca="false">SUM(L86:L105)</f>
        <v>35.85</v>
      </c>
    </row>
    <row r="107" customFormat="false" ht="17.35" hidden="false" customHeight="false" outlineLevel="0" collapsed="false">
      <c r="C107" s="95" t="s">
        <v>21</v>
      </c>
      <c r="D107" s="95" t="s">
        <v>23</v>
      </c>
      <c r="E107" s="95" t="s">
        <v>24</v>
      </c>
      <c r="F107" s="95" t="s">
        <v>25</v>
      </c>
      <c r="G107" s="95" t="n">
        <f aca="false">SUM(G87:G106)</f>
        <v>6000</v>
      </c>
      <c r="H107" s="95" t="n">
        <f aca="false">SUM(H87:H106)</f>
        <v>7500</v>
      </c>
      <c r="I107" s="12"/>
      <c r="J107" s="12"/>
      <c r="K107" s="12"/>
      <c r="L107" s="12"/>
    </row>
    <row r="108" customFormat="false" ht="17.35" hidden="false" customHeight="false" outlineLevel="0" collapsed="false">
      <c r="C108" s="97" t="n">
        <v>5017</v>
      </c>
      <c r="D108" s="120" t="n">
        <f aca="false">+(J106*2)+(K106*2)</f>
        <v>114400</v>
      </c>
      <c r="E108" s="100" t="n">
        <f aca="false">D108+(D108*10%)</f>
        <v>125840</v>
      </c>
      <c r="F108" s="101" t="n">
        <f aca="false">E108/6400</f>
        <v>19.6625</v>
      </c>
      <c r="G108" s="99" t="s">
        <v>26</v>
      </c>
      <c r="H108" s="99" t="s">
        <v>37</v>
      </c>
      <c r="I108" s="22"/>
      <c r="J108" s="22"/>
      <c r="K108" s="22"/>
      <c r="L108" s="22"/>
    </row>
    <row r="109" customFormat="false" ht="17.35" hidden="false" customHeight="false" outlineLevel="0" collapsed="false">
      <c r="C109" s="97" t="n">
        <v>5019</v>
      </c>
      <c r="D109" s="121" t="n">
        <f aca="false">+J106*2.5+K106*6</f>
        <v>210200</v>
      </c>
      <c r="E109" s="100" t="n">
        <f aca="false">D109+(D109*10%)</f>
        <v>231220</v>
      </c>
      <c r="F109" s="101" t="n">
        <f aca="false">E109/6400</f>
        <v>36.128125</v>
      </c>
      <c r="G109" s="101" t="n">
        <f aca="false">ROUNDUP(F108,0)</f>
        <v>20</v>
      </c>
      <c r="H109" s="102" t="n">
        <f aca="false">G109*7.4</f>
        <v>148</v>
      </c>
      <c r="I109" s="22"/>
      <c r="J109" s="22"/>
      <c r="K109" s="22"/>
      <c r="L109" s="22"/>
    </row>
    <row r="110" customFormat="false" ht="17.35" hidden="false" customHeight="false" outlineLevel="0" collapsed="false">
      <c r="C110" s="97" t="n">
        <v>5023</v>
      </c>
      <c r="D110" s="97" t="n">
        <f aca="false">+K106*3</f>
        <v>57600</v>
      </c>
      <c r="E110" s="100" t="n">
        <f aca="false">D110+(D110*10%)</f>
        <v>63360</v>
      </c>
      <c r="F110" s="101" t="n">
        <f aca="false">E110/6400</f>
        <v>9.9</v>
      </c>
      <c r="G110" s="101" t="n">
        <f aca="false">ROUNDUP(F109,0)</f>
        <v>37</v>
      </c>
      <c r="H110" s="102" t="n">
        <f aca="false">G110*7.4</f>
        <v>273.8</v>
      </c>
      <c r="I110" s="22"/>
      <c r="J110" s="22"/>
      <c r="K110" s="22"/>
      <c r="L110" s="22"/>
    </row>
    <row r="111" customFormat="false" ht="17.35" hidden="false" customHeight="false" outlineLevel="0" collapsed="false">
      <c r="C111" s="97" t="n">
        <v>5025</v>
      </c>
      <c r="D111" s="120" t="n">
        <f aca="false">+J106*1+K106*2</f>
        <v>76400</v>
      </c>
      <c r="E111" s="100" t="n">
        <f aca="false">D111+(D111*10%)</f>
        <v>84040</v>
      </c>
      <c r="F111" s="101" t="n">
        <f aca="false">E111/6400</f>
        <v>13.13125</v>
      </c>
      <c r="G111" s="101" t="n">
        <f aca="false">ROUNDUP(F110,0)</f>
        <v>10</v>
      </c>
      <c r="H111" s="102" t="n">
        <f aca="false">G111*7.4</f>
        <v>74</v>
      </c>
      <c r="I111" s="22"/>
      <c r="J111" s="22"/>
      <c r="K111" s="22"/>
      <c r="L111" s="22"/>
    </row>
    <row r="112" customFormat="false" ht="17.35" hidden="false" customHeight="false" outlineLevel="0" collapsed="false">
      <c r="G112" s="101" t="n">
        <f aca="false">ROUNDUP(F111,0)</f>
        <v>14</v>
      </c>
      <c r="H112" s="102" t="n">
        <f aca="false">G112*7.4</f>
        <v>103.6</v>
      </c>
      <c r="L112" s="23"/>
    </row>
    <row r="114" customFormat="false" ht="17.35" hidden="false" customHeight="false" outlineLevel="0" collapsed="false">
      <c r="C114" s="122"/>
      <c r="D114" s="122"/>
      <c r="E114" s="122"/>
      <c r="F114" s="123"/>
      <c r="I114" s="23"/>
      <c r="J114" s="23"/>
      <c r="K114" s="23"/>
      <c r="L114" s="22"/>
    </row>
    <row r="115" customFormat="false" ht="17.35" hidden="false" customHeight="false" outlineLevel="0" collapsed="false">
      <c r="C115" s="97" t="n">
        <v>5029</v>
      </c>
      <c r="D115" s="97" t="n">
        <f aca="false">(F86*2)+(F87*2)+(F88*2)+(F89*2)+(F90*2)+(F91*2)+(F92*2)+(F93*2)+(F94*2)+(F95*2)+(F96*2)+(F97*2)+(F98*2)+(F99*2)+(F100*2)+(F101*2)+(F102*2)+(F103*2)+(F104*2)+(F105*2)+(300*8)</f>
        <v>17600</v>
      </c>
      <c r="E115" s="100" t="n">
        <f aca="false">D115+(D115*10%)</f>
        <v>19360</v>
      </c>
      <c r="F115" s="101" t="n">
        <f aca="false">E115/6400</f>
        <v>3.025</v>
      </c>
      <c r="G115" s="21"/>
      <c r="H115" s="23"/>
      <c r="I115" s="102"/>
      <c r="J115" s="102"/>
      <c r="K115" s="102"/>
      <c r="L115" s="105" t="s">
        <v>129</v>
      </c>
    </row>
    <row r="116" customFormat="false" ht="17.35" hidden="false" customHeight="false" outlineLevel="0" collapsed="false">
      <c r="C116" s="97" t="n">
        <v>5031</v>
      </c>
      <c r="D116" s="97" t="n">
        <f aca="false">300*4</f>
        <v>1200</v>
      </c>
      <c r="E116" s="100" t="n">
        <f aca="false">D116+(D116*10%)</f>
        <v>1320</v>
      </c>
      <c r="F116" s="100" t="n">
        <f aca="false">E116/6400</f>
        <v>0.20625</v>
      </c>
      <c r="G116" s="101" t="n">
        <f aca="false">ROUNDUP(F115,0)</f>
        <v>4</v>
      </c>
      <c r="H116" s="102" t="n">
        <f aca="false">G116*7.4</f>
        <v>29.6</v>
      </c>
      <c r="I116" s="102"/>
      <c r="J116" s="102"/>
      <c r="K116" s="102"/>
      <c r="L116" s="105" t="s">
        <v>132</v>
      </c>
    </row>
    <row r="117" customFormat="false" ht="17.35" hidden="false" customHeight="false" outlineLevel="0" collapsed="false">
      <c r="C117" s="97" t="n">
        <v>1544</v>
      </c>
      <c r="D117" s="97" t="n">
        <f aca="false">300*16</f>
        <v>4800</v>
      </c>
      <c r="E117" s="100" t="n">
        <f aca="false">D117+(D117*10%)</f>
        <v>5280</v>
      </c>
      <c r="F117" s="101" t="n">
        <f aca="false">E117/6400</f>
        <v>0.825</v>
      </c>
      <c r="G117" s="101" t="n">
        <f aca="false">ROUNDUP(F116,0)</f>
        <v>1</v>
      </c>
      <c r="H117" s="102" t="n">
        <f aca="false">G117*7.4</f>
        <v>7.4</v>
      </c>
      <c r="I117" s="102"/>
      <c r="J117" s="102"/>
      <c r="K117" s="102"/>
      <c r="L117" s="105" t="s">
        <v>133</v>
      </c>
    </row>
    <row r="118" customFormat="false" ht="17.35" hidden="false" customHeight="false" outlineLevel="0" collapsed="false">
      <c r="C118" s="97" t="n">
        <v>6515</v>
      </c>
      <c r="D118" s="97" t="n">
        <f aca="false">(F86*5)+(F87*5)+(F88*5)+(F89*5)+(F90*5)+(F91*5)+(F92*5)+(F93*5)+(F94*5)+(F95*5)+(F96*5)+(F97*5)+(F98*5)+(F99*5)+(F100*5)+(F101*5)+(F102*5)+(F103*5)+(F104*5)+(F105*5)</f>
        <v>38000</v>
      </c>
      <c r="E118" s="100" t="n">
        <f aca="false">D118+(D118*10%)</f>
        <v>41800</v>
      </c>
      <c r="F118" s="101" t="n">
        <f aca="false">E118/6400</f>
        <v>6.53125</v>
      </c>
      <c r="G118" s="101" t="n">
        <f aca="false">ROUNDUP(F117,0)</f>
        <v>1</v>
      </c>
      <c r="H118" s="102" t="n">
        <f aca="false">G118*7.4</f>
        <v>7.4</v>
      </c>
      <c r="I118" s="102"/>
      <c r="J118" s="102"/>
      <c r="K118" s="102"/>
      <c r="L118" s="105" t="s">
        <v>130</v>
      </c>
    </row>
    <row r="119" customFormat="false" ht="17.35" hidden="false" customHeight="false" outlineLevel="0" collapsed="false">
      <c r="C119" s="97" t="n">
        <v>3035</v>
      </c>
      <c r="D119" s="97" t="n">
        <f aca="false">(F86*2)+(F87*2)+(F88*2)+(F89*2)+(F90*2)+(F91*2)+(F92*2)+(F93*2)+(F94*2)+(F95*2)+(F96*2)+(F97*2)+(F98*2)+(F99*2)+(F100*2)+(F101*2)+(F102*2)+(F103*2)+(F104*2)+(F105*2)+(300*16)</f>
        <v>20000</v>
      </c>
      <c r="E119" s="100" t="n">
        <f aca="false">D119+(D119*10%)</f>
        <v>22000</v>
      </c>
      <c r="F119" s="101" t="n">
        <f aca="false">E119/6400</f>
        <v>3.4375</v>
      </c>
      <c r="G119" s="101" t="n">
        <f aca="false">ROUNDUP(F118,0)</f>
        <v>7</v>
      </c>
      <c r="H119" s="102" t="n">
        <f aca="false">G119*7.4</f>
        <v>51.8</v>
      </c>
      <c r="I119" s="102"/>
      <c r="J119" s="102"/>
      <c r="K119" s="102"/>
      <c r="L119" s="105" t="s">
        <v>133</v>
      </c>
    </row>
    <row r="120" customFormat="false" ht="17.35" hidden="false" customHeight="false" outlineLevel="0" collapsed="false">
      <c r="D120" s="124" t="s">
        <v>19</v>
      </c>
      <c r="E120" s="124"/>
      <c r="F120" s="125" t="n">
        <f aca="false">SUM(F108:F119)</f>
        <v>92.846875</v>
      </c>
      <c r="G120" s="101" t="n">
        <f aca="false">ROUNDUP(F119,0)</f>
        <v>4</v>
      </c>
      <c r="H120" s="102" t="n">
        <f aca="false">G120*7.4</f>
        <v>29.6</v>
      </c>
      <c r="I120" s="91"/>
      <c r="J120" s="91"/>
      <c r="K120" s="91"/>
    </row>
    <row r="121" customFormat="false" ht="17.35" hidden="false" customHeight="false" outlineLevel="0" collapsed="false">
      <c r="G121" s="125"/>
      <c r="H121" s="125" t="n">
        <f aca="false">SUM(H109:H120)</f>
        <v>725.2</v>
      </c>
    </row>
  </sheetData>
  <mergeCells count="63">
    <mergeCell ref="P2:T3"/>
    <mergeCell ref="Z2:AD3"/>
    <mergeCell ref="B3:M3"/>
    <mergeCell ref="Q4:R4"/>
    <mergeCell ref="AA4:AB4"/>
    <mergeCell ref="Q5:R5"/>
    <mergeCell ref="AA5:AB5"/>
    <mergeCell ref="Q6:R6"/>
    <mergeCell ref="AA6:AB6"/>
    <mergeCell ref="Q7:R7"/>
    <mergeCell ref="AA7:AB7"/>
    <mergeCell ref="Q8:R8"/>
    <mergeCell ref="AA8:AB8"/>
    <mergeCell ref="Q9:R9"/>
    <mergeCell ref="AA9:AB9"/>
    <mergeCell ref="Q10:R10"/>
    <mergeCell ref="AA10:AB10"/>
    <mergeCell ref="Q11:R11"/>
    <mergeCell ref="AA11:AB11"/>
    <mergeCell ref="Q12:R12"/>
    <mergeCell ref="AA12:AB12"/>
    <mergeCell ref="Q13:R13"/>
    <mergeCell ref="AA13:AB13"/>
    <mergeCell ref="Q14:R14"/>
    <mergeCell ref="AA14:AB14"/>
    <mergeCell ref="Q15:R15"/>
    <mergeCell ref="AA15:AB15"/>
    <mergeCell ref="Q16:R16"/>
    <mergeCell ref="AA16:AB16"/>
    <mergeCell ref="Q17:R17"/>
    <mergeCell ref="AA17:AB17"/>
    <mergeCell ref="Q18:R18"/>
    <mergeCell ref="AA18:AB18"/>
    <mergeCell ref="Q19:R19"/>
    <mergeCell ref="AA19:AB19"/>
    <mergeCell ref="B20:C20"/>
    <mergeCell ref="B22:J22"/>
    <mergeCell ref="P29:Q29"/>
    <mergeCell ref="B31:H31"/>
    <mergeCell ref="B46:H46"/>
    <mergeCell ref="B61:D61"/>
    <mergeCell ref="F61:H61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Z122"/>
  <sheetViews>
    <sheetView showFormulas="false" showGridLines="true" showRowColHeaders="true" showZeros="true" rightToLeft="false" tabSelected="false" showOutlineSymbols="true" defaultGridColor="true" view="normal" topLeftCell="A46" colorId="64" zoomScale="60" zoomScaleNormal="60" zoomScalePageLayoutView="100" workbookViewId="0">
      <selection pane="topLeft" activeCell="E68" activeCellId="0" sqref="E68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7.33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8.5"/>
    <col collapsed="false" customWidth="true" hidden="false" outlineLevel="0" max="9" min="9" style="0" width="15.16"/>
    <col collapsed="false" customWidth="true" hidden="false" outlineLevel="0" max="10" min="10" style="0" width="13.5"/>
    <col collapsed="false" customWidth="true" hidden="false" outlineLevel="0" max="13" min="11" style="0" width="15.16"/>
    <col collapsed="false" customWidth="true" hidden="false" outlineLevel="0" max="14" min="14" style="0" width="15.33"/>
    <col collapsed="false" customWidth="true" hidden="false" outlineLevel="0" max="15" min="15" style="0" width="16.33"/>
    <col collapsed="false" customWidth="true" hidden="false" outlineLevel="0" max="17" min="16" style="0" width="11"/>
    <col collapsed="false" customWidth="true" hidden="false" outlineLevel="0" max="18" min="18" style="0" width="14.82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2" min="21" style="0" width="11"/>
    <col collapsed="false" customWidth="true" hidden="false" outlineLevel="0" max="23" min="23" style="0" width="17.33"/>
  </cols>
  <sheetData>
    <row r="3" customFormat="false" ht="17.35" hidden="false" customHeight="false" outlineLevel="0" collapsed="false">
      <c r="B3" s="4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4"/>
      <c r="U3" s="4"/>
      <c r="V3" s="4"/>
      <c r="W3" s="5"/>
      <c r="X3" s="126"/>
    </row>
    <row r="4" customFormat="false" ht="22.05" hidden="false" customHeight="false" outlineLevel="0" collapsed="false">
      <c r="B4" s="127" t="s">
        <v>162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5"/>
      <c r="P4" s="5"/>
      <c r="Q4" s="5"/>
      <c r="R4" s="5"/>
      <c r="S4" s="6"/>
      <c r="T4" s="4"/>
      <c r="U4" s="4"/>
      <c r="V4" s="4"/>
      <c r="W4" s="5"/>
      <c r="X4" s="126"/>
    </row>
    <row r="5" customFormat="false" ht="29.85" hidden="false" customHeight="false" outlineLevel="0" collapsed="false">
      <c r="B5" s="9" t="s">
        <v>5</v>
      </c>
      <c r="C5" s="9" t="s">
        <v>6</v>
      </c>
      <c r="D5" s="9" t="s">
        <v>7</v>
      </c>
      <c r="E5" s="10" t="s">
        <v>8</v>
      </c>
      <c r="F5" s="10" t="s">
        <v>9</v>
      </c>
      <c r="G5" s="9" t="s">
        <v>10</v>
      </c>
      <c r="H5" s="9" t="s">
        <v>11</v>
      </c>
      <c r="I5" s="10" t="s">
        <v>12</v>
      </c>
      <c r="J5" s="9" t="s">
        <v>13</v>
      </c>
      <c r="K5" s="9" t="s">
        <v>14</v>
      </c>
      <c r="L5" s="10" t="s">
        <v>15</v>
      </c>
      <c r="M5" s="10" t="s">
        <v>16</v>
      </c>
      <c r="N5" s="10" t="s">
        <v>17</v>
      </c>
      <c r="O5" s="8"/>
      <c r="P5" s="11"/>
      <c r="Q5" s="12"/>
      <c r="R5" s="128"/>
      <c r="S5" s="128"/>
      <c r="T5" s="12"/>
      <c r="U5" s="12"/>
      <c r="V5" s="12"/>
      <c r="W5" s="12"/>
      <c r="X5" s="11"/>
      <c r="Y5" s="11"/>
      <c r="Z5" s="126"/>
    </row>
    <row r="6" customFormat="false" ht="17.35" hidden="false" customHeight="false" outlineLevel="0" collapsed="false">
      <c r="B6" s="13" t="n">
        <v>1</v>
      </c>
      <c r="C6" s="14" t="s">
        <v>18</v>
      </c>
      <c r="D6" s="15" t="n">
        <v>3080</v>
      </c>
      <c r="E6" s="15" t="n">
        <f aca="false">F6-300</f>
        <v>2400</v>
      </c>
      <c r="F6" s="15" t="n">
        <v>2700</v>
      </c>
      <c r="G6" s="13" t="n">
        <v>1</v>
      </c>
      <c r="H6" s="15" t="n">
        <f aca="false">+D6*G6</f>
        <v>3080</v>
      </c>
      <c r="I6" s="15" t="n">
        <f aca="false">+F6*G6</f>
        <v>2700</v>
      </c>
      <c r="J6" s="15" t="n">
        <f aca="false">+E6*G6</f>
        <v>2400</v>
      </c>
      <c r="K6" s="16" t="n">
        <f aca="false">+D6*E6/1000000</f>
        <v>7.392</v>
      </c>
      <c r="L6" s="16" t="n">
        <f aca="false">+D6*F6/1000000</f>
        <v>8.316</v>
      </c>
      <c r="M6" s="16" t="n">
        <f aca="false">+G6*K6</f>
        <v>7.392</v>
      </c>
      <c r="N6" s="17" t="n">
        <f aca="false">+G6*L6</f>
        <v>8.316</v>
      </c>
      <c r="O6" s="3"/>
      <c r="P6" s="4"/>
      <c r="Q6" s="4"/>
      <c r="R6" s="129"/>
      <c r="S6" s="129"/>
      <c r="T6" s="4"/>
      <c r="U6" s="4"/>
      <c r="V6" s="4"/>
      <c r="W6" s="4"/>
      <c r="X6" s="4"/>
      <c r="Y6" s="4"/>
      <c r="Z6" s="126"/>
    </row>
    <row r="7" customFormat="false" ht="17.35" hidden="false" customHeight="false" outlineLevel="0" collapsed="false">
      <c r="B7" s="20" t="n">
        <f aca="false">+B6+1</f>
        <v>2</v>
      </c>
      <c r="C7" s="14" t="s">
        <v>18</v>
      </c>
      <c r="D7" s="15" t="n">
        <v>1520</v>
      </c>
      <c r="E7" s="15" t="n">
        <f aca="false">F7-300</f>
        <v>2160</v>
      </c>
      <c r="F7" s="15" t="n">
        <v>2460</v>
      </c>
      <c r="G7" s="13" t="n">
        <v>1</v>
      </c>
      <c r="H7" s="15" t="n">
        <f aca="false">+D7*G7</f>
        <v>1520</v>
      </c>
      <c r="I7" s="15" t="n">
        <f aca="false">+F7*G7</f>
        <v>2460</v>
      </c>
      <c r="J7" s="15" t="n">
        <f aca="false">+E7*G7</f>
        <v>2160</v>
      </c>
      <c r="K7" s="16" t="n">
        <f aca="false">+D7*E7/1000000</f>
        <v>3.2832</v>
      </c>
      <c r="L7" s="16" t="n">
        <f aca="false">+D7*F7/1000000</f>
        <v>3.7392</v>
      </c>
      <c r="M7" s="16" t="n">
        <f aca="false">+G7*K7</f>
        <v>3.2832</v>
      </c>
      <c r="N7" s="17" t="n">
        <f aca="false">+G7*L7</f>
        <v>3.7392</v>
      </c>
      <c r="O7" s="3"/>
      <c r="P7" s="4"/>
      <c r="Q7" s="4"/>
      <c r="R7" s="129"/>
      <c r="S7" s="129"/>
      <c r="T7" s="4"/>
      <c r="U7" s="4"/>
      <c r="V7" s="4"/>
      <c r="W7" s="4"/>
      <c r="X7" s="4"/>
      <c r="Y7" s="4"/>
      <c r="Z7" s="126"/>
    </row>
    <row r="8" customFormat="false" ht="17.35" hidden="false" customHeight="false" outlineLevel="0" collapsed="false">
      <c r="B8" s="20" t="n">
        <f aca="false">+B7+1</f>
        <v>3</v>
      </c>
      <c r="C8" s="14" t="s">
        <v>18</v>
      </c>
      <c r="D8" s="15" t="n">
        <v>3720</v>
      </c>
      <c r="E8" s="15" t="n">
        <f aca="false">F8-300</f>
        <v>2160</v>
      </c>
      <c r="F8" s="15" t="n">
        <v>2460</v>
      </c>
      <c r="G8" s="13" t="n">
        <v>1</v>
      </c>
      <c r="H8" s="15" t="n">
        <f aca="false">+D8*G8</f>
        <v>3720</v>
      </c>
      <c r="I8" s="15" t="n">
        <f aca="false">+F8*G8</f>
        <v>2460</v>
      </c>
      <c r="J8" s="15" t="n">
        <f aca="false">+E8*G8</f>
        <v>2160</v>
      </c>
      <c r="K8" s="16" t="n">
        <f aca="false">+D8*E8/1000000</f>
        <v>8.0352</v>
      </c>
      <c r="L8" s="16" t="n">
        <f aca="false">+D8*F8/1000000</f>
        <v>9.1512</v>
      </c>
      <c r="M8" s="16" t="n">
        <f aca="false">+G8*K8</f>
        <v>8.0352</v>
      </c>
      <c r="N8" s="17" t="n">
        <f aca="false">+G8*L8</f>
        <v>9.1512</v>
      </c>
      <c r="O8" s="3"/>
      <c r="P8" s="4"/>
      <c r="Q8" s="4"/>
      <c r="R8" s="129"/>
      <c r="S8" s="129"/>
      <c r="T8" s="4"/>
      <c r="U8" s="4"/>
      <c r="V8" s="4"/>
      <c r="W8" s="4"/>
      <c r="X8" s="4"/>
      <c r="Y8" s="4"/>
      <c r="Z8" s="126"/>
    </row>
    <row r="9" customFormat="false" ht="17.35" hidden="false" customHeight="false" outlineLevel="0" collapsed="false">
      <c r="B9" s="20" t="n">
        <f aca="false">+B8+1</f>
        <v>4</v>
      </c>
      <c r="C9" s="14" t="s">
        <v>18</v>
      </c>
      <c r="D9" s="15" t="n">
        <v>1540</v>
      </c>
      <c r="E9" s="15" t="n">
        <f aca="false">F9-300</f>
        <v>2200</v>
      </c>
      <c r="F9" s="15" t="n">
        <v>2500</v>
      </c>
      <c r="G9" s="13" t="n">
        <v>1</v>
      </c>
      <c r="H9" s="15" t="n">
        <f aca="false">+D9*G9</f>
        <v>1540</v>
      </c>
      <c r="I9" s="15" t="n">
        <f aca="false">+F9*G9</f>
        <v>2500</v>
      </c>
      <c r="J9" s="15" t="n">
        <f aca="false">+E9*G9</f>
        <v>2200</v>
      </c>
      <c r="K9" s="16" t="n">
        <f aca="false">+D9*E9/1000000</f>
        <v>3.388</v>
      </c>
      <c r="L9" s="16" t="n">
        <f aca="false">+D9*F9/1000000</f>
        <v>3.85</v>
      </c>
      <c r="M9" s="16" t="n">
        <f aca="false">+G9*K9</f>
        <v>3.388</v>
      </c>
      <c r="N9" s="17" t="n">
        <f aca="false">+G9*L9</f>
        <v>3.85</v>
      </c>
      <c r="O9" s="3"/>
      <c r="P9" s="4"/>
      <c r="Q9" s="4"/>
      <c r="R9" s="129"/>
      <c r="S9" s="129"/>
      <c r="T9" s="4"/>
      <c r="U9" s="4"/>
      <c r="V9" s="4"/>
      <c r="W9" s="4"/>
      <c r="X9" s="4"/>
      <c r="Y9" s="4"/>
      <c r="Z9" s="126"/>
    </row>
    <row r="10" customFormat="false" ht="17.35" hidden="false" customHeight="false" outlineLevel="0" collapsed="false">
      <c r="B10" s="20" t="n">
        <f aca="false">+B9+1</f>
        <v>5</v>
      </c>
      <c r="C10" s="14" t="s">
        <v>18</v>
      </c>
      <c r="D10" s="15" t="n">
        <v>3000</v>
      </c>
      <c r="E10" s="15" t="n">
        <f aca="false">F10-300</f>
        <v>2400</v>
      </c>
      <c r="F10" s="15" t="n">
        <v>2700</v>
      </c>
      <c r="G10" s="13" t="n">
        <v>1</v>
      </c>
      <c r="H10" s="15" t="n">
        <f aca="false">+D10*G10</f>
        <v>3000</v>
      </c>
      <c r="I10" s="15" t="n">
        <f aca="false">+F10*G10</f>
        <v>2700</v>
      </c>
      <c r="J10" s="15" t="n">
        <f aca="false">+E10*G10</f>
        <v>2400</v>
      </c>
      <c r="K10" s="16" t="n">
        <f aca="false">+D10*E10/1000000</f>
        <v>7.2</v>
      </c>
      <c r="L10" s="16" t="n">
        <f aca="false">+D10*F10/1000000</f>
        <v>8.1</v>
      </c>
      <c r="M10" s="16" t="n">
        <f aca="false">+G10*K10</f>
        <v>7.2</v>
      </c>
      <c r="N10" s="17" t="n">
        <f aca="false">+G10*L10</f>
        <v>8.1</v>
      </c>
      <c r="O10" s="3"/>
      <c r="P10" s="4"/>
      <c r="Q10" s="4"/>
      <c r="R10" s="129"/>
      <c r="S10" s="129"/>
      <c r="T10" s="4"/>
      <c r="U10" s="4"/>
      <c r="V10" s="4"/>
      <c r="W10" s="4"/>
      <c r="X10" s="4"/>
      <c r="Y10" s="4"/>
      <c r="Z10" s="126"/>
    </row>
    <row r="11" customFormat="false" ht="17.35" hidden="false" customHeight="false" outlineLevel="0" collapsed="false">
      <c r="B11" s="20" t="n">
        <f aca="false">+B10+1</f>
        <v>6</v>
      </c>
      <c r="C11" s="14" t="s">
        <v>18</v>
      </c>
      <c r="D11" s="15" t="n">
        <v>2530</v>
      </c>
      <c r="E11" s="15" t="n">
        <f aca="false">F11-300</f>
        <v>2100</v>
      </c>
      <c r="F11" s="15" t="n">
        <v>2400</v>
      </c>
      <c r="G11" s="13" t="n">
        <v>1</v>
      </c>
      <c r="H11" s="15" t="n">
        <f aca="false">+D11*G11</f>
        <v>2530</v>
      </c>
      <c r="I11" s="15" t="n">
        <f aca="false">+F11*G11</f>
        <v>2400</v>
      </c>
      <c r="J11" s="15" t="n">
        <f aca="false">+E11*G11</f>
        <v>2100</v>
      </c>
      <c r="K11" s="16" t="n">
        <f aca="false">+D11*E11/1000000</f>
        <v>5.313</v>
      </c>
      <c r="L11" s="16" t="n">
        <f aca="false">+D11*F11/1000000</f>
        <v>6.072</v>
      </c>
      <c r="M11" s="16" t="n">
        <f aca="false">+G11*K11</f>
        <v>5.313</v>
      </c>
      <c r="N11" s="17" t="n">
        <f aca="false">+G11*L11</f>
        <v>6.072</v>
      </c>
      <c r="O11" s="3"/>
      <c r="P11" s="4"/>
      <c r="Q11" s="4"/>
      <c r="R11" s="129"/>
      <c r="S11" s="129"/>
      <c r="T11" s="4"/>
      <c r="U11" s="4"/>
      <c r="V11" s="4"/>
      <c r="W11" s="4"/>
      <c r="X11" s="4"/>
      <c r="Y11" s="4"/>
      <c r="Z11" s="126"/>
    </row>
    <row r="12" customFormat="false" ht="17.35" hidden="false" customHeight="false" outlineLevel="0" collapsed="false">
      <c r="B12" s="20" t="n">
        <f aca="false">+B11+1</f>
        <v>7</v>
      </c>
      <c r="C12" s="14" t="s">
        <v>18</v>
      </c>
      <c r="D12" s="15" t="n">
        <v>3000</v>
      </c>
      <c r="E12" s="15" t="n">
        <f aca="false">F12-300</f>
        <v>2310</v>
      </c>
      <c r="F12" s="15" t="n">
        <v>2610</v>
      </c>
      <c r="G12" s="13" t="n">
        <v>1</v>
      </c>
      <c r="H12" s="15" t="n">
        <f aca="false">+D12*G12</f>
        <v>3000</v>
      </c>
      <c r="I12" s="15" t="n">
        <f aca="false">+F12*G12</f>
        <v>2610</v>
      </c>
      <c r="J12" s="15" t="n">
        <f aca="false">+E12*G12</f>
        <v>2310</v>
      </c>
      <c r="K12" s="16" t="n">
        <f aca="false">+D12*E12/1000000</f>
        <v>6.93</v>
      </c>
      <c r="L12" s="16" t="n">
        <f aca="false">+D12*F12/1000000</f>
        <v>7.83</v>
      </c>
      <c r="M12" s="16" t="n">
        <f aca="false">+G12*K12</f>
        <v>6.93</v>
      </c>
      <c r="N12" s="17" t="n">
        <f aca="false">+G12*L12</f>
        <v>7.83</v>
      </c>
      <c r="O12" s="3"/>
      <c r="P12" s="4"/>
      <c r="Q12" s="4"/>
      <c r="R12" s="129"/>
      <c r="S12" s="129"/>
      <c r="T12" s="4"/>
      <c r="U12" s="4"/>
      <c r="V12" s="4"/>
      <c r="W12" s="4"/>
      <c r="X12" s="4"/>
      <c r="Y12" s="4"/>
      <c r="Z12" s="126"/>
    </row>
    <row r="13" customFormat="false" ht="17.35" hidden="false" customHeight="false" outlineLevel="0" collapsed="false">
      <c r="B13" s="20" t="n">
        <f aca="false">+B12+1</f>
        <v>8</v>
      </c>
      <c r="C13" s="14" t="s">
        <v>18</v>
      </c>
      <c r="D13" s="15" t="n">
        <v>3010</v>
      </c>
      <c r="E13" s="15" t="n">
        <f aca="false">F13-300</f>
        <v>2300</v>
      </c>
      <c r="F13" s="15" t="n">
        <v>2600</v>
      </c>
      <c r="G13" s="13" t="n">
        <v>1</v>
      </c>
      <c r="H13" s="15" t="n">
        <f aca="false">+D13*G13</f>
        <v>3010</v>
      </c>
      <c r="I13" s="15" t="n">
        <f aca="false">+F13*G13</f>
        <v>2600</v>
      </c>
      <c r="J13" s="15" t="n">
        <f aca="false">+E13*G13</f>
        <v>2300</v>
      </c>
      <c r="K13" s="16" t="n">
        <f aca="false">+D13*E13/1000000</f>
        <v>6.923</v>
      </c>
      <c r="L13" s="16" t="n">
        <f aca="false">+D13*F13/1000000</f>
        <v>7.826</v>
      </c>
      <c r="M13" s="16" t="n">
        <f aca="false">+G13*K13</f>
        <v>6.923</v>
      </c>
      <c r="N13" s="17" t="n">
        <f aca="false">+G13*L13</f>
        <v>7.826</v>
      </c>
      <c r="O13" s="3"/>
      <c r="P13" s="4"/>
      <c r="Q13" s="4"/>
      <c r="R13" s="129"/>
      <c r="S13" s="129"/>
      <c r="T13" s="4"/>
      <c r="U13" s="4"/>
      <c r="V13" s="4"/>
      <c r="W13" s="4"/>
      <c r="X13" s="4"/>
      <c r="Y13" s="4"/>
      <c r="Z13" s="126"/>
    </row>
    <row r="14" customFormat="false" ht="17.35" hidden="false" customHeight="false" outlineLevel="0" collapsed="false">
      <c r="B14" s="20" t="n">
        <f aca="false">+B13+1</f>
        <v>9</v>
      </c>
      <c r="C14" s="14" t="s">
        <v>18</v>
      </c>
      <c r="D14" s="15" t="n">
        <v>1250</v>
      </c>
      <c r="E14" s="15" t="n">
        <f aca="false">F14-300</f>
        <v>1100</v>
      </c>
      <c r="F14" s="15" t="n">
        <v>1400</v>
      </c>
      <c r="G14" s="13" t="n">
        <v>1</v>
      </c>
      <c r="H14" s="15" t="n">
        <f aca="false">+D14*G14</f>
        <v>1250</v>
      </c>
      <c r="I14" s="15" t="n">
        <f aca="false">+F14*G14</f>
        <v>1400</v>
      </c>
      <c r="J14" s="15" t="n">
        <f aca="false">+E14*G14</f>
        <v>1100</v>
      </c>
      <c r="K14" s="16" t="n">
        <f aca="false">+D14*E14/1000000</f>
        <v>1.375</v>
      </c>
      <c r="L14" s="16" t="n">
        <f aca="false">+D14*F14/1000000</f>
        <v>1.75</v>
      </c>
      <c r="M14" s="16" t="n">
        <f aca="false">+G14*K14</f>
        <v>1.375</v>
      </c>
      <c r="N14" s="17" t="n">
        <f aca="false">+G14*L14</f>
        <v>1.75</v>
      </c>
      <c r="O14" s="3"/>
      <c r="P14" s="4"/>
      <c r="Q14" s="4"/>
      <c r="R14" s="129"/>
      <c r="S14" s="129"/>
      <c r="T14" s="4"/>
      <c r="U14" s="4"/>
      <c r="V14" s="4"/>
      <c r="W14" s="4"/>
      <c r="X14" s="4"/>
      <c r="Y14" s="4"/>
      <c r="Z14" s="126"/>
    </row>
    <row r="15" customFormat="false" ht="17.35" hidden="false" customHeight="false" outlineLevel="0" collapsed="false">
      <c r="B15" s="20" t="n">
        <f aca="false">+B14+1</f>
        <v>10</v>
      </c>
      <c r="C15" s="14" t="s">
        <v>18</v>
      </c>
      <c r="D15" s="15" t="n">
        <v>1970</v>
      </c>
      <c r="E15" s="15" t="n">
        <f aca="false">F15-300</f>
        <v>1180</v>
      </c>
      <c r="F15" s="15" t="n">
        <v>1480</v>
      </c>
      <c r="G15" s="13" t="n">
        <v>1</v>
      </c>
      <c r="H15" s="15" t="n">
        <f aca="false">+D15*G15</f>
        <v>1970</v>
      </c>
      <c r="I15" s="15" t="n">
        <f aca="false">+F15*G15</f>
        <v>1480</v>
      </c>
      <c r="J15" s="15" t="n">
        <f aca="false">+E15*G15</f>
        <v>1180</v>
      </c>
      <c r="K15" s="16" t="n">
        <f aca="false">+D15*E15/1000000</f>
        <v>2.3246</v>
      </c>
      <c r="L15" s="16" t="n">
        <f aca="false">+D15*F15/1000000</f>
        <v>2.9156</v>
      </c>
      <c r="M15" s="16" t="n">
        <f aca="false">+G15*K15</f>
        <v>2.3246</v>
      </c>
      <c r="N15" s="17" t="n">
        <f aca="false">+G15*L15</f>
        <v>2.9156</v>
      </c>
      <c r="O15" s="3"/>
      <c r="P15" s="4"/>
      <c r="Q15" s="4"/>
      <c r="R15" s="129"/>
      <c r="S15" s="129"/>
      <c r="T15" s="4"/>
      <c r="U15" s="4"/>
      <c r="V15" s="4"/>
      <c r="W15" s="4"/>
      <c r="X15" s="4"/>
      <c r="Y15" s="4"/>
      <c r="Z15" s="126"/>
    </row>
    <row r="16" customFormat="false" ht="17.35" hidden="false" customHeight="false" outlineLevel="0" collapsed="false">
      <c r="B16" s="20" t="n">
        <f aca="false">+B15+1</f>
        <v>11</v>
      </c>
      <c r="C16" s="14" t="s">
        <v>18</v>
      </c>
      <c r="D16" s="15" t="n">
        <v>2040</v>
      </c>
      <c r="E16" s="15" t="n">
        <f aca="false">F16-300</f>
        <v>1220</v>
      </c>
      <c r="F16" s="15" t="n">
        <v>1520</v>
      </c>
      <c r="G16" s="13" t="n">
        <v>1</v>
      </c>
      <c r="H16" s="15" t="n">
        <f aca="false">+D16*G16</f>
        <v>2040</v>
      </c>
      <c r="I16" s="15" t="n">
        <f aca="false">+F16*G16</f>
        <v>1520</v>
      </c>
      <c r="J16" s="15" t="n">
        <f aca="false">+E16*G16</f>
        <v>1220</v>
      </c>
      <c r="K16" s="16" t="n">
        <f aca="false">+D16*E16/1000000</f>
        <v>2.4888</v>
      </c>
      <c r="L16" s="16" t="n">
        <f aca="false">+D16*F16/1000000</f>
        <v>3.1008</v>
      </c>
      <c r="M16" s="16" t="n">
        <f aca="false">+G16*K16</f>
        <v>2.4888</v>
      </c>
      <c r="N16" s="17" t="n">
        <f aca="false">+G16*L16</f>
        <v>3.1008</v>
      </c>
      <c r="O16" s="3"/>
      <c r="P16" s="4"/>
      <c r="Q16" s="4"/>
      <c r="R16" s="129"/>
      <c r="S16" s="129"/>
      <c r="T16" s="4"/>
      <c r="U16" s="4"/>
      <c r="V16" s="4"/>
      <c r="W16" s="4"/>
      <c r="X16" s="4"/>
      <c r="Y16" s="4"/>
      <c r="Z16" s="126"/>
    </row>
    <row r="17" customFormat="false" ht="17.35" hidden="false" customHeight="false" outlineLevel="0" collapsed="false">
      <c r="B17" s="20" t="n">
        <f aca="false">+B16+1</f>
        <v>12</v>
      </c>
      <c r="C17" s="14" t="s">
        <v>18</v>
      </c>
      <c r="D17" s="15" t="n">
        <v>2060</v>
      </c>
      <c r="E17" s="15" t="n">
        <f aca="false">F17-300</f>
        <v>1230</v>
      </c>
      <c r="F17" s="15" t="n">
        <v>1530</v>
      </c>
      <c r="G17" s="13" t="n">
        <v>1</v>
      </c>
      <c r="H17" s="15" t="n">
        <f aca="false">+D17*G17</f>
        <v>2060</v>
      </c>
      <c r="I17" s="15" t="n">
        <f aca="false">+F17*G17</f>
        <v>1530</v>
      </c>
      <c r="J17" s="15" t="n">
        <f aca="false">+E17*G17</f>
        <v>1230</v>
      </c>
      <c r="K17" s="16" t="n">
        <f aca="false">+D17*E17/1000000</f>
        <v>2.5338</v>
      </c>
      <c r="L17" s="16" t="n">
        <f aca="false">+D17*F17/1000000</f>
        <v>3.1518</v>
      </c>
      <c r="M17" s="16" t="n">
        <f aca="false">+G17*K17</f>
        <v>2.5338</v>
      </c>
      <c r="N17" s="17" t="n">
        <f aca="false">+G17*L17</f>
        <v>3.1518</v>
      </c>
      <c r="O17" s="3"/>
      <c r="P17" s="4"/>
      <c r="Q17" s="4"/>
      <c r="R17" s="129"/>
      <c r="S17" s="129"/>
      <c r="T17" s="4"/>
      <c r="U17" s="4"/>
      <c r="V17" s="4"/>
      <c r="W17" s="4"/>
      <c r="X17" s="4"/>
      <c r="Y17" s="4"/>
      <c r="Z17" s="126"/>
    </row>
    <row r="18" customFormat="false" ht="17.35" hidden="false" customHeight="false" outlineLevel="0" collapsed="false">
      <c r="B18" s="20" t="n">
        <f aca="false">+B17+1</f>
        <v>13</v>
      </c>
      <c r="C18" s="14" t="s">
        <v>18</v>
      </c>
      <c r="D18" s="15" t="n">
        <v>1850</v>
      </c>
      <c r="E18" s="15" t="n">
        <f aca="false">F18-300</f>
        <v>1170</v>
      </c>
      <c r="F18" s="15" t="n">
        <v>1470</v>
      </c>
      <c r="G18" s="13" t="n">
        <v>1</v>
      </c>
      <c r="H18" s="15" t="n">
        <f aca="false">+D18*G18</f>
        <v>1850</v>
      </c>
      <c r="I18" s="15" t="n">
        <f aca="false">+F18*G18</f>
        <v>1470</v>
      </c>
      <c r="J18" s="15" t="n">
        <f aca="false">+E18*G18</f>
        <v>1170</v>
      </c>
      <c r="K18" s="16" t="n">
        <f aca="false">+D18*E18/1000000</f>
        <v>2.1645</v>
      </c>
      <c r="L18" s="16" t="n">
        <f aca="false">+D18*F18/1000000</f>
        <v>2.7195</v>
      </c>
      <c r="M18" s="16" t="n">
        <f aca="false">+G18*K18</f>
        <v>2.1645</v>
      </c>
      <c r="N18" s="17" t="n">
        <f aca="false">+G18*L18</f>
        <v>2.7195</v>
      </c>
      <c r="O18" s="3"/>
      <c r="P18" s="4"/>
      <c r="Q18" s="4"/>
      <c r="R18" s="129"/>
      <c r="S18" s="129"/>
      <c r="T18" s="4"/>
      <c r="U18" s="4"/>
      <c r="V18" s="4"/>
      <c r="W18" s="4"/>
      <c r="X18" s="4"/>
      <c r="Y18" s="4"/>
      <c r="Z18" s="126"/>
    </row>
    <row r="19" customFormat="false" ht="17.35" hidden="false" customHeight="false" outlineLevel="0" collapsed="false">
      <c r="B19" s="20" t="n">
        <f aca="false">+B18+1</f>
        <v>14</v>
      </c>
      <c r="C19" s="14" t="s">
        <v>18</v>
      </c>
      <c r="D19" s="15" t="n">
        <v>1860</v>
      </c>
      <c r="E19" s="15" t="n">
        <f aca="false">F19-300</f>
        <v>1200</v>
      </c>
      <c r="F19" s="15" t="n">
        <v>1500</v>
      </c>
      <c r="G19" s="13" t="n">
        <v>1</v>
      </c>
      <c r="H19" s="15" t="n">
        <f aca="false">+D19*G19</f>
        <v>1860</v>
      </c>
      <c r="I19" s="15" t="n">
        <f aca="false">+F19*G19</f>
        <v>1500</v>
      </c>
      <c r="J19" s="15" t="n">
        <f aca="false">+E19*G19</f>
        <v>1200</v>
      </c>
      <c r="K19" s="16" t="n">
        <f aca="false">+D19*E19/1000000</f>
        <v>2.232</v>
      </c>
      <c r="L19" s="16" t="n">
        <f aca="false">+D19*F19/1000000</f>
        <v>2.79</v>
      </c>
      <c r="M19" s="16" t="n">
        <f aca="false">+G19*K19</f>
        <v>2.232</v>
      </c>
      <c r="N19" s="17" t="n">
        <f aca="false">+G19*L19</f>
        <v>2.79</v>
      </c>
      <c r="O19" s="3"/>
      <c r="P19" s="4"/>
      <c r="Q19" s="4"/>
      <c r="R19" s="129"/>
      <c r="S19" s="129"/>
      <c r="T19" s="4"/>
      <c r="U19" s="4"/>
      <c r="V19" s="4"/>
      <c r="W19" s="4"/>
      <c r="X19" s="4"/>
      <c r="Y19" s="4"/>
      <c r="Z19" s="126"/>
    </row>
    <row r="20" customFormat="false" ht="17.35" hidden="false" customHeight="false" outlineLevel="0" collapsed="false">
      <c r="B20" s="20" t="n">
        <f aca="false">+B19+1</f>
        <v>15</v>
      </c>
      <c r="C20" s="14" t="s">
        <v>18</v>
      </c>
      <c r="D20" s="15" t="n">
        <v>1220</v>
      </c>
      <c r="E20" s="15" t="n">
        <f aca="false">F20-300</f>
        <v>1300</v>
      </c>
      <c r="F20" s="15" t="n">
        <v>1600</v>
      </c>
      <c r="G20" s="13" t="n">
        <v>1</v>
      </c>
      <c r="H20" s="15" t="n">
        <f aca="false">+D20*G20</f>
        <v>1220</v>
      </c>
      <c r="I20" s="15" t="n">
        <f aca="false">+F20*G20</f>
        <v>1600</v>
      </c>
      <c r="J20" s="15" t="n">
        <f aca="false">+E20*G20</f>
        <v>1300</v>
      </c>
      <c r="K20" s="16" t="n">
        <f aca="false">+D20*E20/1000000</f>
        <v>1.586</v>
      </c>
      <c r="L20" s="16" t="n">
        <f aca="false">+D20*F20/1000000</f>
        <v>1.952</v>
      </c>
      <c r="M20" s="16" t="n">
        <f aca="false">+G20*K20</f>
        <v>1.586</v>
      </c>
      <c r="N20" s="17" t="n">
        <f aca="false">+G20*L20</f>
        <v>1.952</v>
      </c>
      <c r="O20" s="3"/>
      <c r="P20" s="4"/>
      <c r="Q20" s="4"/>
      <c r="R20" s="129"/>
      <c r="S20" s="129"/>
      <c r="T20" s="4"/>
      <c r="U20" s="4"/>
      <c r="V20" s="4"/>
      <c r="W20" s="4"/>
      <c r="X20" s="4"/>
      <c r="Y20" s="4"/>
      <c r="Z20" s="126"/>
    </row>
    <row r="21" customFormat="false" ht="17.35" hidden="false" customHeight="false" outlineLevel="0" collapsed="false">
      <c r="B21" s="20" t="n">
        <f aca="false">+B20+1</f>
        <v>16</v>
      </c>
      <c r="C21" s="14" t="s">
        <v>18</v>
      </c>
      <c r="D21" s="15" t="n">
        <v>1370</v>
      </c>
      <c r="E21" s="15" t="n">
        <f aca="false">F21-300</f>
        <v>1280</v>
      </c>
      <c r="F21" s="15" t="n">
        <v>1580</v>
      </c>
      <c r="G21" s="13" t="n">
        <v>1</v>
      </c>
      <c r="H21" s="15" t="n">
        <f aca="false">+D21*G21</f>
        <v>1370</v>
      </c>
      <c r="I21" s="15" t="n">
        <f aca="false">+F21*G21</f>
        <v>1580</v>
      </c>
      <c r="J21" s="15" t="n">
        <f aca="false">+E21*G21</f>
        <v>1280</v>
      </c>
      <c r="K21" s="16" t="n">
        <f aca="false">+D21*E21/1000000</f>
        <v>1.7536</v>
      </c>
      <c r="L21" s="16" t="n">
        <f aca="false">+D21*F21/1000000</f>
        <v>2.1646</v>
      </c>
      <c r="M21" s="16" t="n">
        <f aca="false">+G21*K21</f>
        <v>1.7536</v>
      </c>
      <c r="N21" s="17" t="n">
        <f aca="false">+G21*L21</f>
        <v>2.1646</v>
      </c>
      <c r="O21" s="3"/>
      <c r="P21" s="4"/>
      <c r="Q21" s="4"/>
      <c r="R21" s="129"/>
      <c r="S21" s="129"/>
      <c r="T21" s="4"/>
      <c r="U21" s="4"/>
      <c r="V21" s="4"/>
      <c r="W21" s="4"/>
      <c r="X21" s="4"/>
      <c r="Y21" s="4"/>
      <c r="Z21" s="126"/>
    </row>
    <row r="22" customFormat="false" ht="17.35" hidden="false" customHeight="false" outlineLevel="0" collapsed="false">
      <c r="B22" s="20" t="n">
        <f aca="false">+B21+1</f>
        <v>17</v>
      </c>
      <c r="C22" s="14" t="s">
        <v>18</v>
      </c>
      <c r="D22" s="15" t="n">
        <v>2000</v>
      </c>
      <c r="E22" s="15" t="n">
        <f aca="false">F22-300</f>
        <v>1280</v>
      </c>
      <c r="F22" s="15" t="n">
        <v>1580</v>
      </c>
      <c r="G22" s="13" t="n">
        <v>1</v>
      </c>
      <c r="H22" s="15" t="n">
        <f aca="false">+D22*G22</f>
        <v>2000</v>
      </c>
      <c r="I22" s="15" t="n">
        <f aca="false">+F22*G22</f>
        <v>1580</v>
      </c>
      <c r="J22" s="15" t="n">
        <f aca="false">+E22*G22</f>
        <v>1280</v>
      </c>
      <c r="K22" s="16" t="n">
        <f aca="false">+D22*E22/1000000</f>
        <v>2.56</v>
      </c>
      <c r="L22" s="16" t="n">
        <f aca="false">+D22*F22/1000000</f>
        <v>3.16</v>
      </c>
      <c r="M22" s="16" t="n">
        <f aca="false">+G22*K22</f>
        <v>2.56</v>
      </c>
      <c r="N22" s="17" t="n">
        <f aca="false">+G22*L22</f>
        <v>3.16</v>
      </c>
      <c r="O22" s="3"/>
      <c r="P22" s="4"/>
      <c r="Q22" s="4"/>
      <c r="R22" s="129"/>
      <c r="S22" s="129"/>
      <c r="T22" s="4"/>
      <c r="U22" s="4"/>
      <c r="V22" s="4"/>
      <c r="W22" s="4"/>
      <c r="X22" s="4"/>
      <c r="Y22" s="4"/>
      <c r="Z22" s="126"/>
    </row>
    <row r="23" customFormat="false" ht="17.35" hidden="false" customHeight="false" outlineLevel="0" collapsed="false">
      <c r="B23" s="20" t="n">
        <f aca="false">+B22+1</f>
        <v>18</v>
      </c>
      <c r="C23" s="14" t="s">
        <v>18</v>
      </c>
      <c r="D23" s="15" t="n">
        <v>2070</v>
      </c>
      <c r="E23" s="15" t="n">
        <f aca="false">F23-300</f>
        <v>1300</v>
      </c>
      <c r="F23" s="15" t="n">
        <v>1600</v>
      </c>
      <c r="G23" s="13" t="n">
        <v>1</v>
      </c>
      <c r="H23" s="15" t="n">
        <f aca="false">+D23*G23</f>
        <v>2070</v>
      </c>
      <c r="I23" s="15" t="n">
        <f aca="false">+F23*G23</f>
        <v>1600</v>
      </c>
      <c r="J23" s="15" t="n">
        <f aca="false">+E23*G23</f>
        <v>1300</v>
      </c>
      <c r="K23" s="16" t="n">
        <f aca="false">+D23*E23/1000000</f>
        <v>2.691</v>
      </c>
      <c r="L23" s="16" t="n">
        <f aca="false">+D23*F23/1000000</f>
        <v>3.312</v>
      </c>
      <c r="M23" s="16" t="n">
        <f aca="false">+G23*K23</f>
        <v>2.691</v>
      </c>
      <c r="N23" s="17" t="n">
        <f aca="false">+G23*L23</f>
        <v>3.312</v>
      </c>
      <c r="O23" s="3"/>
      <c r="P23" s="4"/>
      <c r="Q23" s="4"/>
      <c r="R23" s="129"/>
      <c r="S23" s="129"/>
      <c r="T23" s="4"/>
      <c r="U23" s="4"/>
      <c r="V23" s="4"/>
      <c r="W23" s="4" t="s">
        <v>163</v>
      </c>
      <c r="X23" s="4"/>
      <c r="Y23" s="4"/>
      <c r="Z23" s="126"/>
    </row>
    <row r="24" customFormat="false" ht="17.35" hidden="false" customHeight="false" outlineLevel="0" collapsed="false">
      <c r="B24" s="20" t="n">
        <f aca="false">+B23+1</f>
        <v>19</v>
      </c>
      <c r="C24" s="14" t="s">
        <v>18</v>
      </c>
      <c r="D24" s="15" t="n">
        <v>2820</v>
      </c>
      <c r="E24" s="15" t="n">
        <f aca="false">F24-300</f>
        <v>1500</v>
      </c>
      <c r="F24" s="15" t="n">
        <v>1800</v>
      </c>
      <c r="G24" s="13" t="n">
        <v>1</v>
      </c>
      <c r="H24" s="15" t="n">
        <f aca="false">+D24*G24</f>
        <v>2820</v>
      </c>
      <c r="I24" s="15" t="n">
        <f aca="false">+F24*G24</f>
        <v>1800</v>
      </c>
      <c r="J24" s="15" t="n">
        <f aca="false">+E24*G24</f>
        <v>1500</v>
      </c>
      <c r="K24" s="16" t="n">
        <f aca="false">+D24*E24/1000000</f>
        <v>4.23</v>
      </c>
      <c r="L24" s="16" t="n">
        <f aca="false">+D24*F24/1000000</f>
        <v>5.076</v>
      </c>
      <c r="M24" s="16" t="n">
        <f aca="false">+G24*K24</f>
        <v>4.23</v>
      </c>
      <c r="N24" s="17" t="n">
        <f aca="false">+G24*L24</f>
        <v>5.076</v>
      </c>
      <c r="O24" s="3"/>
      <c r="P24" s="4"/>
      <c r="Q24" s="4"/>
      <c r="R24" s="129"/>
      <c r="S24" s="129"/>
      <c r="T24" s="4"/>
      <c r="U24" s="4"/>
      <c r="V24" s="4"/>
      <c r="W24" s="4"/>
      <c r="X24" s="4"/>
      <c r="Y24" s="4"/>
      <c r="Z24" s="126"/>
    </row>
    <row r="25" customFormat="false" ht="17.35" hidden="false" customHeight="false" outlineLevel="0" collapsed="false">
      <c r="B25" s="20" t="n">
        <f aca="false">+B24+1</f>
        <v>20</v>
      </c>
      <c r="C25" s="14" t="s">
        <v>18</v>
      </c>
      <c r="D25" s="15" t="n">
        <v>1220</v>
      </c>
      <c r="E25" s="15" t="n">
        <f aca="false">F25-300</f>
        <v>850</v>
      </c>
      <c r="F25" s="15" t="n">
        <v>1150</v>
      </c>
      <c r="G25" s="13" t="n">
        <v>1</v>
      </c>
      <c r="H25" s="15" t="n">
        <f aca="false">+D25*G25</f>
        <v>1220</v>
      </c>
      <c r="I25" s="15" t="n">
        <f aca="false">+F25*G25</f>
        <v>1150</v>
      </c>
      <c r="J25" s="15" t="n">
        <f aca="false">+E25*G25</f>
        <v>850</v>
      </c>
      <c r="K25" s="16" t="n">
        <f aca="false">+D25*E25/1000000</f>
        <v>1.037</v>
      </c>
      <c r="L25" s="16" t="n">
        <f aca="false">+D25*F25/1000000</f>
        <v>1.403</v>
      </c>
      <c r="M25" s="16" t="n">
        <f aca="false">+G25*K25</f>
        <v>1.037</v>
      </c>
      <c r="N25" s="17" t="n">
        <f aca="false">+G25*L25</f>
        <v>1.403</v>
      </c>
      <c r="O25" s="3"/>
      <c r="P25" s="4"/>
      <c r="Q25" s="4"/>
      <c r="R25" s="129"/>
      <c r="S25" s="129"/>
      <c r="T25" s="4"/>
      <c r="U25" s="4"/>
      <c r="V25" s="4"/>
      <c r="W25" s="4"/>
      <c r="X25" s="4"/>
      <c r="Y25" s="4"/>
      <c r="Z25" s="126"/>
    </row>
    <row r="26" customFormat="false" ht="17.35" hidden="false" customHeight="false" outlineLevel="0" collapsed="false">
      <c r="B26" s="20" t="n">
        <f aca="false">+B25+1</f>
        <v>21</v>
      </c>
      <c r="C26" s="14" t="s">
        <v>18</v>
      </c>
      <c r="D26" s="15" t="n">
        <v>1520</v>
      </c>
      <c r="E26" s="15" t="n">
        <f aca="false">F26-300</f>
        <v>1500</v>
      </c>
      <c r="F26" s="15" t="n">
        <v>1800</v>
      </c>
      <c r="G26" s="13" t="n">
        <v>1</v>
      </c>
      <c r="H26" s="15" t="n">
        <f aca="false">+D26*G26</f>
        <v>1520</v>
      </c>
      <c r="I26" s="15" t="n">
        <f aca="false">+F26*G26</f>
        <v>1800</v>
      </c>
      <c r="J26" s="15" t="n">
        <f aca="false">+E26*G26</f>
        <v>1500</v>
      </c>
      <c r="K26" s="16" t="n">
        <f aca="false">+D26*E26/1000000</f>
        <v>2.28</v>
      </c>
      <c r="L26" s="16" t="n">
        <f aca="false">+D26*F26/1000000</f>
        <v>2.736</v>
      </c>
      <c r="M26" s="16" t="n">
        <f aca="false">+G26*K26</f>
        <v>2.28</v>
      </c>
      <c r="N26" s="17" t="n">
        <f aca="false">+G26*L26</f>
        <v>2.736</v>
      </c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126"/>
    </row>
    <row r="27" customFormat="false" ht="17.35" hidden="false" customHeight="false" outlineLevel="0" collapsed="false">
      <c r="B27" s="20" t="n">
        <f aca="false">+B26+1</f>
        <v>22</v>
      </c>
      <c r="C27" s="14" t="s">
        <v>18</v>
      </c>
      <c r="D27" s="15" t="n">
        <v>2820</v>
      </c>
      <c r="E27" s="15" t="n">
        <f aca="false">F27-300</f>
        <v>1020</v>
      </c>
      <c r="F27" s="15" t="n">
        <v>1320</v>
      </c>
      <c r="G27" s="13" t="n">
        <v>1</v>
      </c>
      <c r="H27" s="15" t="n">
        <f aca="false">+D27*G27</f>
        <v>2820</v>
      </c>
      <c r="I27" s="15" t="n">
        <f aca="false">+F27*G27</f>
        <v>1320</v>
      </c>
      <c r="J27" s="15" t="n">
        <f aca="false">+E27*G27</f>
        <v>1020</v>
      </c>
      <c r="K27" s="16" t="n">
        <f aca="false">+D27*E27/1000000</f>
        <v>2.8764</v>
      </c>
      <c r="L27" s="16" t="n">
        <f aca="false">+D27*F27/1000000</f>
        <v>3.7224</v>
      </c>
      <c r="M27" s="16" t="n">
        <f aca="false">+G27*K27</f>
        <v>2.8764</v>
      </c>
      <c r="N27" s="17" t="n">
        <f aca="false">+G27*L27</f>
        <v>3.7224</v>
      </c>
      <c r="O27" s="4"/>
      <c r="P27" s="4"/>
      <c r="Q27" s="12"/>
      <c r="R27" s="12"/>
      <c r="S27" s="12"/>
      <c r="T27" s="12"/>
      <c r="U27" s="12"/>
      <c r="V27" s="12"/>
      <c r="W27" s="12"/>
      <c r="X27" s="4"/>
      <c r="Y27" s="3"/>
    </row>
    <row r="28" customFormat="false" ht="17.35" hidden="false" customHeight="false" outlineLevel="0" collapsed="false">
      <c r="B28" s="20" t="n">
        <f aca="false">+B27+1</f>
        <v>23</v>
      </c>
      <c r="C28" s="14" t="s">
        <v>18</v>
      </c>
      <c r="D28" s="15"/>
      <c r="E28" s="15" t="n">
        <f aca="false">F28-300</f>
        <v>-300</v>
      </c>
      <c r="F28" s="15"/>
      <c r="G28" s="13"/>
      <c r="H28" s="15" t="n">
        <f aca="false">+D28*G28</f>
        <v>0</v>
      </c>
      <c r="I28" s="15" t="n">
        <f aca="false">+F28*G28</f>
        <v>0</v>
      </c>
      <c r="J28" s="15" t="n">
        <f aca="false">+E28*G28</f>
        <v>-0</v>
      </c>
      <c r="K28" s="16" t="n">
        <f aca="false">+D28*E28/1000000</f>
        <v>-0</v>
      </c>
      <c r="L28" s="16" t="n">
        <f aca="false">+D28*F28/1000000</f>
        <v>0</v>
      </c>
      <c r="M28" s="16" t="n">
        <f aca="false">+G28*K28</f>
        <v>-0</v>
      </c>
      <c r="N28" s="17" t="n">
        <f aca="false">+G28*L28</f>
        <v>0</v>
      </c>
      <c r="O28" s="4"/>
      <c r="P28" s="4"/>
      <c r="Q28" s="4"/>
      <c r="R28" s="4"/>
      <c r="S28" s="4"/>
      <c r="T28" s="21"/>
      <c r="U28" s="21"/>
      <c r="V28" s="22"/>
      <c r="W28" s="22"/>
      <c r="X28" s="4"/>
      <c r="Y28" s="3"/>
    </row>
    <row r="29" customFormat="false" ht="17.35" hidden="false" customHeight="false" outlineLevel="0" collapsed="false">
      <c r="B29" s="20" t="n">
        <f aca="false">+B28+1</f>
        <v>24</v>
      </c>
      <c r="C29" s="14" t="s">
        <v>18</v>
      </c>
      <c r="D29" s="15"/>
      <c r="E29" s="15" t="n">
        <f aca="false">F29-300</f>
        <v>-300</v>
      </c>
      <c r="F29" s="15"/>
      <c r="G29" s="13"/>
      <c r="H29" s="15" t="n">
        <f aca="false">+D29*G29</f>
        <v>0</v>
      </c>
      <c r="I29" s="15" t="n">
        <f aca="false">+F29*G29</f>
        <v>0</v>
      </c>
      <c r="J29" s="15" t="n">
        <f aca="false">+E29*G29</f>
        <v>-0</v>
      </c>
      <c r="K29" s="16" t="n">
        <f aca="false">+D29*E29/1000000</f>
        <v>-0</v>
      </c>
      <c r="L29" s="16" t="n">
        <f aca="false">+D29*F29/1000000</f>
        <v>0</v>
      </c>
      <c r="M29" s="16" t="n">
        <f aca="false">+G29*K29</f>
        <v>-0</v>
      </c>
      <c r="N29" s="17" t="n">
        <f aca="false">+G29*L29</f>
        <v>0</v>
      </c>
      <c r="O29" s="4"/>
      <c r="P29" s="4"/>
      <c r="Q29" s="4"/>
      <c r="R29" s="4"/>
      <c r="S29" s="4"/>
      <c r="T29" s="21"/>
      <c r="U29" s="21"/>
      <c r="V29" s="22"/>
      <c r="W29" s="22"/>
      <c r="X29" s="126"/>
    </row>
    <row r="30" customFormat="false" ht="17.35" hidden="false" customHeight="false" outlineLevel="0" collapsed="false">
      <c r="B30" s="20" t="n">
        <f aca="false">+B29+1</f>
        <v>25</v>
      </c>
      <c r="C30" s="14" t="s">
        <v>18</v>
      </c>
      <c r="D30" s="15"/>
      <c r="E30" s="15" t="n">
        <f aca="false">F30-300</f>
        <v>-300</v>
      </c>
      <c r="F30" s="15"/>
      <c r="G30" s="13"/>
      <c r="H30" s="15" t="n">
        <f aca="false">+D30*G30</f>
        <v>0</v>
      </c>
      <c r="I30" s="15" t="n">
        <f aca="false">+F30*G30</f>
        <v>0</v>
      </c>
      <c r="J30" s="15" t="n">
        <f aca="false">+E30*G30</f>
        <v>-0</v>
      </c>
      <c r="K30" s="16" t="n">
        <f aca="false">+D30*E30/1000000</f>
        <v>-0</v>
      </c>
      <c r="L30" s="16" t="n">
        <f aca="false">+D30*F30/1000000</f>
        <v>0</v>
      </c>
      <c r="M30" s="16" t="n">
        <f aca="false">+G30*K30</f>
        <v>-0</v>
      </c>
      <c r="N30" s="17" t="n">
        <f aca="false">+G30*L30</f>
        <v>0</v>
      </c>
      <c r="O30" s="4"/>
      <c r="P30" s="4"/>
      <c r="Q30" s="4"/>
      <c r="R30" s="4"/>
      <c r="S30" s="4"/>
      <c r="T30" s="21"/>
      <c r="U30" s="21"/>
      <c r="V30" s="22"/>
      <c r="W30" s="22"/>
      <c r="X30" s="126"/>
    </row>
    <row r="31" customFormat="false" ht="17.35" hidden="false" customHeight="false" outlineLevel="0" collapsed="false">
      <c r="B31" s="20" t="n">
        <f aca="false">+B30+1</f>
        <v>26</v>
      </c>
      <c r="C31" s="14" t="s">
        <v>18</v>
      </c>
      <c r="D31" s="15"/>
      <c r="E31" s="15" t="n">
        <f aca="false">F31-300</f>
        <v>-300</v>
      </c>
      <c r="F31" s="15"/>
      <c r="G31" s="13"/>
      <c r="H31" s="15" t="n">
        <f aca="false">+D31*G31</f>
        <v>0</v>
      </c>
      <c r="I31" s="15" t="n">
        <f aca="false">+F31*G31</f>
        <v>0</v>
      </c>
      <c r="J31" s="15" t="n">
        <f aca="false">+E31*G31</f>
        <v>-0</v>
      </c>
      <c r="K31" s="16" t="n">
        <f aca="false">+D31*E31/1000000</f>
        <v>-0</v>
      </c>
      <c r="L31" s="16" t="n">
        <f aca="false">+D31*F31/1000000</f>
        <v>0</v>
      </c>
      <c r="M31" s="16" t="n">
        <f aca="false">+G31*K31</f>
        <v>-0</v>
      </c>
      <c r="N31" s="17" t="n">
        <f aca="false">+G31*L31</f>
        <v>0</v>
      </c>
      <c r="O31" s="4"/>
      <c r="P31" s="4"/>
      <c r="Q31" s="4"/>
      <c r="R31" s="4"/>
      <c r="S31" s="4"/>
      <c r="T31" s="21"/>
      <c r="U31" s="21"/>
      <c r="V31" s="22"/>
      <c r="W31" s="21"/>
      <c r="X31" s="126"/>
    </row>
    <row r="32" customFormat="false" ht="17.35" hidden="false" customHeight="false" outlineLevel="0" collapsed="false">
      <c r="B32" s="20" t="n">
        <f aca="false">+B31+1</f>
        <v>27</v>
      </c>
      <c r="C32" s="14" t="s">
        <v>18</v>
      </c>
      <c r="D32" s="15"/>
      <c r="E32" s="15" t="n">
        <f aca="false">F32-300</f>
        <v>-300</v>
      </c>
      <c r="F32" s="15"/>
      <c r="G32" s="13"/>
      <c r="H32" s="15" t="n">
        <f aca="false">+D32*G32</f>
        <v>0</v>
      </c>
      <c r="I32" s="15" t="n">
        <f aca="false">+F32*G32</f>
        <v>0</v>
      </c>
      <c r="J32" s="15" t="n">
        <f aca="false">+E32*G32</f>
        <v>-0</v>
      </c>
      <c r="K32" s="16" t="n">
        <f aca="false">+D32*E32/1000000</f>
        <v>-0</v>
      </c>
      <c r="L32" s="16" t="n">
        <f aca="false">+D32*F32/1000000</f>
        <v>0</v>
      </c>
      <c r="M32" s="16" t="n">
        <f aca="false">+G32*K32</f>
        <v>-0</v>
      </c>
      <c r="N32" s="17" t="n">
        <f aca="false">+G32*L32</f>
        <v>0</v>
      </c>
      <c r="O32" s="4"/>
      <c r="P32" s="4"/>
      <c r="Q32" s="4"/>
      <c r="R32" s="4"/>
      <c r="S32" s="4"/>
      <c r="T32" s="21"/>
      <c r="U32" s="21"/>
      <c r="V32" s="22"/>
      <c r="W32" s="21"/>
      <c r="X32" s="126"/>
    </row>
    <row r="33" customFormat="false" ht="17.35" hidden="false" customHeight="false" outlineLevel="0" collapsed="false">
      <c r="B33" s="20" t="n">
        <f aca="false">+B32+1</f>
        <v>28</v>
      </c>
      <c r="C33" s="14" t="s">
        <v>18</v>
      </c>
      <c r="D33" s="15"/>
      <c r="E33" s="15" t="n">
        <f aca="false">F33-300</f>
        <v>-300</v>
      </c>
      <c r="F33" s="15"/>
      <c r="G33" s="13"/>
      <c r="H33" s="15" t="n">
        <f aca="false">+D33*G33</f>
        <v>0</v>
      </c>
      <c r="I33" s="15" t="n">
        <f aca="false">+F33*G33</f>
        <v>0</v>
      </c>
      <c r="J33" s="15" t="n">
        <f aca="false">+E33*G33</f>
        <v>-0</v>
      </c>
      <c r="K33" s="16" t="n">
        <f aca="false">+D33*E33/1000000</f>
        <v>-0</v>
      </c>
      <c r="L33" s="16" t="n">
        <f aca="false">+D33*F33/1000000</f>
        <v>0</v>
      </c>
      <c r="M33" s="16" t="n">
        <f aca="false">+G33*K33</f>
        <v>-0</v>
      </c>
      <c r="N33" s="17" t="n">
        <f aca="false">+G33*L33</f>
        <v>0</v>
      </c>
      <c r="O33" s="24"/>
      <c r="P33" s="4"/>
      <c r="Q33" s="4"/>
      <c r="R33" s="4"/>
      <c r="S33" s="4"/>
      <c r="T33" s="21"/>
      <c r="U33" s="21"/>
      <c r="V33" s="22"/>
      <c r="W33" s="21"/>
      <c r="X33" s="126"/>
    </row>
    <row r="34" customFormat="false" ht="17.35" hidden="false" customHeight="false" outlineLevel="0" collapsed="false">
      <c r="B34" s="20" t="n">
        <f aca="false">+B33+1</f>
        <v>29</v>
      </c>
      <c r="C34" s="14" t="s">
        <v>18</v>
      </c>
      <c r="D34" s="15"/>
      <c r="E34" s="15" t="n">
        <f aca="false">F34-300</f>
        <v>-300</v>
      </c>
      <c r="F34" s="15"/>
      <c r="G34" s="13"/>
      <c r="H34" s="15" t="n">
        <f aca="false">+D34*G34</f>
        <v>0</v>
      </c>
      <c r="I34" s="15" t="n">
        <f aca="false">+F34*G34</f>
        <v>0</v>
      </c>
      <c r="J34" s="15" t="n">
        <f aca="false">+E34*G34</f>
        <v>-0</v>
      </c>
      <c r="K34" s="16" t="n">
        <f aca="false">+D34*E34/1000000</f>
        <v>-0</v>
      </c>
      <c r="L34" s="16" t="n">
        <f aca="false">+D34*F34/1000000</f>
        <v>0</v>
      </c>
      <c r="M34" s="16" t="n">
        <f aca="false">+G34*K34</f>
        <v>-0</v>
      </c>
      <c r="N34" s="17" t="n">
        <f aca="false">+G34*L34</f>
        <v>0</v>
      </c>
      <c r="O34" s="24"/>
      <c r="P34" s="4"/>
      <c r="Q34" s="4"/>
      <c r="R34" s="4"/>
      <c r="S34" s="4"/>
      <c r="T34" s="21"/>
      <c r="U34" s="21"/>
      <c r="V34" s="22"/>
      <c r="W34" s="22"/>
      <c r="X34" s="4"/>
      <c r="Y34" s="3"/>
    </row>
    <row r="35" customFormat="false" ht="17.35" hidden="false" customHeight="false" outlineLevel="0" collapsed="false">
      <c r="B35" s="20" t="n">
        <f aca="false">+B34+1</f>
        <v>30</v>
      </c>
      <c r="C35" s="14" t="s">
        <v>18</v>
      </c>
      <c r="D35" s="15"/>
      <c r="E35" s="15" t="n">
        <f aca="false">F35-300</f>
        <v>-300</v>
      </c>
      <c r="F35" s="15"/>
      <c r="G35" s="13"/>
      <c r="H35" s="15" t="n">
        <f aca="false">+D35*G35</f>
        <v>0</v>
      </c>
      <c r="I35" s="15" t="n">
        <f aca="false">+F35*G35</f>
        <v>0</v>
      </c>
      <c r="J35" s="15" t="n">
        <f aca="false">+E35*G35</f>
        <v>-0</v>
      </c>
      <c r="K35" s="16" t="n">
        <f aca="false">+D35*E35/1000000</f>
        <v>-0</v>
      </c>
      <c r="L35" s="16" t="n">
        <f aca="false">+D35*F35/1000000</f>
        <v>0</v>
      </c>
      <c r="M35" s="16" t="n">
        <f aca="false">+G35*K35</f>
        <v>-0</v>
      </c>
      <c r="N35" s="17" t="n">
        <f aca="false">+G35*L35</f>
        <v>0</v>
      </c>
      <c r="O35" s="24"/>
      <c r="P35" s="130"/>
      <c r="Q35" s="130"/>
      <c r="R35" s="4"/>
      <c r="S35" s="4"/>
      <c r="T35" s="4"/>
      <c r="U35" s="21"/>
      <c r="V35" s="22"/>
      <c r="W35" s="4"/>
      <c r="X35" s="4"/>
      <c r="Y35" s="3"/>
    </row>
    <row r="36" customFormat="false" ht="17.35" hidden="false" customHeight="false" outlineLevel="0" collapsed="false">
      <c r="B36" s="20" t="n">
        <f aca="false">+B35+1</f>
        <v>31</v>
      </c>
      <c r="C36" s="14" t="s">
        <v>18</v>
      </c>
      <c r="D36" s="15"/>
      <c r="E36" s="15" t="n">
        <f aca="false">F36-300</f>
        <v>-300</v>
      </c>
      <c r="F36" s="15"/>
      <c r="G36" s="13"/>
      <c r="H36" s="15" t="n">
        <f aca="false">+D36*G36</f>
        <v>0</v>
      </c>
      <c r="I36" s="15" t="n">
        <f aca="false">+F36*G36</f>
        <v>0</v>
      </c>
      <c r="J36" s="15" t="n">
        <f aca="false">+E36*G36</f>
        <v>-0</v>
      </c>
      <c r="K36" s="16" t="n">
        <f aca="false">+D36*E36/1000000</f>
        <v>-0</v>
      </c>
      <c r="L36" s="16" t="n">
        <f aca="false">+D36*F36/1000000</f>
        <v>0</v>
      </c>
      <c r="M36" s="16" t="n">
        <f aca="false">+G36*K36</f>
        <v>-0</v>
      </c>
      <c r="N36" s="17" t="n">
        <f aca="false">+G36*L36</f>
        <v>0</v>
      </c>
      <c r="O36" s="24"/>
      <c r="P36" s="24"/>
      <c r="Q36" s="4"/>
      <c r="R36" s="4"/>
      <c r="S36" s="4"/>
      <c r="T36" s="21"/>
      <c r="U36" s="21"/>
      <c r="V36" s="22"/>
      <c r="W36" s="4"/>
      <c r="X36" s="4"/>
    </row>
    <row r="37" customFormat="false" ht="17.35" hidden="false" customHeight="false" outlineLevel="0" collapsed="false">
      <c r="B37" s="20" t="n">
        <f aca="false">+B36+1</f>
        <v>32</v>
      </c>
      <c r="C37" s="14" t="s">
        <v>18</v>
      </c>
      <c r="D37" s="15"/>
      <c r="E37" s="15" t="n">
        <f aca="false">F37-300</f>
        <v>-300</v>
      </c>
      <c r="F37" s="15"/>
      <c r="G37" s="13"/>
      <c r="H37" s="15" t="n">
        <f aca="false">+D37*G37</f>
        <v>0</v>
      </c>
      <c r="I37" s="15" t="n">
        <f aca="false">+F37*G37</f>
        <v>0</v>
      </c>
      <c r="J37" s="15" t="n">
        <f aca="false">+E37*G37</f>
        <v>-0</v>
      </c>
      <c r="K37" s="16" t="n">
        <f aca="false">+D37*E37/1000000</f>
        <v>-0</v>
      </c>
      <c r="L37" s="16" t="n">
        <f aca="false">+D37*F37/1000000</f>
        <v>0</v>
      </c>
      <c r="M37" s="16" t="n">
        <f aca="false">+G37*K37</f>
        <v>-0</v>
      </c>
      <c r="N37" s="17" t="n">
        <f aca="false">+G37*L37</f>
        <v>0</v>
      </c>
      <c r="O37" s="24"/>
      <c r="P37" s="24"/>
      <c r="Q37" s="4"/>
      <c r="R37" s="4"/>
      <c r="S37" s="4"/>
      <c r="T37" s="21"/>
      <c r="U37" s="21"/>
      <c r="V37" s="22"/>
      <c r="W37" s="4"/>
      <c r="X37" s="126"/>
    </row>
    <row r="38" customFormat="false" ht="17.35" hidden="false" customHeight="false" outlineLevel="0" collapsed="false">
      <c r="B38" s="20" t="n">
        <f aca="false">+B37+1</f>
        <v>33</v>
      </c>
      <c r="C38" s="14" t="s">
        <v>18</v>
      </c>
      <c r="D38" s="15"/>
      <c r="E38" s="15" t="n">
        <f aca="false">F38-300</f>
        <v>-300</v>
      </c>
      <c r="F38" s="15"/>
      <c r="G38" s="13"/>
      <c r="H38" s="15" t="n">
        <f aca="false">+D38*G38</f>
        <v>0</v>
      </c>
      <c r="I38" s="15" t="n">
        <f aca="false">+F38*G38</f>
        <v>0</v>
      </c>
      <c r="J38" s="15" t="n">
        <f aca="false">+E38*G38</f>
        <v>-0</v>
      </c>
      <c r="K38" s="16" t="n">
        <f aca="false">+D38*E38/1000000</f>
        <v>-0</v>
      </c>
      <c r="L38" s="16" t="n">
        <f aca="false">+D38*F38/1000000</f>
        <v>0</v>
      </c>
      <c r="M38" s="16" t="n">
        <f aca="false">+G38*K38</f>
        <v>-0</v>
      </c>
      <c r="N38" s="17" t="n">
        <f aca="false">+G38*L38</f>
        <v>0</v>
      </c>
      <c r="O38" s="4"/>
      <c r="P38" s="24"/>
      <c r="Q38" s="4"/>
      <c r="R38" s="4"/>
      <c r="S38" s="4"/>
      <c r="T38" s="21"/>
      <c r="U38" s="21"/>
      <c r="V38" s="22"/>
      <c r="W38" s="4"/>
      <c r="X38" s="126"/>
    </row>
    <row r="39" customFormat="false" ht="17.35" hidden="false" customHeight="false" outlineLevel="0" collapsed="false">
      <c r="B39" s="20" t="n">
        <f aca="false">+B38+1</f>
        <v>34</v>
      </c>
      <c r="C39" s="14" t="s">
        <v>18</v>
      </c>
      <c r="D39" s="15"/>
      <c r="E39" s="15" t="n">
        <f aca="false">F39-300</f>
        <v>-300</v>
      </c>
      <c r="F39" s="15"/>
      <c r="G39" s="13" t="n">
        <v>0</v>
      </c>
      <c r="H39" s="15" t="n">
        <f aca="false">+D39*G39</f>
        <v>0</v>
      </c>
      <c r="I39" s="15" t="n">
        <f aca="false">+F39*G39</f>
        <v>0</v>
      </c>
      <c r="J39" s="15" t="n">
        <f aca="false">+E39*G39</f>
        <v>-0</v>
      </c>
      <c r="K39" s="16" t="n">
        <f aca="false">+D39*E39/1000000</f>
        <v>-0</v>
      </c>
      <c r="L39" s="16" t="n">
        <f aca="false">+D39*F39/1000000</f>
        <v>0</v>
      </c>
      <c r="M39" s="16" t="n">
        <f aca="false">+G39*K39</f>
        <v>-0</v>
      </c>
      <c r="N39" s="17" t="n">
        <f aca="false">+G39*L39</f>
        <v>0</v>
      </c>
      <c r="O39" s="4"/>
      <c r="P39" s="4"/>
      <c r="Q39" s="24"/>
      <c r="R39" s="4"/>
      <c r="S39" s="4"/>
      <c r="T39" s="4"/>
      <c r="U39" s="21"/>
      <c r="V39" s="21"/>
      <c r="W39" s="22"/>
      <c r="X39" s="4"/>
    </row>
    <row r="40" customFormat="false" ht="17.35" hidden="false" customHeight="false" outlineLevel="0" collapsed="false">
      <c r="B40" s="20" t="n">
        <f aca="false">+B39+1</f>
        <v>35</v>
      </c>
      <c r="C40" s="14" t="s">
        <v>18</v>
      </c>
      <c r="D40" s="15"/>
      <c r="E40" s="15" t="n">
        <f aca="false">F40-300</f>
        <v>-300</v>
      </c>
      <c r="F40" s="15"/>
      <c r="G40" s="13" t="n">
        <v>0</v>
      </c>
      <c r="H40" s="15" t="n">
        <f aca="false">+D40*G40</f>
        <v>0</v>
      </c>
      <c r="I40" s="15" t="n">
        <f aca="false">+F40*G40</f>
        <v>0</v>
      </c>
      <c r="J40" s="15" t="n">
        <f aca="false">+E40*G40</f>
        <v>-0</v>
      </c>
      <c r="K40" s="16" t="n">
        <f aca="false">+D40*E40/1000000</f>
        <v>-0</v>
      </c>
      <c r="L40" s="16" t="n">
        <f aca="false">+D40*F40/1000000</f>
        <v>0</v>
      </c>
      <c r="M40" s="16" t="n">
        <f aca="false">+G40*K40</f>
        <v>-0</v>
      </c>
      <c r="N40" s="17" t="n">
        <f aca="false">+G40*L40</f>
        <v>0</v>
      </c>
      <c r="O40" s="4"/>
      <c r="P40" s="4"/>
      <c r="Q40" s="24"/>
      <c r="R40" s="4"/>
      <c r="S40" s="4"/>
      <c r="T40" s="4"/>
      <c r="U40" s="21"/>
      <c r="V40" s="21"/>
      <c r="W40" s="28"/>
      <c r="X40" s="4"/>
    </row>
    <row r="41" customFormat="false" ht="17.35" hidden="false" customHeight="false" outlineLevel="0" collapsed="false">
      <c r="B41" s="20" t="n">
        <f aca="false">+B40+1</f>
        <v>36</v>
      </c>
      <c r="C41" s="14" t="s">
        <v>18</v>
      </c>
      <c r="D41" s="15"/>
      <c r="E41" s="15" t="n">
        <f aca="false">F41-300</f>
        <v>-300</v>
      </c>
      <c r="F41" s="15"/>
      <c r="G41" s="13" t="n">
        <v>0</v>
      </c>
      <c r="H41" s="15" t="n">
        <f aca="false">+D41*G41</f>
        <v>0</v>
      </c>
      <c r="I41" s="15" t="n">
        <f aca="false">+F41*G41</f>
        <v>0</v>
      </c>
      <c r="J41" s="15" t="n">
        <f aca="false">+E41*G41</f>
        <v>-0</v>
      </c>
      <c r="K41" s="16" t="n">
        <f aca="false">+D41*E41/1000000</f>
        <v>-0</v>
      </c>
      <c r="L41" s="16" t="n">
        <f aca="false">+D41*F41/1000000</f>
        <v>0</v>
      </c>
      <c r="M41" s="16" t="n">
        <f aca="false">+G41*K41</f>
        <v>-0</v>
      </c>
      <c r="N41" s="17" t="n">
        <f aca="false">+G41*L41</f>
        <v>0</v>
      </c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17.35" hidden="false" customHeight="false" outlineLevel="0" collapsed="false">
      <c r="B42" s="20" t="n">
        <f aca="false">+B41+1</f>
        <v>37</v>
      </c>
      <c r="C42" s="14" t="s">
        <v>18</v>
      </c>
      <c r="D42" s="15"/>
      <c r="E42" s="15" t="n">
        <f aca="false">F42-300</f>
        <v>-300</v>
      </c>
      <c r="F42" s="15"/>
      <c r="G42" s="13" t="n">
        <v>0</v>
      </c>
      <c r="H42" s="15" t="n">
        <f aca="false">+D42*G42</f>
        <v>0</v>
      </c>
      <c r="I42" s="15" t="n">
        <f aca="false">+F42*G42</f>
        <v>0</v>
      </c>
      <c r="J42" s="15" t="n">
        <f aca="false">+E42*G42</f>
        <v>-0</v>
      </c>
      <c r="K42" s="16" t="n">
        <f aca="false">+D42*E42/1000000</f>
        <v>-0</v>
      </c>
      <c r="L42" s="16" t="n">
        <f aca="false">+D42*F42/1000000</f>
        <v>0</v>
      </c>
      <c r="M42" s="16" t="n">
        <f aca="false">+G42*K42</f>
        <v>-0</v>
      </c>
      <c r="N42" s="17" t="n">
        <f aca="false">+G42*L42</f>
        <v>0</v>
      </c>
      <c r="O42" s="4"/>
      <c r="P42" s="4"/>
      <c r="Q42" s="4"/>
      <c r="R42" s="12"/>
      <c r="S42" s="12"/>
      <c r="T42" s="12"/>
      <c r="U42" s="29"/>
      <c r="V42" s="4"/>
      <c r="W42" s="4"/>
      <c r="X42" s="4"/>
      <c r="Y42" s="3"/>
    </row>
    <row r="43" customFormat="false" ht="17.35" hidden="false" customHeight="false" outlineLevel="0" collapsed="false">
      <c r="B43" s="20" t="n">
        <f aca="false">+B42+1</f>
        <v>38</v>
      </c>
      <c r="C43" s="14" t="s">
        <v>18</v>
      </c>
      <c r="D43" s="15"/>
      <c r="E43" s="15" t="n">
        <f aca="false">F43-300</f>
        <v>-300</v>
      </c>
      <c r="F43" s="15"/>
      <c r="G43" s="13" t="n">
        <v>0</v>
      </c>
      <c r="H43" s="15" t="n">
        <f aca="false">+D43*G43</f>
        <v>0</v>
      </c>
      <c r="I43" s="15" t="n">
        <f aca="false">+F43*G43</f>
        <v>0</v>
      </c>
      <c r="J43" s="15" t="n">
        <f aca="false">+E43*G43</f>
        <v>-0</v>
      </c>
      <c r="K43" s="16" t="n">
        <f aca="false">+D43*E43/1000000</f>
        <v>-0</v>
      </c>
      <c r="L43" s="16" t="n">
        <f aca="false">+D43*F43/1000000</f>
        <v>0</v>
      </c>
      <c r="M43" s="16" t="n">
        <f aca="false">+G43*K43</f>
        <v>-0</v>
      </c>
      <c r="N43" s="17" t="n">
        <f aca="false">+G43*L43</f>
        <v>0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17.35" hidden="false" customHeight="false" outlineLevel="0" collapsed="false">
      <c r="B44" s="20" t="n">
        <f aca="false">+B43+1</f>
        <v>39</v>
      </c>
      <c r="C44" s="14" t="s">
        <v>18</v>
      </c>
      <c r="D44" s="15"/>
      <c r="E44" s="15" t="n">
        <f aca="false">F44-300</f>
        <v>-300</v>
      </c>
      <c r="F44" s="15"/>
      <c r="G44" s="13" t="n">
        <v>0</v>
      </c>
      <c r="H44" s="15" t="n">
        <f aca="false">+D44*G44</f>
        <v>0</v>
      </c>
      <c r="I44" s="15" t="n">
        <f aca="false">+F44*G44</f>
        <v>0</v>
      </c>
      <c r="J44" s="15" t="n">
        <f aca="false">+E44*G44</f>
        <v>-0</v>
      </c>
      <c r="K44" s="16" t="n">
        <f aca="false">+D44*E44/1000000</f>
        <v>-0</v>
      </c>
      <c r="L44" s="16" t="n">
        <f aca="false">+D44*F44/1000000</f>
        <v>0</v>
      </c>
      <c r="M44" s="16" t="n">
        <f aca="false">+G44*K44</f>
        <v>-0</v>
      </c>
      <c r="N44" s="17" t="n">
        <f aca="false">+G44*L44</f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17.35" hidden="false" customHeight="false" outlineLevel="0" collapsed="false">
      <c r="B45" s="20" t="n">
        <f aca="false">+B44+1</f>
        <v>40</v>
      </c>
      <c r="C45" s="14" t="s">
        <v>18</v>
      </c>
      <c r="D45" s="15"/>
      <c r="E45" s="15" t="n">
        <f aca="false">F45-300</f>
        <v>-300</v>
      </c>
      <c r="F45" s="15"/>
      <c r="G45" s="13" t="n">
        <v>0</v>
      </c>
      <c r="H45" s="15" t="n">
        <f aca="false">+D45*G45</f>
        <v>0</v>
      </c>
      <c r="I45" s="15" t="n">
        <f aca="false">+F45*G45</f>
        <v>0</v>
      </c>
      <c r="J45" s="15" t="n">
        <f aca="false">+E45*G45</f>
        <v>-0</v>
      </c>
      <c r="K45" s="16" t="n">
        <f aca="false">+D45*E45/1000000</f>
        <v>-0</v>
      </c>
      <c r="L45" s="16" t="n">
        <f aca="false">+D45*F45/1000000</f>
        <v>0</v>
      </c>
      <c r="M45" s="16" t="n">
        <f aca="false">+G45*K45</f>
        <v>-0</v>
      </c>
      <c r="N45" s="17" t="n">
        <f aca="false">+G45*L45</f>
        <v>0</v>
      </c>
      <c r="O45" s="4"/>
      <c r="P45" s="4"/>
      <c r="Q45" s="4"/>
      <c r="R45" s="4"/>
      <c r="S45" s="4"/>
      <c r="T45" s="4"/>
      <c r="U45" s="4"/>
      <c r="V45" s="4"/>
      <c r="W45" s="4"/>
      <c r="X45" s="126"/>
    </row>
    <row r="46" customFormat="false" ht="17.35" hidden="false" customHeight="false" outlineLevel="0" collapsed="false">
      <c r="B46" s="20" t="n">
        <f aca="false">+B45+1</f>
        <v>41</v>
      </c>
      <c r="C46" s="14" t="s">
        <v>18</v>
      </c>
      <c r="D46" s="15"/>
      <c r="E46" s="15" t="n">
        <f aca="false">F46-300</f>
        <v>-300</v>
      </c>
      <c r="F46" s="15"/>
      <c r="G46" s="13" t="n">
        <v>0</v>
      </c>
      <c r="H46" s="15" t="n">
        <f aca="false">+D46*G46</f>
        <v>0</v>
      </c>
      <c r="I46" s="15" t="n">
        <f aca="false">+F46*G46</f>
        <v>0</v>
      </c>
      <c r="J46" s="15" t="n">
        <f aca="false">+E46*G46</f>
        <v>-0</v>
      </c>
      <c r="K46" s="16" t="n">
        <f aca="false">+D46*E46/1000000</f>
        <v>-0</v>
      </c>
      <c r="L46" s="16" t="n">
        <f aca="false">+D46*F46/1000000</f>
        <v>0</v>
      </c>
      <c r="M46" s="16" t="n">
        <f aca="false">+G46*K46</f>
        <v>-0</v>
      </c>
      <c r="N46" s="17" t="n">
        <f aca="false">+G46*L46</f>
        <v>0</v>
      </c>
      <c r="O46" s="4"/>
      <c r="P46" s="4"/>
      <c r="Q46" s="4"/>
      <c r="R46" s="4"/>
      <c r="S46" s="4"/>
      <c r="T46" s="4"/>
      <c r="U46" s="4"/>
      <c r="V46" s="4"/>
      <c r="W46" s="4"/>
      <c r="X46" s="126"/>
    </row>
    <row r="47" customFormat="false" ht="17.35" hidden="false" customHeight="false" outlineLevel="0" collapsed="false">
      <c r="B47" s="20" t="n">
        <f aca="false">+B46+1</f>
        <v>42</v>
      </c>
      <c r="C47" s="14" t="s">
        <v>18</v>
      </c>
      <c r="D47" s="15"/>
      <c r="E47" s="15" t="n">
        <f aca="false">F47-300</f>
        <v>-300</v>
      </c>
      <c r="F47" s="15"/>
      <c r="G47" s="13" t="n">
        <v>0</v>
      </c>
      <c r="H47" s="15" t="n">
        <f aca="false">+D47*G47</f>
        <v>0</v>
      </c>
      <c r="I47" s="15" t="n">
        <f aca="false">+F47*G47</f>
        <v>0</v>
      </c>
      <c r="J47" s="15" t="n">
        <f aca="false">+E47*G47</f>
        <v>-0</v>
      </c>
      <c r="K47" s="16" t="n">
        <f aca="false">+D47*E47/1000000</f>
        <v>-0</v>
      </c>
      <c r="L47" s="16" t="n">
        <f aca="false">+D47*F47/1000000</f>
        <v>0</v>
      </c>
      <c r="M47" s="16" t="n">
        <f aca="false">+G47*K47</f>
        <v>-0</v>
      </c>
      <c r="N47" s="17" t="n">
        <f aca="false">+G47*L47</f>
        <v>0</v>
      </c>
      <c r="O47" s="4"/>
      <c r="P47" s="4"/>
      <c r="Q47" s="4"/>
      <c r="R47" s="4"/>
      <c r="S47" s="4"/>
      <c r="T47" s="4"/>
      <c r="U47" s="4"/>
      <c r="V47" s="4"/>
      <c r="W47" s="4"/>
      <c r="X47" s="126"/>
    </row>
    <row r="48" customFormat="false" ht="17.35" hidden="false" customHeight="false" outlineLevel="0" collapsed="false">
      <c r="B48" s="20" t="n">
        <f aca="false">+B47+1</f>
        <v>43</v>
      </c>
      <c r="C48" s="14" t="s">
        <v>18</v>
      </c>
      <c r="D48" s="15"/>
      <c r="E48" s="15" t="n">
        <f aca="false">F48-300</f>
        <v>-300</v>
      </c>
      <c r="F48" s="15"/>
      <c r="G48" s="13" t="n">
        <v>0</v>
      </c>
      <c r="H48" s="15" t="n">
        <f aca="false">+D48*G48</f>
        <v>0</v>
      </c>
      <c r="I48" s="15" t="n">
        <f aca="false">+F48*G48</f>
        <v>0</v>
      </c>
      <c r="J48" s="15" t="n">
        <f aca="false">+E48*G48</f>
        <v>-0</v>
      </c>
      <c r="K48" s="16" t="n">
        <f aca="false">+D48*E48/1000000</f>
        <v>-0</v>
      </c>
      <c r="L48" s="16" t="n">
        <f aca="false">+D48*F48/1000000</f>
        <v>0</v>
      </c>
      <c r="M48" s="16" t="n">
        <f aca="false">+G48*K48</f>
        <v>-0</v>
      </c>
      <c r="N48" s="17" t="n">
        <f aca="false">+G48*L48</f>
        <v>0</v>
      </c>
      <c r="O48" s="4"/>
      <c r="P48" s="4"/>
      <c r="Q48" s="4"/>
      <c r="R48" s="4"/>
      <c r="S48" s="4"/>
      <c r="T48" s="4"/>
      <c r="U48" s="4"/>
      <c r="V48" s="4"/>
      <c r="W48" s="4"/>
      <c r="X48" s="126"/>
    </row>
    <row r="49" customFormat="false" ht="17.35" hidden="false" customHeight="false" outlineLevel="0" collapsed="false">
      <c r="B49" s="20" t="n">
        <f aca="false">+B48+1</f>
        <v>44</v>
      </c>
      <c r="C49" s="14" t="s">
        <v>18</v>
      </c>
      <c r="D49" s="15"/>
      <c r="E49" s="15" t="n">
        <f aca="false">F49-300</f>
        <v>-300</v>
      </c>
      <c r="F49" s="15"/>
      <c r="G49" s="13" t="n">
        <v>0</v>
      </c>
      <c r="H49" s="15" t="n">
        <f aca="false">+D49*G49</f>
        <v>0</v>
      </c>
      <c r="I49" s="15" t="n">
        <f aca="false">+F49*G49</f>
        <v>0</v>
      </c>
      <c r="J49" s="15" t="n">
        <f aca="false">+E49*G49</f>
        <v>-0</v>
      </c>
      <c r="K49" s="16" t="n">
        <f aca="false">+D49*E49/1000000</f>
        <v>-0</v>
      </c>
      <c r="L49" s="16" t="n">
        <f aca="false">+D49*F49/1000000</f>
        <v>0</v>
      </c>
      <c r="M49" s="16" t="n">
        <f aca="false">+G49*K49</f>
        <v>-0</v>
      </c>
      <c r="N49" s="17" t="n">
        <f aca="false">+G49*L49</f>
        <v>0</v>
      </c>
      <c r="O49" s="4"/>
      <c r="P49" s="4"/>
      <c r="Q49" s="4"/>
      <c r="R49" s="4"/>
      <c r="S49" s="4"/>
      <c r="T49" s="4"/>
      <c r="U49" s="4"/>
      <c r="V49" s="4"/>
      <c r="W49" s="4"/>
      <c r="X49" s="126"/>
    </row>
    <row r="50" customFormat="false" ht="17.35" hidden="false" customHeight="false" outlineLevel="0" collapsed="false">
      <c r="B50" s="20" t="n">
        <f aca="false">+B49+1</f>
        <v>45</v>
      </c>
      <c r="C50" s="14" t="s">
        <v>18</v>
      </c>
      <c r="D50" s="15"/>
      <c r="E50" s="15" t="n">
        <f aca="false">F50-300</f>
        <v>-300</v>
      </c>
      <c r="F50" s="15"/>
      <c r="G50" s="13" t="n">
        <v>0</v>
      </c>
      <c r="H50" s="15" t="n">
        <f aca="false">+D50*G50</f>
        <v>0</v>
      </c>
      <c r="I50" s="15" t="n">
        <f aca="false">+F50*G50</f>
        <v>0</v>
      </c>
      <c r="J50" s="15" t="n">
        <f aca="false">+E50*G50</f>
        <v>-0</v>
      </c>
      <c r="K50" s="16" t="n">
        <f aca="false">+D50*E50/1000000</f>
        <v>-0</v>
      </c>
      <c r="L50" s="16" t="n">
        <f aca="false">+D50*F50/1000000</f>
        <v>0</v>
      </c>
      <c r="M50" s="16" t="n">
        <f aca="false">+G50*K50</f>
        <v>-0</v>
      </c>
      <c r="N50" s="17" t="n">
        <f aca="false">+G50*L50</f>
        <v>0</v>
      </c>
      <c r="O50" s="4"/>
      <c r="P50" s="4"/>
      <c r="Q50" s="4"/>
      <c r="R50" s="4"/>
      <c r="S50" s="4"/>
      <c r="T50" s="4"/>
      <c r="U50" s="4"/>
      <c r="V50" s="4"/>
      <c r="W50" s="4"/>
      <c r="X50" s="126"/>
    </row>
    <row r="51" customFormat="false" ht="17.35" hidden="false" customHeight="false" outlineLevel="0" collapsed="false">
      <c r="B51" s="20" t="n">
        <f aca="false">+B50+1</f>
        <v>46</v>
      </c>
      <c r="C51" s="14" t="s">
        <v>18</v>
      </c>
      <c r="D51" s="15"/>
      <c r="E51" s="15" t="n">
        <f aca="false">F51-300</f>
        <v>-300</v>
      </c>
      <c r="F51" s="15"/>
      <c r="G51" s="13" t="n">
        <v>0</v>
      </c>
      <c r="H51" s="15" t="n">
        <f aca="false">+D51*G51</f>
        <v>0</v>
      </c>
      <c r="I51" s="15" t="n">
        <f aca="false">+F51*G51</f>
        <v>0</v>
      </c>
      <c r="J51" s="15" t="n">
        <f aca="false">+E51*G51</f>
        <v>-0</v>
      </c>
      <c r="K51" s="16" t="n">
        <f aca="false">+D51*E51/1000000</f>
        <v>-0</v>
      </c>
      <c r="L51" s="16" t="n">
        <f aca="false">+D51*F51/1000000</f>
        <v>0</v>
      </c>
      <c r="M51" s="16" t="n">
        <f aca="false">+G51*K51</f>
        <v>-0</v>
      </c>
      <c r="N51" s="17" t="n">
        <f aca="false">+G51*L51</f>
        <v>0</v>
      </c>
      <c r="O51" s="4"/>
      <c r="P51" s="4"/>
      <c r="Q51" s="4"/>
      <c r="R51" s="4"/>
      <c r="S51" s="4"/>
      <c r="T51" s="4"/>
      <c r="U51" s="4"/>
      <c r="V51" s="4"/>
      <c r="W51" s="4"/>
      <c r="X51" s="126"/>
    </row>
    <row r="52" customFormat="false" ht="17.35" hidden="false" customHeight="false" outlineLevel="0" collapsed="false">
      <c r="B52" s="20" t="n">
        <f aca="false">+B51+1</f>
        <v>47</v>
      </c>
      <c r="C52" s="14" t="s">
        <v>18</v>
      </c>
      <c r="D52" s="15"/>
      <c r="E52" s="15" t="n">
        <f aca="false">F52-300</f>
        <v>-300</v>
      </c>
      <c r="F52" s="15"/>
      <c r="G52" s="13" t="n">
        <v>0</v>
      </c>
      <c r="H52" s="15" t="n">
        <f aca="false">+D52*G52</f>
        <v>0</v>
      </c>
      <c r="I52" s="15" t="n">
        <f aca="false">+F52*G52</f>
        <v>0</v>
      </c>
      <c r="J52" s="15" t="n">
        <f aca="false">+E52*G52</f>
        <v>-0</v>
      </c>
      <c r="K52" s="16" t="n">
        <f aca="false">+D52*E52/1000000</f>
        <v>-0</v>
      </c>
      <c r="L52" s="16" t="n">
        <f aca="false">+D52*F52/1000000</f>
        <v>0</v>
      </c>
      <c r="M52" s="16" t="n">
        <f aca="false">+G52*K52</f>
        <v>-0</v>
      </c>
      <c r="N52" s="17" t="n">
        <f aca="false">+G52*L52</f>
        <v>0</v>
      </c>
      <c r="O52" s="4"/>
      <c r="P52" s="4"/>
      <c r="Q52" s="4"/>
      <c r="R52" s="4"/>
      <c r="S52" s="4"/>
      <c r="T52" s="4"/>
      <c r="U52" s="4"/>
      <c r="V52" s="4"/>
      <c r="W52" s="4"/>
      <c r="X52" s="126"/>
    </row>
    <row r="53" customFormat="false" ht="17.35" hidden="false" customHeight="false" outlineLevel="0" collapsed="false">
      <c r="B53" s="20" t="n">
        <f aca="false">+B52+1</f>
        <v>48</v>
      </c>
      <c r="C53" s="14" t="s">
        <v>18</v>
      </c>
      <c r="D53" s="15"/>
      <c r="E53" s="15" t="n">
        <f aca="false">F53-300</f>
        <v>-300</v>
      </c>
      <c r="F53" s="15"/>
      <c r="G53" s="13" t="n">
        <v>0</v>
      </c>
      <c r="H53" s="15" t="n">
        <f aca="false">+D53*G53</f>
        <v>0</v>
      </c>
      <c r="I53" s="15" t="n">
        <f aca="false">+F53*G53</f>
        <v>0</v>
      </c>
      <c r="J53" s="15" t="n">
        <f aca="false">+E53*G53</f>
        <v>-0</v>
      </c>
      <c r="K53" s="16" t="n">
        <f aca="false">+D53*E53/1000000</f>
        <v>-0</v>
      </c>
      <c r="L53" s="16" t="n">
        <f aca="false">+D53*F53/1000000</f>
        <v>0</v>
      </c>
      <c r="M53" s="16" t="n">
        <f aca="false">+G53*K53</f>
        <v>-0</v>
      </c>
      <c r="N53" s="17" t="n">
        <f aca="false">+G53*L53</f>
        <v>0</v>
      </c>
      <c r="O53" s="4"/>
      <c r="P53" s="4"/>
      <c r="Q53" s="4"/>
      <c r="R53" s="4"/>
      <c r="S53" s="4"/>
      <c r="T53" s="4"/>
      <c r="U53" s="4"/>
      <c r="V53" s="4"/>
      <c r="W53" s="4"/>
      <c r="X53" s="126"/>
    </row>
    <row r="54" customFormat="false" ht="17.35" hidden="false" customHeight="false" outlineLevel="0" collapsed="false">
      <c r="B54" s="31" t="s">
        <v>19</v>
      </c>
      <c r="C54" s="31"/>
      <c r="D54" s="32" t="n">
        <f aca="false">SUM(D6:D53)</f>
        <v>47470</v>
      </c>
      <c r="E54" s="33" t="n">
        <f aca="false">SUM(E6:E53)</f>
        <v>27360</v>
      </c>
      <c r="F54" s="33" t="n">
        <f aca="false">SUM(F6:F53)</f>
        <v>41760</v>
      </c>
      <c r="G54" s="34" t="n">
        <f aca="false">SUM(G6:G53)</f>
        <v>22</v>
      </c>
      <c r="H54" s="32" t="n">
        <f aca="false">SUM(H6:H53)</f>
        <v>47470</v>
      </c>
      <c r="I54" s="32" t="n">
        <f aca="false">SUM(I6:I53)</f>
        <v>41760</v>
      </c>
      <c r="J54" s="32" t="n">
        <f aca="false">SUM(J6:J53)</f>
        <v>35160</v>
      </c>
      <c r="K54" s="32"/>
      <c r="L54" s="32"/>
      <c r="M54" s="36" t="n">
        <f aca="false">SUM(M6:M53)</f>
        <v>80.5971</v>
      </c>
      <c r="N54" s="37" t="n">
        <f aca="false">SUM(N6:N53)</f>
        <v>94.8381</v>
      </c>
    </row>
    <row r="55" customFormat="false" ht="17.35" hidden="false" customHeight="false" outlineLevel="0" collapsed="false">
      <c r="B55" s="4"/>
      <c r="C55" s="4"/>
      <c r="D55" s="4"/>
      <c r="E55" s="38"/>
      <c r="F55" s="39"/>
      <c r="G55" s="39"/>
      <c r="H55" s="4"/>
      <c r="I55" s="12"/>
      <c r="J55" s="12"/>
      <c r="K55" s="12"/>
      <c r="L55" s="3"/>
      <c r="M55" s="3"/>
      <c r="N55" s="4"/>
    </row>
    <row r="56" customFormat="false" ht="17.35" hidden="false" customHeight="false" outlineLevel="0" collapsed="false">
      <c r="B56" s="9" t="s">
        <v>20</v>
      </c>
      <c r="C56" s="9"/>
      <c r="D56" s="9"/>
      <c r="E56" s="9"/>
      <c r="F56" s="9"/>
      <c r="G56" s="9"/>
      <c r="H56" s="9"/>
      <c r="I56" s="9"/>
      <c r="J56" s="9"/>
      <c r="K56" s="22"/>
      <c r="L56" s="3"/>
      <c r="M56" s="3"/>
      <c r="N56" s="4"/>
    </row>
    <row r="57" customFormat="false" ht="17.35" hidden="false" customHeight="false" outlineLevel="0" collapsed="false">
      <c r="B57" s="9" t="s">
        <v>5</v>
      </c>
      <c r="C57" s="42" t="s">
        <v>21</v>
      </c>
      <c r="D57" s="42" t="s">
        <v>22</v>
      </c>
      <c r="E57" s="42" t="s">
        <v>23</v>
      </c>
      <c r="F57" s="42" t="s">
        <v>24</v>
      </c>
      <c r="G57" s="42" t="s">
        <v>25</v>
      </c>
      <c r="H57" s="42" t="s">
        <v>26</v>
      </c>
      <c r="I57" s="42" t="s">
        <v>37</v>
      </c>
      <c r="J57" s="42" t="s">
        <v>164</v>
      </c>
      <c r="K57" s="22"/>
      <c r="L57" s="22"/>
      <c r="M57" s="22"/>
      <c r="N57" s="4"/>
    </row>
    <row r="58" customFormat="false" ht="17.35" hidden="false" customHeight="false" outlineLevel="0" collapsed="false">
      <c r="B58" s="13" t="n">
        <v>1</v>
      </c>
      <c r="C58" s="13" t="n">
        <v>2015</v>
      </c>
      <c r="D58" s="13" t="s">
        <v>165</v>
      </c>
      <c r="E58" s="15" t="n">
        <f aca="false">+H54*1</f>
        <v>47470</v>
      </c>
      <c r="F58" s="15" t="n">
        <f aca="false">E58+(E58*10%)</f>
        <v>52217</v>
      </c>
      <c r="G58" s="43" t="n">
        <f aca="false">F58/6400</f>
        <v>8.15890625</v>
      </c>
      <c r="H58" s="43" t="n">
        <f aca="false">ROUNDUP(G58,0)</f>
        <v>9</v>
      </c>
      <c r="I58" s="44" t="n">
        <v>7.2</v>
      </c>
      <c r="J58" s="44" t="n">
        <f aca="false">+H58*I58</f>
        <v>64.8</v>
      </c>
      <c r="K58" s="22"/>
      <c r="L58" s="22"/>
      <c r="M58" s="22"/>
      <c r="N58" s="4"/>
    </row>
    <row r="59" customFormat="false" ht="17.35" hidden="false" customHeight="false" outlineLevel="0" collapsed="false">
      <c r="B59" s="13" t="n">
        <v>2</v>
      </c>
      <c r="C59" s="13" t="n">
        <v>2013</v>
      </c>
      <c r="D59" s="13" t="s">
        <v>166</v>
      </c>
      <c r="E59" s="15" t="n">
        <f aca="false">+H54*1+J54*2</f>
        <v>117790</v>
      </c>
      <c r="F59" s="15" t="n">
        <f aca="false">E59+(E59*10%)</f>
        <v>129569</v>
      </c>
      <c r="G59" s="43" t="n">
        <f aca="false">F59/6400</f>
        <v>20.24515625</v>
      </c>
      <c r="H59" s="43" t="n">
        <f aca="false">ROUNDUP(G59,0)</f>
        <v>21</v>
      </c>
      <c r="I59" s="44" t="n">
        <v>5.4</v>
      </c>
      <c r="J59" s="44" t="n">
        <f aca="false">+H59*I59</f>
        <v>113.4</v>
      </c>
      <c r="K59" s="22"/>
      <c r="L59" s="22"/>
      <c r="M59" s="22"/>
      <c r="N59" s="4"/>
    </row>
    <row r="60" customFormat="false" ht="17.35" hidden="false" customHeight="false" outlineLevel="0" collapsed="false">
      <c r="B60" s="13" t="n">
        <v>3</v>
      </c>
      <c r="C60" s="13" t="n">
        <v>2005</v>
      </c>
      <c r="D60" s="13" t="s">
        <v>167</v>
      </c>
      <c r="E60" s="15" t="n">
        <f aca="false">+H54*1</f>
        <v>47470</v>
      </c>
      <c r="F60" s="15" t="n">
        <f aca="false">E60+(E60*10%)</f>
        <v>52217</v>
      </c>
      <c r="G60" s="43" t="n">
        <f aca="false">F60/6400</f>
        <v>8.15890625</v>
      </c>
      <c r="H60" s="43" t="n">
        <f aca="false">ROUNDUP(G60,0)</f>
        <v>9</v>
      </c>
      <c r="I60" s="44" t="n">
        <v>3.2</v>
      </c>
      <c r="J60" s="44" t="n">
        <f aca="false">+H60*I60</f>
        <v>28.8</v>
      </c>
      <c r="K60" s="23"/>
      <c r="L60" s="23"/>
      <c r="M60" s="23"/>
      <c r="N60" s="4"/>
    </row>
    <row r="61" customFormat="false" ht="17.35" hidden="false" customHeight="false" outlineLevel="0" collapsed="false">
      <c r="B61" s="13" t="n">
        <v>4</v>
      </c>
      <c r="C61" s="13" t="n">
        <v>2007</v>
      </c>
      <c r="D61" s="13" t="s">
        <v>168</v>
      </c>
      <c r="E61" s="15" t="n">
        <f aca="false">+H54*1</f>
        <v>47470</v>
      </c>
      <c r="F61" s="15" t="n">
        <f aca="false">E61+(E61*10%)</f>
        <v>52217</v>
      </c>
      <c r="G61" s="43" t="n">
        <f aca="false">F61/6400</f>
        <v>8.15890625</v>
      </c>
      <c r="H61" s="43" t="n">
        <f aca="false">ROUNDUP(G61,0)</f>
        <v>9</v>
      </c>
      <c r="I61" s="44" t="n">
        <v>5.2</v>
      </c>
      <c r="J61" s="44" t="n">
        <f aca="false">+H61*I61</f>
        <v>46.8</v>
      </c>
      <c r="K61" s="23"/>
      <c r="L61" s="23"/>
      <c r="M61" s="23"/>
      <c r="N61" s="4"/>
    </row>
    <row r="62" customFormat="false" ht="17.35" hidden="false" customHeight="false" outlineLevel="0" collapsed="false">
      <c r="B62" s="13" t="n">
        <v>5</v>
      </c>
      <c r="C62" s="13" t="n">
        <v>2009</v>
      </c>
      <c r="D62" s="13" t="s">
        <v>169</v>
      </c>
      <c r="E62" s="15" t="n">
        <f aca="false">+J54*2</f>
        <v>70320</v>
      </c>
      <c r="F62" s="15" t="n">
        <f aca="false">E62+(E62*10%)</f>
        <v>77352</v>
      </c>
      <c r="G62" s="43" t="n">
        <f aca="false">F62/6400</f>
        <v>12.08625</v>
      </c>
      <c r="H62" s="43" t="n">
        <f aca="false">ROUNDUP(G62,0)</f>
        <v>13</v>
      </c>
      <c r="I62" s="44" t="n">
        <v>3.1</v>
      </c>
      <c r="J62" s="44" t="n">
        <f aca="false">+H62*I62</f>
        <v>40.3</v>
      </c>
      <c r="K62" s="23"/>
      <c r="L62" s="23"/>
      <c r="M62" s="23"/>
      <c r="N62" s="24"/>
    </row>
    <row r="63" customFormat="false" ht="17.35" hidden="false" customHeight="false" outlineLevel="0" collapsed="false">
      <c r="B63" s="13" t="n">
        <v>6</v>
      </c>
      <c r="C63" s="13" t="n">
        <v>2011</v>
      </c>
      <c r="D63" s="13" t="s">
        <v>31</v>
      </c>
      <c r="E63" s="15" t="n">
        <f aca="false">+J54*2</f>
        <v>70320</v>
      </c>
      <c r="F63" s="15" t="n">
        <f aca="false">E63+(E63*10%)</f>
        <v>77352</v>
      </c>
      <c r="G63" s="43" t="n">
        <f aca="false">F63/6400</f>
        <v>12.08625</v>
      </c>
      <c r="H63" s="43" t="n">
        <f aca="false">ROUNDUP(G63,0)</f>
        <v>13</v>
      </c>
      <c r="I63" s="44" t="n">
        <v>4.5</v>
      </c>
      <c r="J63" s="44" t="n">
        <f aca="false">+H63*I63</f>
        <v>58.5</v>
      </c>
      <c r="K63" s="23"/>
      <c r="L63" s="23" t="n">
        <v>1338</v>
      </c>
      <c r="M63" s="23" t="s">
        <v>170</v>
      </c>
      <c r="N63" s="24" t="n">
        <v>4</v>
      </c>
      <c r="O63" s="0" t="s">
        <v>29</v>
      </c>
    </row>
    <row r="64" customFormat="false" ht="17.35" hidden="false" customHeight="false" outlineLevel="0" collapsed="false">
      <c r="B64" s="13" t="n">
        <v>7</v>
      </c>
      <c r="C64" s="13" t="n">
        <v>2025</v>
      </c>
      <c r="D64" s="13" t="s">
        <v>47</v>
      </c>
      <c r="E64" s="15" t="n">
        <f aca="false">+H54*1+J54*2</f>
        <v>117790</v>
      </c>
      <c r="F64" s="15" t="n">
        <f aca="false">E64+(E64*10%)</f>
        <v>129569</v>
      </c>
      <c r="G64" s="43" t="n">
        <f aca="false">F64/6400</f>
        <v>20.24515625</v>
      </c>
      <c r="H64" s="43" t="n">
        <f aca="false">ROUNDUP(G64,0)</f>
        <v>21</v>
      </c>
      <c r="I64" s="44" t="n">
        <v>2.5</v>
      </c>
      <c r="J64" s="44" t="n">
        <f aca="false">+H64*I64</f>
        <v>52.5</v>
      </c>
      <c r="K64" s="3"/>
      <c r="L64" s="3" t="n">
        <v>1338</v>
      </c>
      <c r="M64" s="3" t="n">
        <v>10</v>
      </c>
      <c r="N64" s="4" t="n">
        <v>4</v>
      </c>
      <c r="O64" s="0" t="s">
        <v>171</v>
      </c>
    </row>
    <row r="65" customFormat="false" ht="17.35" hidden="false" customHeight="false" outlineLevel="0" collapsed="false">
      <c r="B65" s="3"/>
      <c r="C65" s="3"/>
      <c r="D65" s="3"/>
      <c r="E65" s="3"/>
      <c r="F65" s="3"/>
      <c r="G65" s="3"/>
      <c r="H65" s="23"/>
      <c r="I65" s="57" t="s">
        <v>19</v>
      </c>
      <c r="J65" s="131" t="n">
        <f aca="false">SUM(J58:J64)</f>
        <v>405.1</v>
      </c>
      <c r="K65" s="22"/>
      <c r="L65" s="3"/>
      <c r="M65" s="25"/>
      <c r="N65" s="4"/>
    </row>
    <row r="66" customFormat="false" ht="17.35" hidden="false" customHeight="false" outlineLevel="0" collapsed="false">
      <c r="B66" s="40" t="s">
        <v>35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"/>
    </row>
    <row r="67" customFormat="false" ht="17.35" hidden="false" customHeight="false" outlineLevel="0" collapsed="false">
      <c r="B67" s="9" t="s">
        <v>5</v>
      </c>
      <c r="C67" s="42" t="s">
        <v>21</v>
      </c>
      <c r="D67" s="42" t="s">
        <v>22</v>
      </c>
      <c r="E67" s="42" t="s">
        <v>23</v>
      </c>
      <c r="F67" s="42" t="s">
        <v>36</v>
      </c>
      <c r="G67" s="42" t="s">
        <v>25</v>
      </c>
      <c r="H67" s="42" t="s">
        <v>26</v>
      </c>
      <c r="I67" s="42" t="s">
        <v>37</v>
      </c>
      <c r="J67" s="42" t="s">
        <v>37</v>
      </c>
      <c r="K67" s="132" t="s">
        <v>38</v>
      </c>
      <c r="L67" s="132"/>
      <c r="M67" s="132"/>
      <c r="N67" s="4"/>
    </row>
    <row r="68" customFormat="false" ht="17.35" hidden="false" customHeight="false" outlineLevel="0" collapsed="false">
      <c r="B68" s="13" t="n">
        <v>1</v>
      </c>
      <c r="C68" s="13" t="n">
        <v>2013</v>
      </c>
      <c r="D68" s="13" t="s">
        <v>166</v>
      </c>
      <c r="E68" s="15" t="n">
        <f aca="false">+H54*2+300*2*G54</f>
        <v>108140</v>
      </c>
      <c r="F68" s="15" t="n">
        <f aca="false">E68+(E68*10%)</f>
        <v>118954</v>
      </c>
      <c r="G68" s="43" t="n">
        <f aca="false">F68/6400</f>
        <v>18.5865625</v>
      </c>
      <c r="H68" s="43" t="n">
        <f aca="false">ROUNDUP(G68,0)</f>
        <v>19</v>
      </c>
      <c r="I68" s="43" t="n">
        <v>5.4</v>
      </c>
      <c r="J68" s="44" t="n">
        <f aca="false">+H68*I68</f>
        <v>102.6</v>
      </c>
      <c r="K68" s="133" t="s">
        <v>40</v>
      </c>
      <c r="L68" s="133"/>
      <c r="M68" s="133"/>
      <c r="N68" s="24"/>
    </row>
    <row r="69" customFormat="false" ht="17.35" hidden="false" customHeight="false" outlineLevel="0" collapsed="false">
      <c r="B69" s="13" t="n">
        <v>3</v>
      </c>
      <c r="C69" s="13" t="n">
        <v>1540</v>
      </c>
      <c r="D69" s="13" t="s">
        <v>43</v>
      </c>
      <c r="E69" s="15" t="n">
        <f aca="false">300*4*G54</f>
        <v>26400</v>
      </c>
      <c r="F69" s="15" t="n">
        <f aca="false">E69+(E69*10%)</f>
        <v>29040</v>
      </c>
      <c r="G69" s="43" t="n">
        <f aca="false">F69/6400</f>
        <v>4.5375</v>
      </c>
      <c r="H69" s="43" t="n">
        <f aca="false">ROUNDUP(G69,0)</f>
        <v>5</v>
      </c>
      <c r="I69" s="43" t="n">
        <v>2.1</v>
      </c>
      <c r="J69" s="44" t="n">
        <f aca="false">+H69*I69</f>
        <v>10.5</v>
      </c>
      <c r="K69" s="133" t="s">
        <v>44</v>
      </c>
      <c r="L69" s="133"/>
      <c r="M69" s="133"/>
      <c r="N69" s="24"/>
    </row>
    <row r="70" customFormat="false" ht="17.35" hidden="false" customHeight="false" outlineLevel="0" collapsed="false">
      <c r="B70" s="13" t="n">
        <v>4</v>
      </c>
      <c r="C70" s="13" t="n">
        <v>6515</v>
      </c>
      <c r="D70" s="13" t="s">
        <v>45</v>
      </c>
      <c r="E70" s="15" t="n">
        <f aca="false">+H54*5</f>
        <v>237350</v>
      </c>
      <c r="F70" s="15" t="n">
        <f aca="false">E70+(E70*10%)</f>
        <v>261085</v>
      </c>
      <c r="G70" s="43" t="n">
        <f aca="false">F70/6400</f>
        <v>40.79453125</v>
      </c>
      <c r="H70" s="43" t="n">
        <f aca="false">ROUNDUP(G70,0)</f>
        <v>41</v>
      </c>
      <c r="I70" s="43" t="n">
        <v>1.9</v>
      </c>
      <c r="J70" s="44" t="n">
        <f aca="false">+H70*I70</f>
        <v>77.9</v>
      </c>
      <c r="K70" s="133" t="s">
        <v>46</v>
      </c>
      <c r="L70" s="133"/>
      <c r="M70" s="133"/>
      <c r="N70" s="24"/>
    </row>
    <row r="71" customFormat="false" ht="17.35" hidden="false" customHeight="false" outlineLevel="0" collapsed="false">
      <c r="B71" s="13" t="n">
        <v>5</v>
      </c>
      <c r="C71" s="13" t="n">
        <v>3035</v>
      </c>
      <c r="D71" s="13" t="s">
        <v>47</v>
      </c>
      <c r="E71" s="15" t="n">
        <f aca="false">+H54*2+300*4*G54</f>
        <v>121340</v>
      </c>
      <c r="F71" s="15" t="n">
        <f aca="false">E71+(E71*10%)</f>
        <v>133474</v>
      </c>
      <c r="G71" s="43" t="n">
        <f aca="false">F71/6400</f>
        <v>20.8553125</v>
      </c>
      <c r="H71" s="43" t="n">
        <f aca="false">ROUNDUP(G71,0)</f>
        <v>21</v>
      </c>
      <c r="I71" s="43" t="n">
        <v>1.35</v>
      </c>
      <c r="J71" s="44" t="n">
        <f aca="false">+H71*I71</f>
        <v>28.35</v>
      </c>
      <c r="K71" s="133" t="s">
        <v>48</v>
      </c>
      <c r="L71" s="133"/>
      <c r="M71" s="133"/>
      <c r="N71" s="4"/>
    </row>
    <row r="72" customFormat="false" ht="17.35" hidden="false" customHeight="false" outlineLevel="0" collapsed="false">
      <c r="B72" s="53"/>
      <c r="C72" s="34" t="s">
        <v>19</v>
      </c>
      <c r="D72" s="32" t="n">
        <f aca="false">SUM(E68:E71)</f>
        <v>493230</v>
      </c>
      <c r="E72" s="32" t="n">
        <f aca="false">SUM(F68:F71)</f>
        <v>542553</v>
      </c>
      <c r="F72" s="54" t="n">
        <f aca="false">E72/6400</f>
        <v>84.77390625</v>
      </c>
      <c r="G72" s="55" t="n">
        <f aca="false">SUM(G58:G71)</f>
        <v>173.9134375</v>
      </c>
      <c r="H72" s="56" t="n">
        <f aca="false">SUM(H58:H64,H68:H71)</f>
        <v>181</v>
      </c>
      <c r="I72" s="56"/>
      <c r="J72" s="35" t="n">
        <f aca="false">SUM(J68:J71)</f>
        <v>219.35</v>
      </c>
      <c r="K72" s="134"/>
      <c r="L72" s="134"/>
      <c r="M72" s="134"/>
      <c r="N72" s="11"/>
    </row>
    <row r="73" customFormat="false" ht="17.35" hidden="false" customHeight="false" outlineLevel="0" collapsed="false">
      <c r="B73" s="3"/>
      <c r="C73" s="3"/>
      <c r="D73" s="3"/>
      <c r="E73" s="3"/>
      <c r="F73" s="3"/>
      <c r="G73" s="3"/>
      <c r="H73" s="11"/>
      <c r="I73" s="57" t="s">
        <v>49</v>
      </c>
      <c r="J73" s="131" t="n">
        <f aca="false">+J65+J72</f>
        <v>624.45</v>
      </c>
      <c r="K73" s="3"/>
      <c r="L73" s="3"/>
      <c r="M73" s="3"/>
      <c r="N73" s="4"/>
    </row>
    <row r="74" customFormat="false" ht="17.35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</row>
    <row r="75" customFormat="false" ht="17.35" hidden="false" customHeight="false" outlineLevel="0" collapsed="false">
      <c r="B75" s="42" t="s">
        <v>50</v>
      </c>
      <c r="C75" s="42"/>
      <c r="D75" s="42"/>
      <c r="E75" s="42"/>
      <c r="F75" s="42"/>
      <c r="G75" s="42"/>
      <c r="H75" s="42"/>
      <c r="I75" s="3"/>
      <c r="J75" s="3"/>
      <c r="K75" s="3"/>
      <c r="L75" s="3" t="n">
        <v>473.9</v>
      </c>
      <c r="M75" s="3"/>
      <c r="N75" s="4"/>
    </row>
    <row r="76" customFormat="false" ht="17.35" hidden="false" customHeight="false" outlineLevel="0" collapsed="false">
      <c r="B76" s="9" t="s">
        <v>5</v>
      </c>
      <c r="C76" s="9" t="s">
        <v>22</v>
      </c>
      <c r="D76" s="9" t="s">
        <v>51</v>
      </c>
      <c r="E76" s="9" t="s">
        <v>52</v>
      </c>
      <c r="F76" s="9" t="s">
        <v>53</v>
      </c>
      <c r="G76" s="9" t="s">
        <v>54</v>
      </c>
      <c r="H76" s="9" t="s">
        <v>55</v>
      </c>
      <c r="I76" s="3"/>
      <c r="J76" s="3"/>
      <c r="K76" s="3"/>
      <c r="L76" s="3"/>
      <c r="M76" s="3"/>
      <c r="N76" s="4"/>
    </row>
    <row r="77" customFormat="false" ht="17.35" hidden="false" customHeight="false" outlineLevel="0" collapsed="false">
      <c r="B77" s="13" t="n">
        <v>1</v>
      </c>
      <c r="C77" s="13" t="s">
        <v>172</v>
      </c>
      <c r="D77" s="58" t="s">
        <v>57</v>
      </c>
      <c r="E77" s="13" t="n">
        <v>2</v>
      </c>
      <c r="F77" s="13" t="n">
        <f aca="false">+E77*$G$54</f>
        <v>44</v>
      </c>
      <c r="G77" s="15" t="n">
        <v>4000</v>
      </c>
      <c r="H77" s="15" t="n">
        <f aca="false">+F77*G77</f>
        <v>176000</v>
      </c>
      <c r="I77" s="3"/>
      <c r="J77" s="3"/>
      <c r="K77" s="3"/>
      <c r="L77" s="3"/>
      <c r="M77" s="3"/>
      <c r="N77" s="4"/>
    </row>
    <row r="78" customFormat="false" ht="17.35" hidden="false" customHeight="false" outlineLevel="0" collapsed="false">
      <c r="B78" s="13" t="n">
        <v>2</v>
      </c>
      <c r="C78" s="13" t="s">
        <v>173</v>
      </c>
      <c r="D78" s="58" t="s">
        <v>57</v>
      </c>
      <c r="E78" s="13" t="n">
        <v>2</v>
      </c>
      <c r="F78" s="13" t="n">
        <f aca="false">+E78*$G$54</f>
        <v>44</v>
      </c>
      <c r="G78" s="15" t="n">
        <v>700</v>
      </c>
      <c r="H78" s="15" t="n">
        <f aca="false">+F78*G78</f>
        <v>30800</v>
      </c>
      <c r="I78" s="3"/>
      <c r="J78" s="3"/>
      <c r="K78" s="3"/>
      <c r="L78" s="3"/>
      <c r="M78" s="3"/>
      <c r="N78" s="4"/>
    </row>
    <row r="79" customFormat="false" ht="17.35" hidden="false" customHeight="false" outlineLevel="0" collapsed="false">
      <c r="B79" s="13" t="n">
        <v>2</v>
      </c>
      <c r="C79" s="13" t="s">
        <v>174</v>
      </c>
      <c r="D79" s="58" t="s">
        <v>57</v>
      </c>
      <c r="E79" s="13" t="n">
        <v>1</v>
      </c>
      <c r="F79" s="13" t="n">
        <f aca="false">+E79*$G$54</f>
        <v>22</v>
      </c>
      <c r="G79" s="15" t="n">
        <v>10000</v>
      </c>
      <c r="H79" s="15" t="n">
        <f aca="false">+F79*G79</f>
        <v>220000</v>
      </c>
      <c r="I79" s="3"/>
      <c r="J79" s="3"/>
      <c r="K79" s="3"/>
      <c r="L79" s="3"/>
      <c r="M79" s="3"/>
      <c r="N79" s="4"/>
    </row>
    <row r="80" customFormat="false" ht="17.35" hidden="false" customHeight="false" outlineLevel="0" collapsed="false">
      <c r="B80" s="13" t="n">
        <v>5</v>
      </c>
      <c r="C80" s="13" t="s">
        <v>80</v>
      </c>
      <c r="D80" s="58" t="s">
        <v>62</v>
      </c>
      <c r="E80" s="20" t="s">
        <v>175</v>
      </c>
      <c r="F80" s="16" t="n">
        <f aca="false">+(H54*4+J54*4)/1000</f>
        <v>330.52</v>
      </c>
      <c r="G80" s="15" t="n">
        <v>335</v>
      </c>
      <c r="H80" s="15" t="n">
        <f aca="false">+F80*G80</f>
        <v>110724.2</v>
      </c>
      <c r="I80" s="3"/>
      <c r="J80" s="3"/>
      <c r="K80" s="3"/>
      <c r="L80" s="3"/>
      <c r="M80" s="3"/>
      <c r="N80" s="4"/>
    </row>
    <row r="81" customFormat="false" ht="29.85" hidden="false" customHeight="false" outlineLevel="0" collapsed="false">
      <c r="B81" s="46" t="n">
        <v>6</v>
      </c>
      <c r="C81" s="58" t="s">
        <v>176</v>
      </c>
      <c r="D81" s="58" t="s">
        <v>62</v>
      </c>
      <c r="E81" s="135" t="s">
        <v>177</v>
      </c>
      <c r="F81" s="60" t="n">
        <f aca="false">+(H54*5+I54*6)/1000</f>
        <v>487.91</v>
      </c>
      <c r="G81" s="61" t="n">
        <v>1000</v>
      </c>
      <c r="H81" s="48" t="n">
        <f aca="false">+F81*G81</f>
        <v>487910</v>
      </c>
      <c r="I81" s="3"/>
      <c r="J81" s="3" t="s">
        <v>178</v>
      </c>
      <c r="K81" s="3"/>
      <c r="L81" s="3"/>
      <c r="M81" s="3"/>
      <c r="N81" s="4"/>
    </row>
    <row r="82" customFormat="false" ht="17.35" hidden="false" customHeight="false" outlineLevel="0" collapsed="false">
      <c r="B82" s="13" t="n">
        <v>7</v>
      </c>
      <c r="C82" s="13" t="s">
        <v>179</v>
      </c>
      <c r="D82" s="58" t="s">
        <v>57</v>
      </c>
      <c r="E82" s="13" t="n">
        <v>10</v>
      </c>
      <c r="F82" s="13" t="n">
        <f aca="false">+E82*$G$54</f>
        <v>220</v>
      </c>
      <c r="G82" s="15" t="n">
        <v>50</v>
      </c>
      <c r="H82" s="15" t="n">
        <f aca="false">+F82*G82</f>
        <v>11000</v>
      </c>
      <c r="I82" s="3"/>
      <c r="J82" s="3"/>
      <c r="K82" s="3"/>
      <c r="L82" s="3"/>
      <c r="M82" s="3"/>
      <c r="N82" s="4"/>
    </row>
    <row r="83" customFormat="false" ht="17.35" hidden="false" customHeight="false" outlineLevel="0" collapsed="false">
      <c r="B83" s="13" t="n">
        <v>8</v>
      </c>
      <c r="C83" s="13" t="s">
        <v>180</v>
      </c>
      <c r="D83" s="58" t="s">
        <v>57</v>
      </c>
      <c r="E83" s="13" t="n">
        <v>10</v>
      </c>
      <c r="F83" s="13" t="n">
        <f aca="false">+E83*$G$54</f>
        <v>220</v>
      </c>
      <c r="G83" s="15" t="n">
        <v>40</v>
      </c>
      <c r="H83" s="15" t="n">
        <f aca="false">+F83*G83</f>
        <v>8800</v>
      </c>
      <c r="I83" s="3"/>
      <c r="J83" s="3"/>
      <c r="K83" s="3"/>
      <c r="L83" s="3"/>
      <c r="M83" s="3"/>
      <c r="N83" s="4"/>
    </row>
    <row r="84" customFormat="false" ht="17.35" hidden="false" customHeight="false" outlineLevel="0" collapsed="false">
      <c r="B84" s="13" t="n">
        <v>9</v>
      </c>
      <c r="C84" s="13" t="s">
        <v>181</v>
      </c>
      <c r="D84" s="58" t="s">
        <v>57</v>
      </c>
      <c r="E84" s="13" t="n">
        <v>2</v>
      </c>
      <c r="F84" s="13" t="n">
        <f aca="false">+E84*$G$54</f>
        <v>44</v>
      </c>
      <c r="G84" s="15" t="n">
        <v>16000</v>
      </c>
      <c r="H84" s="15" t="n">
        <f aca="false">+F84*G84</f>
        <v>704000</v>
      </c>
      <c r="I84" s="3"/>
      <c r="J84" s="3"/>
      <c r="K84" s="3"/>
      <c r="L84" s="3"/>
      <c r="M84" s="3"/>
      <c r="N84" s="4"/>
    </row>
    <row r="85" customFormat="false" ht="17.35" hidden="false" customHeight="false" outlineLevel="0" collapsed="false">
      <c r="B85" s="13" t="n">
        <v>10</v>
      </c>
      <c r="C85" s="13" t="s">
        <v>70</v>
      </c>
      <c r="D85" s="58" t="s">
        <v>14</v>
      </c>
      <c r="E85" s="13" t="s">
        <v>111</v>
      </c>
      <c r="F85" s="17" t="n">
        <f aca="false">+N54</f>
        <v>94.8381</v>
      </c>
      <c r="G85" s="15" t="n">
        <v>55000</v>
      </c>
      <c r="H85" s="15" t="n">
        <f aca="false">+F85*G85</f>
        <v>5216095.5</v>
      </c>
      <c r="I85" s="3"/>
      <c r="J85" s="3"/>
      <c r="K85" s="3"/>
      <c r="L85" s="3"/>
      <c r="M85" s="3"/>
      <c r="N85" s="3"/>
    </row>
    <row r="86" customFormat="false" ht="17.35" hidden="false" customHeight="false" outlineLevel="0" collapsed="false">
      <c r="B86" s="13" t="n">
        <v>11</v>
      </c>
      <c r="C86" s="13" t="s">
        <v>182</v>
      </c>
      <c r="D86" s="58" t="s">
        <v>14</v>
      </c>
      <c r="E86" s="117" t="s">
        <v>72</v>
      </c>
      <c r="F86" s="13" t="n">
        <f aca="false">+N54*70%</f>
        <v>66.38667</v>
      </c>
      <c r="G86" s="63" t="n">
        <v>3060</v>
      </c>
      <c r="H86" s="15" t="n">
        <f aca="false">+F86*G86</f>
        <v>203143.2102</v>
      </c>
      <c r="I86" s="3"/>
      <c r="J86" s="3"/>
      <c r="K86" s="3"/>
      <c r="L86" s="3"/>
      <c r="M86" s="3"/>
      <c r="N86" s="3"/>
    </row>
    <row r="87" customFormat="false" ht="19.7" hidden="false" customHeight="false" outlineLevel="0" collapsed="false">
      <c r="B87" s="3"/>
      <c r="C87" s="3"/>
      <c r="D87" s="3"/>
      <c r="E87" s="3"/>
      <c r="F87" s="3"/>
      <c r="G87" s="64" t="s">
        <v>19</v>
      </c>
      <c r="H87" s="65" t="n">
        <f aca="false">SUM(H77:H86)</f>
        <v>7168472.9102</v>
      </c>
      <c r="I87" s="3"/>
      <c r="J87" s="3"/>
      <c r="K87" s="3"/>
      <c r="L87" s="3"/>
      <c r="M87" s="3"/>
      <c r="N87" s="3"/>
    </row>
    <row r="88" customFormat="false" ht="17.35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customFormat="false" ht="17.35" hidden="false" customHeight="false" outlineLevel="0" collapsed="false">
      <c r="B89" s="42" t="s">
        <v>73</v>
      </c>
      <c r="C89" s="42"/>
      <c r="D89" s="42"/>
      <c r="E89" s="42"/>
      <c r="F89" s="42"/>
      <c r="G89" s="42"/>
      <c r="H89" s="42"/>
      <c r="I89" s="3"/>
      <c r="J89" s="3"/>
      <c r="K89" s="3"/>
      <c r="L89" s="3"/>
      <c r="M89" s="3"/>
      <c r="N89" s="3"/>
    </row>
    <row r="90" customFormat="false" ht="17.35" hidden="false" customHeight="false" outlineLevel="0" collapsed="false">
      <c r="B90" s="9" t="s">
        <v>5</v>
      </c>
      <c r="C90" s="9" t="s">
        <v>22</v>
      </c>
      <c r="D90" s="9" t="s">
        <v>51</v>
      </c>
      <c r="E90" s="9" t="s">
        <v>52</v>
      </c>
      <c r="F90" s="9" t="s">
        <v>53</v>
      </c>
      <c r="G90" s="9" t="s">
        <v>54</v>
      </c>
      <c r="H90" s="9" t="s">
        <v>55</v>
      </c>
      <c r="I90" s="3"/>
      <c r="J90" s="3"/>
      <c r="K90" s="3"/>
      <c r="L90" s="3"/>
      <c r="M90" s="3"/>
      <c r="N90" s="3"/>
    </row>
    <row r="91" customFormat="false" ht="17.35" hidden="false" customHeight="false" outlineLevel="0" collapsed="false">
      <c r="B91" s="13" t="n">
        <v>1</v>
      </c>
      <c r="C91" s="13" t="s">
        <v>56</v>
      </c>
      <c r="D91" s="58" t="s">
        <v>57</v>
      </c>
      <c r="E91" s="13" t="n">
        <v>4</v>
      </c>
      <c r="F91" s="13" t="n">
        <f aca="false">+E91*$G$54</f>
        <v>88</v>
      </c>
      <c r="G91" s="15" t="n">
        <v>4000</v>
      </c>
      <c r="H91" s="15" t="n">
        <f aca="false">+F91*G91</f>
        <v>352000</v>
      </c>
      <c r="I91" s="3"/>
      <c r="J91" s="3"/>
      <c r="K91" s="3"/>
      <c r="L91" s="3"/>
      <c r="M91" s="3"/>
      <c r="N91" s="3"/>
    </row>
    <row r="92" customFormat="false" ht="17.35" hidden="false" customHeight="false" outlineLevel="0" collapsed="false">
      <c r="B92" s="13" t="n">
        <v>2</v>
      </c>
      <c r="C92" s="13" t="s">
        <v>183</v>
      </c>
      <c r="D92" s="58" t="s">
        <v>57</v>
      </c>
      <c r="E92" s="13" t="n">
        <v>2</v>
      </c>
      <c r="F92" s="13" t="n">
        <f aca="false">+E92*$G$54</f>
        <v>44</v>
      </c>
      <c r="G92" s="15" t="n">
        <v>700</v>
      </c>
      <c r="H92" s="15" t="n">
        <f aca="false">+F92*G92</f>
        <v>30800</v>
      </c>
      <c r="I92" s="3"/>
      <c r="J92" s="3"/>
      <c r="K92" s="3"/>
      <c r="L92" s="3"/>
      <c r="M92" s="3"/>
      <c r="N92" s="3"/>
    </row>
    <row r="93" customFormat="false" ht="17.35" hidden="false" customHeight="false" outlineLevel="0" collapsed="false">
      <c r="B93" s="13" t="n">
        <v>2</v>
      </c>
      <c r="C93" s="13" t="s">
        <v>184</v>
      </c>
      <c r="D93" s="58" t="s">
        <v>57</v>
      </c>
      <c r="E93" s="13" t="n">
        <v>2</v>
      </c>
      <c r="F93" s="13" t="n">
        <f aca="false">+E93*$G$54</f>
        <v>44</v>
      </c>
      <c r="G93" s="15" t="n">
        <v>10000</v>
      </c>
      <c r="H93" s="15" t="n">
        <f aca="false">+F93*G93</f>
        <v>440000</v>
      </c>
      <c r="I93" s="3"/>
      <c r="J93" s="3"/>
      <c r="K93" s="3"/>
      <c r="L93" s="3"/>
      <c r="M93" s="3"/>
      <c r="N93" s="3"/>
    </row>
    <row r="94" customFormat="false" ht="17.35" hidden="false" customHeight="false" outlineLevel="0" collapsed="false">
      <c r="B94" s="13" t="n">
        <v>5</v>
      </c>
      <c r="C94" s="13" t="s">
        <v>61</v>
      </c>
      <c r="D94" s="58" t="s">
        <v>62</v>
      </c>
      <c r="E94" s="20" t="s">
        <v>175</v>
      </c>
      <c r="F94" s="16" t="n">
        <f aca="false">+(H54*4+J54*4)/1000</f>
        <v>330.52</v>
      </c>
      <c r="G94" s="15" t="n">
        <v>335</v>
      </c>
      <c r="H94" s="15" t="n">
        <f aca="false">+F94*G94</f>
        <v>110724.2</v>
      </c>
      <c r="I94" s="3"/>
      <c r="J94" s="3"/>
      <c r="K94" s="3"/>
      <c r="L94" s="3"/>
      <c r="M94" s="3"/>
      <c r="N94" s="3"/>
    </row>
    <row r="95" customFormat="false" ht="29.85" hidden="false" customHeight="false" outlineLevel="0" collapsed="false">
      <c r="B95" s="46" t="n">
        <v>6</v>
      </c>
      <c r="C95" s="58" t="s">
        <v>64</v>
      </c>
      <c r="D95" s="58" t="s">
        <v>62</v>
      </c>
      <c r="E95" s="135" t="s">
        <v>177</v>
      </c>
      <c r="F95" s="60" t="n">
        <f aca="false">+(H54*5+I54*6)/1000</f>
        <v>487.91</v>
      </c>
      <c r="G95" s="61" t="n">
        <v>1000</v>
      </c>
      <c r="H95" s="15" t="n">
        <f aca="false">+F95*G95</f>
        <v>487910</v>
      </c>
      <c r="I95" s="3"/>
      <c r="J95" s="3"/>
      <c r="K95" s="3"/>
      <c r="L95" s="3"/>
      <c r="M95" s="3"/>
      <c r="N95" s="3"/>
    </row>
    <row r="96" customFormat="false" ht="17.35" hidden="false" customHeight="false" outlineLevel="0" collapsed="false">
      <c r="B96" s="13" t="n">
        <v>7</v>
      </c>
      <c r="C96" s="13" t="s">
        <v>66</v>
      </c>
      <c r="D96" s="58" t="s">
        <v>57</v>
      </c>
      <c r="E96" s="13" t="n">
        <v>10</v>
      </c>
      <c r="F96" s="13" t="n">
        <f aca="false">+E96*$G$54</f>
        <v>220</v>
      </c>
      <c r="G96" s="15" t="n">
        <v>50</v>
      </c>
      <c r="H96" s="15" t="n">
        <f aca="false">+F96*G96</f>
        <v>11000</v>
      </c>
      <c r="I96" s="3"/>
      <c r="J96" s="3"/>
      <c r="K96" s="3"/>
      <c r="L96" s="3"/>
      <c r="M96" s="3"/>
      <c r="N96" s="3"/>
    </row>
    <row r="97" customFormat="false" ht="17.35" hidden="false" customHeight="false" outlineLevel="0" collapsed="false">
      <c r="B97" s="13" t="n">
        <v>8</v>
      </c>
      <c r="C97" s="13" t="s">
        <v>67</v>
      </c>
      <c r="D97" s="58" t="s">
        <v>57</v>
      </c>
      <c r="E97" s="13" t="n">
        <v>10</v>
      </c>
      <c r="F97" s="13" t="n">
        <f aca="false">+E97*$G$54</f>
        <v>220</v>
      </c>
      <c r="G97" s="15" t="n">
        <v>40</v>
      </c>
      <c r="H97" s="15" t="n">
        <f aca="false">+F97*G97</f>
        <v>8800</v>
      </c>
      <c r="I97" s="3"/>
      <c r="J97" s="3"/>
      <c r="K97" s="3"/>
      <c r="L97" s="3"/>
      <c r="M97" s="3"/>
      <c r="N97" s="3"/>
    </row>
    <row r="98" customFormat="false" ht="17.35" hidden="false" customHeight="false" outlineLevel="0" collapsed="false">
      <c r="B98" s="13" t="n">
        <v>9</v>
      </c>
      <c r="C98" s="13" t="s">
        <v>68</v>
      </c>
      <c r="D98" s="58" t="s">
        <v>57</v>
      </c>
      <c r="E98" s="13" t="n">
        <v>2</v>
      </c>
      <c r="F98" s="13" t="n">
        <f aca="false">+E98*$G$54</f>
        <v>44</v>
      </c>
      <c r="G98" s="15" t="n">
        <v>16000</v>
      </c>
      <c r="H98" s="15" t="n">
        <f aca="false">+F98*G98</f>
        <v>704000</v>
      </c>
      <c r="I98" s="3"/>
      <c r="J98" s="3"/>
      <c r="K98" s="3"/>
      <c r="L98" s="3"/>
      <c r="M98" s="3"/>
      <c r="N98" s="3"/>
    </row>
    <row r="99" customFormat="false" ht="17.35" hidden="false" customHeight="false" outlineLevel="0" collapsed="false">
      <c r="B99" s="13" t="n">
        <v>10</v>
      </c>
      <c r="C99" s="13" t="s">
        <v>70</v>
      </c>
      <c r="D99" s="58" t="s">
        <v>14</v>
      </c>
      <c r="E99" s="13" t="s">
        <v>111</v>
      </c>
      <c r="F99" s="17" t="n">
        <f aca="false">+N54</f>
        <v>94.8381</v>
      </c>
      <c r="G99" s="15" t="n">
        <v>55000</v>
      </c>
      <c r="H99" s="15" t="n">
        <f aca="false">+F99*G99</f>
        <v>5216095.5</v>
      </c>
      <c r="I99" s="3"/>
      <c r="J99" s="3"/>
      <c r="K99" s="3"/>
      <c r="L99" s="3"/>
      <c r="M99" s="3"/>
      <c r="N99" s="3"/>
    </row>
    <row r="100" customFormat="false" ht="17.35" hidden="false" customHeight="false" outlineLevel="0" collapsed="false">
      <c r="B100" s="13" t="n">
        <v>11</v>
      </c>
      <c r="C100" s="13" t="s">
        <v>47</v>
      </c>
      <c r="D100" s="58" t="s">
        <v>14</v>
      </c>
      <c r="E100" s="117" t="s">
        <v>72</v>
      </c>
      <c r="F100" s="13" t="n">
        <f aca="false">+N54*70%</f>
        <v>66.38667</v>
      </c>
      <c r="G100" s="63" t="n">
        <v>3060</v>
      </c>
      <c r="H100" s="15" t="n">
        <f aca="false">+F100*G100</f>
        <v>203143.2102</v>
      </c>
      <c r="I100" s="3"/>
      <c r="J100" s="3"/>
      <c r="K100" s="3"/>
      <c r="L100" s="3"/>
      <c r="M100" s="3"/>
      <c r="N100" s="3"/>
    </row>
    <row r="101" customFormat="false" ht="19.7" hidden="false" customHeight="false" outlineLevel="0" collapsed="false">
      <c r="B101" s="3"/>
      <c r="C101" s="3"/>
      <c r="D101" s="3"/>
      <c r="E101" s="3"/>
      <c r="F101" s="3"/>
      <c r="G101" s="64" t="s">
        <v>19</v>
      </c>
      <c r="H101" s="65" t="n">
        <f aca="false">SUM(H91:H100)</f>
        <v>7564472.9102</v>
      </c>
      <c r="I101" s="3"/>
      <c r="J101" s="3"/>
      <c r="K101" s="3"/>
      <c r="L101" s="3"/>
      <c r="M101" s="3"/>
      <c r="N101" s="3"/>
    </row>
    <row r="102" customFormat="false" ht="19.7" hidden="false" customHeight="false" outlineLevel="0" collapsed="false">
      <c r="B102" s="72"/>
      <c r="C102" s="72"/>
      <c r="D102" s="72"/>
      <c r="E102" s="72"/>
      <c r="F102" s="72"/>
      <c r="G102" s="136"/>
      <c r="H102" s="137"/>
      <c r="I102" s="3"/>
      <c r="J102" s="3"/>
      <c r="K102" s="3"/>
      <c r="L102" s="3"/>
      <c r="M102" s="3"/>
      <c r="N102" s="3"/>
    </row>
    <row r="103" customFormat="false" ht="17.35" hidden="false" customHeight="false" outlineLevel="0" collapsed="false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customFormat="false" ht="24.45" hidden="false" customHeight="false" outlineLevel="0" collapsed="false">
      <c r="B104" s="75" t="s">
        <v>159</v>
      </c>
      <c r="C104" s="75"/>
      <c r="D104" s="75"/>
      <c r="E104" s="76"/>
      <c r="F104" s="75" t="s">
        <v>159</v>
      </c>
      <c r="G104" s="75"/>
      <c r="H104" s="75"/>
      <c r="I104" s="3"/>
      <c r="J104" s="3"/>
      <c r="K104" s="3"/>
      <c r="L104" s="3"/>
      <c r="M104" s="3"/>
      <c r="N104" s="3"/>
    </row>
    <row r="105" customFormat="false" ht="37.3" hidden="false" customHeight="false" outlineLevel="0" collapsed="false">
      <c r="B105" s="77" t="s">
        <v>95</v>
      </c>
      <c r="C105" s="77" t="s">
        <v>96</v>
      </c>
      <c r="D105" s="77" t="s">
        <v>97</v>
      </c>
      <c r="E105" s="3"/>
      <c r="F105" s="77" t="s">
        <v>95</v>
      </c>
      <c r="G105" s="77" t="s">
        <v>96</v>
      </c>
      <c r="H105" s="77" t="s">
        <v>97</v>
      </c>
      <c r="I105" s="3"/>
      <c r="J105" s="3"/>
      <c r="K105" s="3"/>
      <c r="L105" s="3"/>
      <c r="M105" s="3"/>
      <c r="N105" s="3"/>
    </row>
    <row r="106" customFormat="false" ht="22.05" hidden="false" customHeight="false" outlineLevel="0" collapsed="false">
      <c r="B106" s="78" t="n">
        <v>1</v>
      </c>
      <c r="C106" s="79" t="s">
        <v>98</v>
      </c>
      <c r="D106" s="80" t="n">
        <f aca="false">+J73*4</f>
        <v>2497.8</v>
      </c>
      <c r="E106" s="3"/>
      <c r="F106" s="78" t="n">
        <v>1</v>
      </c>
      <c r="G106" s="79" t="s">
        <v>98</v>
      </c>
      <c r="H106" s="80" t="n">
        <f aca="false">+J73*4</f>
        <v>2497.8</v>
      </c>
      <c r="I106" s="3"/>
      <c r="J106" s="3"/>
      <c r="K106" s="3"/>
      <c r="L106" s="3"/>
      <c r="M106" s="3"/>
      <c r="N106" s="3"/>
    </row>
    <row r="107" customFormat="false" ht="22.05" hidden="false" customHeight="false" outlineLevel="0" collapsed="false">
      <c r="B107" s="78" t="n">
        <v>2</v>
      </c>
      <c r="C107" s="79" t="s">
        <v>99</v>
      </c>
      <c r="D107" s="80" t="n">
        <f aca="false">+H87/3650</f>
        <v>1963.96518087671</v>
      </c>
      <c r="E107" s="3"/>
      <c r="F107" s="78" t="n">
        <v>2</v>
      </c>
      <c r="G107" s="79" t="s">
        <v>99</v>
      </c>
      <c r="H107" s="80" t="n">
        <f aca="false">+H101/3650</f>
        <v>2072.45833156164</v>
      </c>
      <c r="I107" s="3"/>
      <c r="J107" s="3"/>
      <c r="K107" s="3"/>
      <c r="L107" s="3"/>
      <c r="M107" s="3"/>
      <c r="N107" s="3"/>
    </row>
    <row r="108" customFormat="false" ht="22.05" hidden="false" customHeight="false" outlineLevel="0" collapsed="false">
      <c r="B108" s="78" t="n">
        <v>3</v>
      </c>
      <c r="C108" s="79" t="s">
        <v>100</v>
      </c>
      <c r="D108" s="80" t="n">
        <f aca="false">+N54*15</f>
        <v>1422.5715</v>
      </c>
      <c r="E108" s="3"/>
      <c r="F108" s="78" t="n">
        <v>3</v>
      </c>
      <c r="G108" s="79" t="s">
        <v>100</v>
      </c>
      <c r="H108" s="80" t="n">
        <f aca="false">+N54*15</f>
        <v>1422.5715</v>
      </c>
      <c r="I108" s="3"/>
      <c r="J108" s="3"/>
      <c r="K108" s="3"/>
      <c r="L108" s="3"/>
      <c r="M108" s="3"/>
      <c r="N108" s="3"/>
    </row>
    <row r="109" customFormat="false" ht="22.05" hidden="false" customHeight="false" outlineLevel="0" collapsed="false">
      <c r="B109" s="78" t="n">
        <v>4</v>
      </c>
      <c r="C109" s="79" t="s">
        <v>101</v>
      </c>
      <c r="D109" s="80" t="n">
        <f aca="false">+N54*0</f>
        <v>0</v>
      </c>
      <c r="E109" s="3"/>
      <c r="F109" s="78" t="n">
        <v>4</v>
      </c>
      <c r="G109" s="79" t="s">
        <v>101</v>
      </c>
      <c r="H109" s="80" t="n">
        <f aca="false">+N54*0</f>
        <v>0</v>
      </c>
      <c r="I109" s="3"/>
      <c r="J109" s="3"/>
      <c r="K109" s="3"/>
      <c r="L109" s="3"/>
      <c r="M109" s="3"/>
      <c r="N109" s="3"/>
    </row>
    <row r="110" customFormat="false" ht="22.05" hidden="false" customHeight="false" outlineLevel="0" collapsed="false">
      <c r="B110" s="3"/>
      <c r="C110" s="81" t="s">
        <v>19</v>
      </c>
      <c r="D110" s="80" t="n">
        <f aca="false">SUM(D106:D109)</f>
        <v>5884.33668087671</v>
      </c>
      <c r="E110" s="3"/>
      <c r="F110" s="3"/>
      <c r="G110" s="81" t="s">
        <v>19</v>
      </c>
      <c r="H110" s="80" t="n">
        <f aca="false">SUM(H106:H109)</f>
        <v>5992.82983156165</v>
      </c>
      <c r="I110" s="3"/>
      <c r="J110" s="3"/>
      <c r="K110" s="3"/>
      <c r="L110" s="3"/>
      <c r="M110" s="3"/>
      <c r="N110" s="3"/>
    </row>
    <row r="111" customFormat="false" ht="22.05" hidden="false" customHeight="false" outlineLevel="0" collapsed="false">
      <c r="B111" s="3"/>
      <c r="C111" s="81" t="s">
        <v>102</v>
      </c>
      <c r="D111" s="82" t="n">
        <f aca="false">+D110*30%</f>
        <v>1765.30100426301</v>
      </c>
      <c r="E111" s="3"/>
      <c r="F111" s="3"/>
      <c r="G111" s="81" t="s">
        <v>102</v>
      </c>
      <c r="H111" s="82" t="n">
        <f aca="false">+H110*30%</f>
        <v>1797.84894946849</v>
      </c>
      <c r="I111" s="3"/>
      <c r="J111" s="3"/>
      <c r="K111" s="3"/>
      <c r="L111" s="3"/>
      <c r="M111" s="3"/>
      <c r="N111" s="3"/>
    </row>
    <row r="112" customFormat="false" ht="22.05" hidden="false" customHeight="false" outlineLevel="0" collapsed="false">
      <c r="B112" s="3"/>
      <c r="C112" s="83" t="s">
        <v>103</v>
      </c>
      <c r="D112" s="84" t="n">
        <f aca="false">+D110+D111</f>
        <v>7649.63768513973</v>
      </c>
      <c r="E112" s="3"/>
      <c r="F112" s="3"/>
      <c r="G112" s="83" t="s">
        <v>103</v>
      </c>
      <c r="H112" s="84" t="n">
        <f aca="false">+H110+H111</f>
        <v>7790.67878103014</v>
      </c>
      <c r="I112" s="3"/>
      <c r="J112" s="3"/>
      <c r="K112" s="3"/>
      <c r="L112" s="3"/>
      <c r="M112" s="3"/>
      <c r="N112" s="3"/>
    </row>
    <row r="113" customFormat="false" ht="22.05" hidden="false" customHeight="false" outlineLevel="0" collapsed="false">
      <c r="B113" s="3"/>
      <c r="C113" s="87" t="s">
        <v>104</v>
      </c>
      <c r="D113" s="88" t="n">
        <f aca="false">+D110/N54</f>
        <v>62.0461257751548</v>
      </c>
      <c r="E113" s="3"/>
      <c r="F113" s="3"/>
      <c r="G113" s="87" t="s">
        <v>104</v>
      </c>
      <c r="H113" s="88" t="n">
        <f aca="false">+H110/N54</f>
        <v>63.1901085277082</v>
      </c>
      <c r="I113" s="3"/>
      <c r="J113" s="3"/>
      <c r="K113" s="3"/>
      <c r="L113" s="3"/>
      <c r="M113" s="3"/>
      <c r="N113" s="3"/>
    </row>
    <row r="114" customFormat="false" ht="37.3" hidden="false" customHeight="false" outlineLevel="0" collapsed="false">
      <c r="B114" s="3"/>
      <c r="C114" s="89" t="s">
        <v>105</v>
      </c>
      <c r="D114" s="90" t="n">
        <f aca="false">+D112/N54</f>
        <v>80.6599635077013</v>
      </c>
      <c r="E114" s="3"/>
      <c r="F114" s="3"/>
      <c r="G114" s="89" t="s">
        <v>105</v>
      </c>
      <c r="H114" s="90" t="n">
        <f aca="false">+H112/N54</f>
        <v>82.1471410860207</v>
      </c>
      <c r="I114" s="3"/>
      <c r="J114" s="3"/>
      <c r="K114" s="3"/>
      <c r="L114" s="3"/>
      <c r="M114" s="3"/>
      <c r="N114" s="3"/>
    </row>
    <row r="115" customFormat="false" ht="17.35" hidden="false" customHeight="false" outlineLevel="0" collapsed="false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customFormat="false" ht="17.35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customFormat="false" ht="17.35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customFormat="false" ht="17.3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customFormat="false" ht="17.35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customFormat="false" ht="17.35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customFormat="false" ht="17.35" hidden="false" customHeight="false" outlineLevel="0" collapsed="false">
      <c r="I121" s="3"/>
      <c r="J121" s="3"/>
      <c r="K121" s="3"/>
      <c r="L121" s="3"/>
      <c r="M121" s="3"/>
    </row>
    <row r="122" customFormat="false" ht="17.35" hidden="false" customHeight="false" outlineLevel="0" collapsed="false">
      <c r="M122" s="3"/>
    </row>
  </sheetData>
  <mergeCells count="14">
    <mergeCell ref="B4:N4"/>
    <mergeCell ref="B54:C54"/>
    <mergeCell ref="B56:J56"/>
    <mergeCell ref="B66:M66"/>
    <mergeCell ref="K67:M67"/>
    <mergeCell ref="K68:M68"/>
    <mergeCell ref="K69:M69"/>
    <mergeCell ref="K70:M70"/>
    <mergeCell ref="K71:M71"/>
    <mergeCell ref="K72:M72"/>
    <mergeCell ref="B75:H75"/>
    <mergeCell ref="B89:H89"/>
    <mergeCell ref="B104:D104"/>
    <mergeCell ref="F104:H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Y143"/>
  <sheetViews>
    <sheetView showFormulas="false" showGridLines="true" showRowColHeaders="true" showZeros="true" rightToLeft="false" tabSelected="false" showOutlineSymbols="true" defaultGridColor="true" view="normal" topLeftCell="A88" colorId="64" zoomScale="60" zoomScaleNormal="60" zoomScalePageLayoutView="100" workbookViewId="0">
      <selection pane="topLeft" activeCell="E89" activeCellId="0" sqref="E89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2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6.33"/>
    <col collapsed="false" customWidth="true" hidden="false" outlineLevel="0" max="9" min="9" style="0" width="15.16"/>
    <col collapsed="false" customWidth="true" hidden="false" outlineLevel="0" max="10" min="10" style="0" width="13.5"/>
    <col collapsed="false" customWidth="true" hidden="false" outlineLevel="0" max="13" min="11" style="0" width="15.16"/>
    <col collapsed="false" customWidth="true" hidden="false" outlineLevel="0" max="14" min="14" style="0" width="15.33"/>
    <col collapsed="false" customWidth="true" hidden="false" outlineLevel="0" max="15" min="15" style="0" width="13.67"/>
    <col collapsed="false" customWidth="true" hidden="false" outlineLevel="0" max="17" min="16" style="0" width="11"/>
    <col collapsed="false" customWidth="true" hidden="false" outlineLevel="0" max="18" min="18" style="0" width="14.82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2" min="21" style="0" width="11"/>
    <col collapsed="false" customWidth="true" hidden="false" outlineLevel="0" max="23" min="23" style="0" width="17.33"/>
  </cols>
  <sheetData>
    <row r="3" customFormat="false" ht="17.35" hidden="false" customHeight="false" outlineLevel="0" collapsed="false">
      <c r="B3" s="4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4"/>
      <c r="U3" s="4"/>
      <c r="V3" s="4"/>
      <c r="W3" s="5"/>
      <c r="X3" s="126"/>
    </row>
    <row r="4" customFormat="false" ht="22.05" hidden="false" customHeight="false" outlineLevel="0" collapsed="false">
      <c r="B4" s="7" t="s">
        <v>162</v>
      </c>
      <c r="C4" s="7"/>
      <c r="D4" s="7"/>
      <c r="E4" s="7"/>
      <c r="F4" s="7"/>
      <c r="G4" s="7"/>
      <c r="H4" s="7"/>
      <c r="I4" s="7"/>
      <c r="J4" s="7"/>
      <c r="K4" s="5"/>
      <c r="L4" s="5"/>
      <c r="M4" s="5"/>
      <c r="N4" s="5"/>
      <c r="O4" s="5"/>
      <c r="P4" s="5"/>
      <c r="Q4" s="5"/>
      <c r="R4" s="5"/>
      <c r="S4" s="6"/>
      <c r="T4" s="4"/>
      <c r="U4" s="4"/>
      <c r="V4" s="4"/>
      <c r="W4" s="5"/>
      <c r="X4" s="126"/>
    </row>
    <row r="5" customFormat="false" ht="17.35" hidden="false" customHeight="false" outlineLevel="0" collapsed="false">
      <c r="B5" s="9" t="s">
        <v>5</v>
      </c>
      <c r="C5" s="9" t="s">
        <v>6</v>
      </c>
      <c r="D5" s="9" t="s">
        <v>37</v>
      </c>
      <c r="E5" s="10" t="s">
        <v>109</v>
      </c>
      <c r="F5" s="9" t="s">
        <v>10</v>
      </c>
      <c r="G5" s="9" t="s">
        <v>23</v>
      </c>
      <c r="H5" s="9" t="s">
        <v>13</v>
      </c>
      <c r="I5" s="9" t="s">
        <v>14</v>
      </c>
      <c r="J5" s="9" t="s">
        <v>111</v>
      </c>
      <c r="K5" s="8"/>
      <c r="L5" s="11"/>
      <c r="M5" s="12"/>
      <c r="N5" s="128"/>
      <c r="O5" s="128"/>
      <c r="P5" s="12"/>
      <c r="Q5" s="12"/>
      <c r="R5" s="12"/>
      <c r="S5" s="12"/>
      <c r="T5" s="11"/>
      <c r="U5" s="11"/>
      <c r="V5" s="126"/>
    </row>
    <row r="6" customFormat="false" ht="17.35" hidden="false" customHeight="false" outlineLevel="0" collapsed="false">
      <c r="B6" s="13" t="n">
        <v>1</v>
      </c>
      <c r="C6" s="14" t="s">
        <v>18</v>
      </c>
      <c r="D6" s="15" t="n">
        <v>700</v>
      </c>
      <c r="E6" s="15" t="n">
        <v>1200</v>
      </c>
      <c r="F6" s="13" t="n">
        <v>5</v>
      </c>
      <c r="G6" s="13" t="n">
        <f aca="false">+D6*F6</f>
        <v>3500</v>
      </c>
      <c r="H6" s="13" t="n">
        <f aca="false">+E6*F6</f>
        <v>6000</v>
      </c>
      <c r="I6" s="16" t="n">
        <f aca="false">+D6*E6/1000000</f>
        <v>0.84</v>
      </c>
      <c r="J6" s="17" t="n">
        <f aca="false">+F6*I6</f>
        <v>4.2</v>
      </c>
      <c r="K6" s="3"/>
      <c r="L6" s="4"/>
      <c r="M6" s="4"/>
      <c r="N6" s="129"/>
      <c r="O6" s="129"/>
      <c r="P6" s="4"/>
      <c r="Q6" s="4"/>
      <c r="R6" s="4"/>
      <c r="S6" s="4"/>
      <c r="T6" s="4"/>
      <c r="U6" s="4"/>
      <c r="V6" s="126"/>
    </row>
    <row r="7" customFormat="false" ht="17.35" hidden="false" customHeight="false" outlineLevel="0" collapsed="false">
      <c r="B7" s="13" t="n">
        <v>1</v>
      </c>
      <c r="C7" s="14" t="s">
        <v>18</v>
      </c>
      <c r="D7" s="15"/>
      <c r="E7" s="15"/>
      <c r="F7" s="13"/>
      <c r="G7" s="13" t="n">
        <f aca="false">+D7*F7</f>
        <v>0</v>
      </c>
      <c r="H7" s="13" t="n">
        <f aca="false">+E7*F7</f>
        <v>0</v>
      </c>
      <c r="I7" s="16" t="n">
        <f aca="false">+D7*E7/1000000</f>
        <v>0</v>
      </c>
      <c r="J7" s="16" t="n">
        <f aca="false">F7*I7</f>
        <v>0</v>
      </c>
      <c r="K7" s="3"/>
      <c r="L7" s="4"/>
      <c r="M7" s="4"/>
      <c r="N7" s="129"/>
      <c r="O7" s="129"/>
      <c r="P7" s="4"/>
      <c r="Q7" s="4"/>
      <c r="R7" s="4"/>
      <c r="S7" s="4"/>
      <c r="T7" s="4"/>
      <c r="U7" s="4"/>
      <c r="V7" s="126"/>
    </row>
    <row r="8" customFormat="false" ht="17.35" hidden="false" customHeight="false" outlineLevel="0" collapsed="false">
      <c r="B8" s="13" t="n">
        <v>2</v>
      </c>
      <c r="C8" s="14" t="s">
        <v>18</v>
      </c>
      <c r="D8" s="15"/>
      <c r="E8" s="15"/>
      <c r="F8" s="13"/>
      <c r="G8" s="13" t="n">
        <f aca="false">+D8*F8</f>
        <v>0</v>
      </c>
      <c r="H8" s="13" t="n">
        <f aca="false">+E8*F8</f>
        <v>0</v>
      </c>
      <c r="I8" s="16" t="n">
        <f aca="false">+D8*E8/1000000</f>
        <v>0</v>
      </c>
      <c r="J8" s="16" t="n">
        <f aca="false">F8*I8</f>
        <v>0</v>
      </c>
      <c r="K8" s="3"/>
      <c r="L8" s="4"/>
      <c r="M8" s="4"/>
      <c r="N8" s="129"/>
      <c r="O8" s="129"/>
      <c r="P8" s="4"/>
      <c r="Q8" s="4"/>
      <c r="R8" s="4"/>
      <c r="S8" s="4"/>
      <c r="T8" s="4"/>
      <c r="U8" s="4"/>
      <c r="V8" s="126"/>
    </row>
    <row r="9" customFormat="false" ht="17.35" hidden="false" customHeight="false" outlineLevel="0" collapsed="false">
      <c r="B9" s="13" t="n">
        <v>3</v>
      </c>
      <c r="C9" s="14" t="s">
        <v>18</v>
      </c>
      <c r="D9" s="15"/>
      <c r="E9" s="15"/>
      <c r="F9" s="13"/>
      <c r="G9" s="13" t="n">
        <f aca="false">+D9*F9</f>
        <v>0</v>
      </c>
      <c r="H9" s="13" t="n">
        <f aca="false">+E9*F9</f>
        <v>0</v>
      </c>
      <c r="I9" s="16" t="n">
        <f aca="false">+D9*E9/1000000</f>
        <v>0</v>
      </c>
      <c r="J9" s="16" t="n">
        <f aca="false">F9*I9</f>
        <v>0</v>
      </c>
      <c r="K9" s="3"/>
      <c r="L9" s="4"/>
      <c r="M9" s="4"/>
      <c r="N9" s="129"/>
      <c r="O9" s="129"/>
      <c r="P9" s="4"/>
      <c r="Q9" s="4"/>
      <c r="R9" s="4"/>
      <c r="S9" s="4"/>
      <c r="T9" s="4"/>
      <c r="U9" s="4"/>
      <c r="V9" s="126"/>
    </row>
    <row r="10" customFormat="false" ht="17.35" hidden="false" customHeight="false" outlineLevel="0" collapsed="false">
      <c r="B10" s="13" t="n">
        <v>4</v>
      </c>
      <c r="C10" s="14" t="s">
        <v>18</v>
      </c>
      <c r="D10" s="15"/>
      <c r="E10" s="15"/>
      <c r="F10" s="13"/>
      <c r="G10" s="13" t="n">
        <f aca="false">+D10*F10</f>
        <v>0</v>
      </c>
      <c r="H10" s="13" t="n">
        <f aca="false">+E10*F10</f>
        <v>0</v>
      </c>
      <c r="I10" s="16" t="n">
        <f aca="false">+D10*E10/1000000</f>
        <v>0</v>
      </c>
      <c r="J10" s="16" t="n">
        <f aca="false">F10*I10</f>
        <v>0</v>
      </c>
      <c r="K10" s="3"/>
      <c r="L10" s="4"/>
      <c r="M10" s="4"/>
      <c r="N10" s="129"/>
      <c r="O10" s="129"/>
      <c r="P10" s="4"/>
      <c r="Q10" s="4"/>
      <c r="R10" s="4"/>
      <c r="S10" s="4"/>
      <c r="T10" s="4"/>
      <c r="U10" s="4"/>
      <c r="V10" s="126"/>
    </row>
    <row r="11" customFormat="false" ht="17.35" hidden="false" customHeight="false" outlineLevel="0" collapsed="false">
      <c r="B11" s="13" t="n">
        <v>5</v>
      </c>
      <c r="C11" s="14" t="s">
        <v>18</v>
      </c>
      <c r="D11" s="15"/>
      <c r="E11" s="15"/>
      <c r="F11" s="13"/>
      <c r="G11" s="13" t="n">
        <f aca="false">+D11*F11</f>
        <v>0</v>
      </c>
      <c r="H11" s="13" t="n">
        <f aca="false">+E11*F11</f>
        <v>0</v>
      </c>
      <c r="I11" s="16" t="n">
        <f aca="false">+D11*E11/1000000</f>
        <v>0</v>
      </c>
      <c r="J11" s="16" t="n">
        <f aca="false">F11*I11</f>
        <v>0</v>
      </c>
      <c r="K11" s="3"/>
      <c r="L11" s="4"/>
      <c r="M11" s="4"/>
      <c r="N11" s="129"/>
      <c r="O11" s="129"/>
      <c r="P11" s="4"/>
      <c r="Q11" s="4"/>
      <c r="R11" s="4"/>
      <c r="S11" s="4"/>
      <c r="T11" s="4"/>
      <c r="U11" s="4"/>
      <c r="V11" s="126"/>
    </row>
    <row r="12" customFormat="false" ht="17.35" hidden="false" customHeight="false" outlineLevel="0" collapsed="false">
      <c r="B12" s="13" t="n">
        <v>6</v>
      </c>
      <c r="C12" s="14"/>
      <c r="D12" s="15"/>
      <c r="E12" s="15"/>
      <c r="F12" s="13"/>
      <c r="G12" s="13" t="n">
        <f aca="false">+D12*F12</f>
        <v>0</v>
      </c>
      <c r="H12" s="13" t="n">
        <f aca="false">+E12*F12</f>
        <v>0</v>
      </c>
      <c r="I12" s="16" t="n">
        <f aca="false">+D12*E12/1000000</f>
        <v>0</v>
      </c>
      <c r="J12" s="16" t="n">
        <f aca="false">F12*I12</f>
        <v>0</v>
      </c>
      <c r="K12" s="3"/>
      <c r="L12" s="4"/>
      <c r="M12" s="4"/>
      <c r="N12" s="129"/>
      <c r="O12" s="129"/>
      <c r="P12" s="4"/>
      <c r="Q12" s="4"/>
      <c r="R12" s="4"/>
      <c r="S12" s="4"/>
      <c r="T12" s="4"/>
      <c r="U12" s="4"/>
      <c r="V12" s="126"/>
    </row>
    <row r="13" customFormat="false" ht="17.35" hidden="false" customHeight="false" outlineLevel="0" collapsed="false">
      <c r="B13" s="13" t="n">
        <v>7</v>
      </c>
      <c r="C13" s="14"/>
      <c r="D13" s="15"/>
      <c r="E13" s="15"/>
      <c r="F13" s="13"/>
      <c r="G13" s="13" t="n">
        <f aca="false">+D13*F13</f>
        <v>0</v>
      </c>
      <c r="H13" s="13" t="n">
        <f aca="false">+E13*F13</f>
        <v>0</v>
      </c>
      <c r="I13" s="16" t="n">
        <f aca="false">+D13*E13/1000000</f>
        <v>0</v>
      </c>
      <c r="J13" s="16" t="n">
        <f aca="false">F13*I13</f>
        <v>0</v>
      </c>
      <c r="K13" s="3"/>
      <c r="L13" s="4"/>
      <c r="M13" s="4"/>
      <c r="N13" s="129"/>
      <c r="O13" s="129"/>
      <c r="P13" s="4"/>
      <c r="Q13" s="4"/>
      <c r="R13" s="4"/>
      <c r="S13" s="4"/>
      <c r="T13" s="4"/>
      <c r="U13" s="4"/>
      <c r="V13" s="126"/>
    </row>
    <row r="14" customFormat="false" ht="17.35" hidden="false" customHeight="false" outlineLevel="0" collapsed="false">
      <c r="B14" s="13" t="n">
        <v>8</v>
      </c>
      <c r="C14" s="14"/>
      <c r="D14" s="15"/>
      <c r="E14" s="15"/>
      <c r="F14" s="13"/>
      <c r="G14" s="13" t="n">
        <f aca="false">+D14*F14</f>
        <v>0</v>
      </c>
      <c r="H14" s="13" t="n">
        <f aca="false">+E14*F14</f>
        <v>0</v>
      </c>
      <c r="I14" s="16" t="n">
        <f aca="false">+D14*E14/1000000</f>
        <v>0</v>
      </c>
      <c r="J14" s="16" t="n">
        <f aca="false">F14*I14</f>
        <v>0</v>
      </c>
      <c r="K14" s="3"/>
      <c r="L14" s="4"/>
      <c r="M14" s="4"/>
      <c r="N14" s="129"/>
      <c r="O14" s="129"/>
      <c r="P14" s="4"/>
      <c r="Q14" s="4"/>
      <c r="R14" s="4"/>
      <c r="S14" s="4"/>
      <c r="T14" s="4"/>
      <c r="U14" s="4"/>
      <c r="V14" s="126"/>
    </row>
    <row r="15" customFormat="false" ht="17.35" hidden="false" customHeight="false" outlineLevel="0" collapsed="false">
      <c r="B15" s="13" t="n">
        <v>9</v>
      </c>
      <c r="C15" s="14"/>
      <c r="D15" s="15"/>
      <c r="E15" s="15"/>
      <c r="F15" s="13"/>
      <c r="G15" s="13" t="n">
        <f aca="false">+D15*F15</f>
        <v>0</v>
      </c>
      <c r="H15" s="13" t="n">
        <f aca="false">+E15*F15</f>
        <v>0</v>
      </c>
      <c r="I15" s="16" t="n">
        <f aca="false">+D15*E15/1000000</f>
        <v>0</v>
      </c>
      <c r="J15" s="16" t="n">
        <f aca="false">F15*I15</f>
        <v>0</v>
      </c>
      <c r="K15" s="3"/>
      <c r="L15" s="4"/>
      <c r="M15" s="4"/>
      <c r="N15" s="129"/>
      <c r="O15" s="129"/>
      <c r="P15" s="4"/>
      <c r="Q15" s="4"/>
      <c r="R15" s="4"/>
      <c r="S15" s="4"/>
      <c r="T15" s="4"/>
      <c r="U15" s="4"/>
      <c r="V15" s="126"/>
    </row>
    <row r="16" customFormat="false" ht="17.35" hidden="false" customHeight="false" outlineLevel="0" collapsed="false">
      <c r="B16" s="13" t="n">
        <v>10</v>
      </c>
      <c r="C16" s="14"/>
      <c r="D16" s="15"/>
      <c r="E16" s="15"/>
      <c r="F16" s="13"/>
      <c r="G16" s="13" t="n">
        <f aca="false">+D16*F16</f>
        <v>0</v>
      </c>
      <c r="H16" s="13" t="n">
        <f aca="false">+E16*F16</f>
        <v>0</v>
      </c>
      <c r="I16" s="16" t="n">
        <f aca="false">+D16*E16/1000000</f>
        <v>0</v>
      </c>
      <c r="J16" s="16" t="n">
        <f aca="false">F16*I16</f>
        <v>0</v>
      </c>
      <c r="K16" s="3"/>
      <c r="L16" s="4"/>
      <c r="M16" s="4"/>
      <c r="N16" s="129"/>
      <c r="O16" s="129"/>
      <c r="P16" s="4"/>
      <c r="Q16" s="4"/>
      <c r="R16" s="4"/>
      <c r="S16" s="4"/>
      <c r="T16" s="4"/>
      <c r="U16" s="4"/>
      <c r="V16" s="126"/>
    </row>
    <row r="17" customFormat="false" ht="17.35" hidden="false" customHeight="false" outlineLevel="0" collapsed="false">
      <c r="B17" s="13" t="n">
        <v>11</v>
      </c>
      <c r="C17" s="14"/>
      <c r="D17" s="15"/>
      <c r="E17" s="15"/>
      <c r="F17" s="13"/>
      <c r="G17" s="13" t="n">
        <f aca="false">+D17*F17</f>
        <v>0</v>
      </c>
      <c r="H17" s="13" t="n">
        <f aca="false">+E17*F17</f>
        <v>0</v>
      </c>
      <c r="I17" s="16" t="n">
        <f aca="false">+D17*E17/1000000</f>
        <v>0</v>
      </c>
      <c r="J17" s="16" t="n">
        <f aca="false">F17*I17</f>
        <v>0</v>
      </c>
      <c r="K17" s="3"/>
      <c r="L17" s="4"/>
      <c r="M17" s="4"/>
      <c r="N17" s="129"/>
      <c r="O17" s="129"/>
      <c r="P17" s="4"/>
      <c r="Q17" s="4"/>
      <c r="R17" s="4"/>
      <c r="S17" s="4"/>
      <c r="T17" s="4"/>
      <c r="U17" s="4"/>
      <c r="V17" s="126"/>
    </row>
    <row r="18" customFormat="false" ht="17.35" hidden="false" customHeight="false" outlineLevel="0" collapsed="false">
      <c r="B18" s="13" t="n">
        <v>12</v>
      </c>
      <c r="C18" s="14"/>
      <c r="D18" s="15"/>
      <c r="E18" s="15"/>
      <c r="F18" s="13"/>
      <c r="G18" s="13" t="n">
        <f aca="false">+D18*F18</f>
        <v>0</v>
      </c>
      <c r="H18" s="13" t="n">
        <f aca="false">+E18*F18</f>
        <v>0</v>
      </c>
      <c r="I18" s="16" t="n">
        <f aca="false">+D18*E18/1000000</f>
        <v>0</v>
      </c>
      <c r="J18" s="16" t="n">
        <f aca="false">F18*I18</f>
        <v>0</v>
      </c>
      <c r="K18" s="3"/>
      <c r="L18" s="4"/>
      <c r="M18" s="4"/>
      <c r="N18" s="129"/>
      <c r="O18" s="129"/>
      <c r="P18" s="4"/>
      <c r="Q18" s="4"/>
      <c r="R18" s="4"/>
      <c r="S18" s="4"/>
      <c r="T18" s="4"/>
      <c r="U18" s="4"/>
      <c r="V18" s="126"/>
    </row>
    <row r="19" customFormat="false" ht="17.35" hidden="false" customHeight="false" outlineLevel="0" collapsed="false">
      <c r="B19" s="13" t="n">
        <v>13</v>
      </c>
      <c r="C19" s="14"/>
      <c r="D19" s="15"/>
      <c r="E19" s="15"/>
      <c r="F19" s="13"/>
      <c r="G19" s="13" t="n">
        <f aca="false">+D19*F19</f>
        <v>0</v>
      </c>
      <c r="H19" s="13" t="n">
        <f aca="false">+E19*F19</f>
        <v>0</v>
      </c>
      <c r="I19" s="16" t="n">
        <f aca="false">+D19*E19/1000000</f>
        <v>0</v>
      </c>
      <c r="J19" s="16" t="n">
        <f aca="false">F19*I19</f>
        <v>0</v>
      </c>
      <c r="K19" s="3"/>
      <c r="L19" s="4"/>
      <c r="M19" s="4"/>
      <c r="N19" s="129"/>
      <c r="O19" s="129"/>
      <c r="P19" s="4"/>
      <c r="Q19" s="4"/>
      <c r="R19" s="4"/>
      <c r="S19" s="4"/>
      <c r="T19" s="4"/>
      <c r="U19" s="4"/>
      <c r="V19" s="126"/>
    </row>
    <row r="20" customFormat="false" ht="17.35" hidden="false" customHeight="false" outlineLevel="0" collapsed="false">
      <c r="B20" s="13" t="n">
        <v>14</v>
      </c>
      <c r="C20" s="14"/>
      <c r="D20" s="15"/>
      <c r="E20" s="15"/>
      <c r="F20" s="13"/>
      <c r="G20" s="13" t="n">
        <f aca="false">+D20*F20</f>
        <v>0</v>
      </c>
      <c r="H20" s="13" t="n">
        <f aca="false">+E20*F20</f>
        <v>0</v>
      </c>
      <c r="I20" s="16" t="n">
        <f aca="false">+D20*E20/1000000</f>
        <v>0</v>
      </c>
      <c r="J20" s="16" t="n">
        <f aca="false">F20*I20</f>
        <v>0</v>
      </c>
      <c r="K20" s="3"/>
      <c r="L20" s="4"/>
      <c r="M20" s="4"/>
      <c r="N20" s="129"/>
      <c r="O20" s="129"/>
      <c r="P20" s="4"/>
      <c r="Q20" s="4"/>
      <c r="R20" s="4"/>
      <c r="S20" s="4"/>
      <c r="T20" s="4"/>
      <c r="U20" s="4"/>
      <c r="V20" s="126"/>
    </row>
    <row r="21" customFormat="false" ht="17.35" hidden="false" customHeight="false" outlineLevel="0" collapsed="false">
      <c r="B21" s="13" t="n">
        <v>15</v>
      </c>
      <c r="C21" s="14"/>
      <c r="D21" s="15"/>
      <c r="E21" s="15"/>
      <c r="F21" s="13"/>
      <c r="G21" s="13" t="n">
        <f aca="false">+D21*F21</f>
        <v>0</v>
      </c>
      <c r="H21" s="13" t="n">
        <f aca="false">+E21*F21</f>
        <v>0</v>
      </c>
      <c r="I21" s="16" t="n">
        <f aca="false">+D21*E21/1000000</f>
        <v>0</v>
      </c>
      <c r="J21" s="16" t="n">
        <f aca="false">F21*I21</f>
        <v>0</v>
      </c>
      <c r="K21" s="3"/>
      <c r="L21" s="4"/>
      <c r="M21" s="4"/>
      <c r="N21" s="129"/>
      <c r="O21" s="129"/>
      <c r="P21" s="4"/>
      <c r="Q21" s="4"/>
      <c r="R21" s="4"/>
      <c r="S21" s="4"/>
      <c r="T21" s="4"/>
      <c r="U21" s="4"/>
      <c r="V21" s="126"/>
    </row>
    <row r="22" customFormat="false" ht="17.35" hidden="false" customHeight="false" outlineLevel="0" collapsed="false">
      <c r="B22" s="13" t="n">
        <v>16</v>
      </c>
      <c r="C22" s="14"/>
      <c r="D22" s="15"/>
      <c r="E22" s="15"/>
      <c r="F22" s="13"/>
      <c r="G22" s="13" t="n">
        <f aca="false">+D22*F22</f>
        <v>0</v>
      </c>
      <c r="H22" s="13" t="n">
        <f aca="false">+E22*F22</f>
        <v>0</v>
      </c>
      <c r="I22" s="16" t="n">
        <f aca="false">+D22*E22/1000000</f>
        <v>0</v>
      </c>
      <c r="J22" s="16" t="n">
        <f aca="false">F22*I22</f>
        <v>0</v>
      </c>
      <c r="K22" s="3"/>
      <c r="L22" s="4"/>
      <c r="M22" s="4"/>
      <c r="N22" s="129"/>
      <c r="O22" s="129"/>
      <c r="P22" s="4"/>
      <c r="Q22" s="4"/>
      <c r="R22" s="4"/>
      <c r="S22" s="4"/>
      <c r="T22" s="4"/>
      <c r="U22" s="4"/>
      <c r="V22" s="126"/>
    </row>
    <row r="23" customFormat="false" ht="17.35" hidden="false" customHeight="false" outlineLevel="0" collapsed="false">
      <c r="B23" s="13" t="n">
        <v>17</v>
      </c>
      <c r="C23" s="14"/>
      <c r="D23" s="15"/>
      <c r="E23" s="15"/>
      <c r="F23" s="13"/>
      <c r="G23" s="13" t="n">
        <f aca="false">+D23*F23</f>
        <v>0</v>
      </c>
      <c r="H23" s="13" t="n">
        <f aca="false">+E23*F23</f>
        <v>0</v>
      </c>
      <c r="I23" s="16" t="n">
        <f aca="false">+D23*E23/1000000</f>
        <v>0</v>
      </c>
      <c r="J23" s="16" t="n">
        <f aca="false">F23*I23</f>
        <v>0</v>
      </c>
      <c r="K23" s="3"/>
      <c r="L23" s="4"/>
      <c r="M23" s="4"/>
      <c r="N23" s="129"/>
      <c r="O23" s="129"/>
      <c r="P23" s="4"/>
      <c r="Q23" s="4"/>
      <c r="R23" s="4"/>
      <c r="S23" s="4" t="s">
        <v>163</v>
      </c>
      <c r="T23" s="4"/>
      <c r="U23" s="4"/>
      <c r="V23" s="126"/>
    </row>
    <row r="24" customFormat="false" ht="17.35" hidden="false" customHeight="false" outlineLevel="0" collapsed="false">
      <c r="B24" s="13" t="n">
        <v>18</v>
      </c>
      <c r="C24" s="14"/>
      <c r="D24" s="15"/>
      <c r="E24" s="15"/>
      <c r="F24" s="13"/>
      <c r="G24" s="13" t="n">
        <f aca="false">+D24*F24</f>
        <v>0</v>
      </c>
      <c r="H24" s="13" t="n">
        <f aca="false">+E24*F24</f>
        <v>0</v>
      </c>
      <c r="I24" s="16" t="n">
        <f aca="false">+D24*E24/1000000</f>
        <v>0</v>
      </c>
      <c r="J24" s="16" t="n">
        <f aca="false">F24*I24</f>
        <v>0</v>
      </c>
      <c r="K24" s="3"/>
      <c r="L24" s="4"/>
      <c r="M24" s="4"/>
      <c r="N24" s="129"/>
      <c r="O24" s="129"/>
      <c r="P24" s="4"/>
      <c r="Q24" s="4"/>
      <c r="R24" s="4"/>
      <c r="S24" s="4"/>
      <c r="T24" s="4"/>
      <c r="U24" s="4"/>
      <c r="V24" s="126"/>
    </row>
    <row r="25" customFormat="false" ht="17.35" hidden="false" customHeight="false" outlineLevel="0" collapsed="false">
      <c r="B25" s="13" t="n">
        <v>19</v>
      </c>
      <c r="C25" s="14"/>
      <c r="D25" s="15"/>
      <c r="E25" s="15"/>
      <c r="F25" s="13"/>
      <c r="G25" s="13" t="n">
        <f aca="false">+D25*F25</f>
        <v>0</v>
      </c>
      <c r="H25" s="13" t="n">
        <f aca="false">+E25*F25</f>
        <v>0</v>
      </c>
      <c r="I25" s="16" t="n">
        <f aca="false">+D25*E25/1000000</f>
        <v>0</v>
      </c>
      <c r="J25" s="16" t="n">
        <f aca="false">F25*I25</f>
        <v>0</v>
      </c>
      <c r="K25" s="3"/>
      <c r="L25" s="4"/>
      <c r="M25" s="4"/>
      <c r="N25" s="129"/>
      <c r="O25" s="129"/>
      <c r="P25" s="4"/>
      <c r="Q25" s="4"/>
      <c r="R25" s="4"/>
      <c r="S25" s="4"/>
      <c r="T25" s="4"/>
      <c r="U25" s="4"/>
      <c r="V25" s="126"/>
    </row>
    <row r="26" customFormat="false" ht="17.35" hidden="false" customHeight="false" outlineLevel="0" collapsed="false">
      <c r="B26" s="13" t="n">
        <v>20</v>
      </c>
      <c r="C26" s="14"/>
      <c r="D26" s="15"/>
      <c r="E26" s="15"/>
      <c r="F26" s="13"/>
      <c r="G26" s="13" t="n">
        <f aca="false">+D26*F26</f>
        <v>0</v>
      </c>
      <c r="H26" s="13" t="n">
        <f aca="false">+E26*F26</f>
        <v>0</v>
      </c>
      <c r="I26" s="16" t="n">
        <f aca="false">+D26*E26/1000000</f>
        <v>0</v>
      </c>
      <c r="J26" s="16" t="n">
        <f aca="false">F26*I26</f>
        <v>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126"/>
    </row>
    <row r="27" customFormat="false" ht="17.35" hidden="false" customHeight="false" outlineLevel="0" collapsed="false">
      <c r="B27" s="13" t="n">
        <v>21</v>
      </c>
      <c r="C27" s="14"/>
      <c r="D27" s="15"/>
      <c r="E27" s="15"/>
      <c r="F27" s="13"/>
      <c r="G27" s="13" t="n">
        <f aca="false">+D27*F27</f>
        <v>0</v>
      </c>
      <c r="H27" s="13" t="n">
        <f aca="false">+E27*F27</f>
        <v>0</v>
      </c>
      <c r="I27" s="16" t="n">
        <f aca="false">+D27*E27/1000000</f>
        <v>0</v>
      </c>
      <c r="J27" s="16" t="n">
        <f aca="false">F27*I27</f>
        <v>0</v>
      </c>
      <c r="K27" s="12"/>
      <c r="L27" s="3"/>
      <c r="M27" s="3"/>
      <c r="N27" s="4"/>
      <c r="O27" s="4"/>
      <c r="P27" s="4"/>
      <c r="Q27" s="12"/>
      <c r="R27" s="12"/>
      <c r="S27" s="12"/>
      <c r="T27" s="12"/>
      <c r="U27" s="12"/>
      <c r="V27" s="12"/>
      <c r="W27" s="12"/>
      <c r="X27" s="4"/>
      <c r="Y27" s="3"/>
    </row>
    <row r="28" customFormat="false" ht="17.35" hidden="false" customHeight="false" outlineLevel="0" collapsed="false">
      <c r="B28" s="13" t="n">
        <v>22</v>
      </c>
      <c r="C28" s="14"/>
      <c r="D28" s="15"/>
      <c r="E28" s="15"/>
      <c r="F28" s="13"/>
      <c r="G28" s="13" t="n">
        <f aca="false">+D28*F28</f>
        <v>0</v>
      </c>
      <c r="H28" s="13" t="n">
        <f aca="false">+E28*F28</f>
        <v>0</v>
      </c>
      <c r="I28" s="16" t="n">
        <f aca="false">+D28*E28/1000000</f>
        <v>0</v>
      </c>
      <c r="J28" s="16" t="n">
        <f aca="false">F28*I28</f>
        <v>0</v>
      </c>
      <c r="K28" s="22"/>
      <c r="L28" s="3"/>
      <c r="M28" s="3"/>
      <c r="N28" s="4"/>
      <c r="O28" s="4"/>
      <c r="P28" s="4"/>
      <c r="Q28" s="4"/>
      <c r="R28" s="4"/>
      <c r="S28" s="4"/>
      <c r="T28" s="21"/>
      <c r="U28" s="21"/>
      <c r="V28" s="22"/>
      <c r="W28" s="22"/>
      <c r="X28" s="4"/>
      <c r="Y28" s="3"/>
    </row>
    <row r="29" customFormat="false" ht="17.35" hidden="false" customHeight="false" outlineLevel="0" collapsed="false">
      <c r="B29" s="13" t="n">
        <v>23</v>
      </c>
      <c r="C29" s="14"/>
      <c r="D29" s="15"/>
      <c r="E29" s="15"/>
      <c r="F29" s="13"/>
      <c r="G29" s="13" t="n">
        <f aca="false">+D29*F29</f>
        <v>0</v>
      </c>
      <c r="H29" s="13" t="n">
        <f aca="false">+E29*F29</f>
        <v>0</v>
      </c>
      <c r="I29" s="16" t="n">
        <f aca="false">+D29*E29/1000000</f>
        <v>0</v>
      </c>
      <c r="J29" s="16" t="n">
        <f aca="false">F29*I29</f>
        <v>0</v>
      </c>
      <c r="K29" s="22"/>
      <c r="L29" s="22"/>
      <c r="M29" s="22"/>
      <c r="N29" s="4"/>
      <c r="O29" s="4"/>
      <c r="P29" s="4"/>
      <c r="Q29" s="4"/>
      <c r="R29" s="4"/>
      <c r="S29" s="4"/>
      <c r="T29" s="21"/>
      <c r="U29" s="21"/>
      <c r="V29" s="22"/>
      <c r="W29" s="22"/>
      <c r="X29" s="126"/>
    </row>
    <row r="30" customFormat="false" ht="17.35" hidden="false" customHeight="false" outlineLevel="0" collapsed="false">
      <c r="B30" s="13" t="n">
        <v>24</v>
      </c>
      <c r="C30" s="14"/>
      <c r="D30" s="15"/>
      <c r="E30" s="15"/>
      <c r="F30" s="13"/>
      <c r="G30" s="13" t="n">
        <f aca="false">+D30*F30</f>
        <v>0</v>
      </c>
      <c r="H30" s="13" t="n">
        <f aca="false">+E30*F30</f>
        <v>0</v>
      </c>
      <c r="I30" s="16" t="n">
        <f aca="false">+D30*E30/1000000</f>
        <v>0</v>
      </c>
      <c r="J30" s="16" t="n">
        <f aca="false">F30*I30</f>
        <v>0</v>
      </c>
      <c r="K30" s="22"/>
      <c r="L30" s="22"/>
      <c r="M30" s="22"/>
      <c r="N30" s="4"/>
      <c r="O30" s="4"/>
      <c r="P30" s="4"/>
      <c r="Q30" s="4"/>
      <c r="R30" s="4"/>
      <c r="S30" s="4"/>
      <c r="T30" s="21"/>
      <c r="U30" s="21"/>
      <c r="V30" s="22"/>
      <c r="W30" s="22"/>
      <c r="X30" s="126"/>
    </row>
    <row r="31" customFormat="false" ht="17.35" hidden="false" customHeight="false" outlineLevel="0" collapsed="false">
      <c r="B31" s="13" t="n">
        <v>25</v>
      </c>
      <c r="C31" s="14"/>
      <c r="D31" s="15"/>
      <c r="E31" s="15"/>
      <c r="F31" s="13"/>
      <c r="G31" s="13" t="n">
        <f aca="false">+D31*F31</f>
        <v>0</v>
      </c>
      <c r="H31" s="13" t="n">
        <f aca="false">+E31*F31</f>
        <v>0</v>
      </c>
      <c r="I31" s="16" t="n">
        <f aca="false">+D31*E31/1000000</f>
        <v>0</v>
      </c>
      <c r="J31" s="16" t="n">
        <f aca="false">F31*I31</f>
        <v>0</v>
      </c>
      <c r="K31" s="22"/>
      <c r="L31" s="22"/>
      <c r="M31" s="22"/>
      <c r="N31" s="4"/>
      <c r="O31" s="4"/>
      <c r="P31" s="4"/>
      <c r="Q31" s="4"/>
      <c r="R31" s="4"/>
      <c r="S31" s="4"/>
      <c r="T31" s="21"/>
      <c r="U31" s="21"/>
      <c r="V31" s="22"/>
      <c r="W31" s="21"/>
      <c r="X31" s="126"/>
    </row>
    <row r="32" customFormat="false" ht="17.35" hidden="false" customHeight="false" outlineLevel="0" collapsed="false">
      <c r="B32" s="13" t="n">
        <v>26</v>
      </c>
      <c r="C32" s="14"/>
      <c r="D32" s="15"/>
      <c r="E32" s="15"/>
      <c r="F32" s="13"/>
      <c r="G32" s="13" t="n">
        <f aca="false">+D32*F32</f>
        <v>0</v>
      </c>
      <c r="H32" s="13" t="n">
        <f aca="false">+E32*F32</f>
        <v>0</v>
      </c>
      <c r="I32" s="16" t="n">
        <f aca="false">+D32*E32/1000000</f>
        <v>0</v>
      </c>
      <c r="J32" s="16" t="n">
        <f aca="false">F32*I32</f>
        <v>0</v>
      </c>
      <c r="K32" s="23"/>
      <c r="L32" s="23"/>
      <c r="M32" s="23"/>
      <c r="N32" s="4"/>
      <c r="O32" s="4"/>
      <c r="P32" s="4"/>
      <c r="Q32" s="4"/>
      <c r="R32" s="4"/>
      <c r="S32" s="4"/>
      <c r="T32" s="21"/>
      <c r="U32" s="21"/>
      <c r="V32" s="22"/>
      <c r="W32" s="21"/>
      <c r="X32" s="126"/>
    </row>
    <row r="33" customFormat="false" ht="17.35" hidden="false" customHeight="false" outlineLevel="0" collapsed="false">
      <c r="B33" s="13" t="n">
        <v>27</v>
      </c>
      <c r="C33" s="14"/>
      <c r="D33" s="15"/>
      <c r="E33" s="15"/>
      <c r="F33" s="13"/>
      <c r="G33" s="13" t="n">
        <f aca="false">+D33*F33</f>
        <v>0</v>
      </c>
      <c r="H33" s="13" t="n">
        <f aca="false">+E33*F33</f>
        <v>0</v>
      </c>
      <c r="I33" s="16" t="n">
        <f aca="false">+D33*E33/1000000</f>
        <v>0</v>
      </c>
      <c r="J33" s="16" t="n">
        <f aca="false">F33*I33</f>
        <v>0</v>
      </c>
      <c r="K33" s="23"/>
      <c r="L33" s="23"/>
      <c r="M33" s="23"/>
      <c r="N33" s="4"/>
      <c r="O33" s="24"/>
      <c r="P33" s="4"/>
      <c r="Q33" s="4"/>
      <c r="R33" s="4"/>
      <c r="S33" s="4"/>
      <c r="T33" s="21"/>
      <c r="U33" s="21"/>
      <c r="V33" s="22"/>
      <c r="W33" s="21"/>
      <c r="X33" s="126"/>
    </row>
    <row r="34" customFormat="false" ht="17.35" hidden="false" customHeight="false" outlineLevel="0" collapsed="false">
      <c r="B34" s="13" t="n">
        <v>28</v>
      </c>
      <c r="C34" s="14"/>
      <c r="D34" s="15"/>
      <c r="E34" s="15"/>
      <c r="F34" s="13"/>
      <c r="G34" s="13" t="n">
        <f aca="false">+D34*F34</f>
        <v>0</v>
      </c>
      <c r="H34" s="13" t="n">
        <f aca="false">+E34*F34</f>
        <v>0</v>
      </c>
      <c r="I34" s="16" t="n">
        <f aca="false">+D34*E34/1000000</f>
        <v>0</v>
      </c>
      <c r="J34" s="16" t="n">
        <f aca="false">F34*I34</f>
        <v>0</v>
      </c>
      <c r="K34" s="23"/>
      <c r="L34" s="23"/>
      <c r="M34" s="23"/>
      <c r="N34" s="24"/>
      <c r="O34" s="24"/>
      <c r="P34" s="4"/>
      <c r="Q34" s="4"/>
      <c r="R34" s="4"/>
      <c r="S34" s="4"/>
      <c r="T34" s="21"/>
      <c r="U34" s="21"/>
      <c r="V34" s="22"/>
      <c r="W34" s="22"/>
      <c r="X34" s="4"/>
      <c r="Y34" s="3"/>
    </row>
    <row r="35" customFormat="false" ht="17.35" hidden="false" customHeight="false" outlineLevel="0" collapsed="false">
      <c r="B35" s="13" t="n">
        <v>29</v>
      </c>
      <c r="C35" s="14"/>
      <c r="D35" s="15"/>
      <c r="E35" s="15"/>
      <c r="F35" s="13"/>
      <c r="G35" s="13" t="n">
        <f aca="false">+D35*F35</f>
        <v>0</v>
      </c>
      <c r="H35" s="13" t="n">
        <f aca="false">+E35*F35</f>
        <v>0</v>
      </c>
      <c r="I35" s="16" t="n">
        <f aca="false">+D35*E35/1000000</f>
        <v>0</v>
      </c>
      <c r="J35" s="16" t="n">
        <f aca="false">F35*I35</f>
        <v>0</v>
      </c>
      <c r="K35" s="23"/>
      <c r="L35" s="23"/>
      <c r="M35" s="23"/>
      <c r="N35" s="24"/>
      <c r="O35" s="24"/>
      <c r="P35" s="130"/>
      <c r="Q35" s="130"/>
      <c r="R35" s="4"/>
      <c r="S35" s="4"/>
      <c r="T35" s="4"/>
      <c r="U35" s="21"/>
      <c r="V35" s="22"/>
      <c r="W35" s="4"/>
      <c r="X35" s="4"/>
      <c r="Y35" s="3"/>
    </row>
    <row r="36" customFormat="false" ht="17.35" hidden="false" customHeight="false" outlineLevel="0" collapsed="false">
      <c r="B36" s="13" t="n">
        <v>30</v>
      </c>
      <c r="C36" s="14"/>
      <c r="D36" s="15"/>
      <c r="E36" s="15"/>
      <c r="F36" s="13"/>
      <c r="G36" s="13" t="n">
        <f aca="false">+D36*F36</f>
        <v>0</v>
      </c>
      <c r="H36" s="13" t="n">
        <f aca="false">+E36*F36</f>
        <v>0</v>
      </c>
      <c r="I36" s="16" t="n">
        <f aca="false">+D36*E36/1000000</f>
        <v>0</v>
      </c>
      <c r="J36" s="16" t="n">
        <f aca="false">F36*I36</f>
        <v>0</v>
      </c>
      <c r="K36" s="3"/>
      <c r="L36" s="3"/>
      <c r="M36" s="3"/>
      <c r="N36" s="4"/>
      <c r="O36" s="24"/>
      <c r="P36" s="24"/>
      <c r="Q36" s="4"/>
      <c r="R36" s="4"/>
      <c r="S36" s="4"/>
      <c r="T36" s="21"/>
      <c r="U36" s="21"/>
      <c r="V36" s="22"/>
      <c r="W36" s="4"/>
      <c r="X36" s="4"/>
    </row>
    <row r="37" customFormat="false" ht="17.35" hidden="false" customHeight="false" outlineLevel="0" collapsed="false">
      <c r="B37" s="13" t="n">
        <v>31</v>
      </c>
      <c r="C37" s="14"/>
      <c r="D37" s="15"/>
      <c r="E37" s="15"/>
      <c r="F37" s="13"/>
      <c r="G37" s="13" t="n">
        <f aca="false">+D37*F37</f>
        <v>0</v>
      </c>
      <c r="H37" s="13" t="n">
        <f aca="false">+E37*F37</f>
        <v>0</v>
      </c>
      <c r="I37" s="16" t="n">
        <f aca="false">+D37*E37/1000000</f>
        <v>0</v>
      </c>
      <c r="J37" s="16" t="n">
        <f aca="false">F37*I37</f>
        <v>0</v>
      </c>
      <c r="K37" s="22"/>
      <c r="L37" s="3"/>
      <c r="M37" s="25"/>
      <c r="N37" s="4"/>
      <c r="O37" s="24"/>
      <c r="P37" s="24"/>
      <c r="Q37" s="4"/>
      <c r="R37" s="4"/>
      <c r="S37" s="4"/>
      <c r="T37" s="21"/>
      <c r="U37" s="21"/>
      <c r="V37" s="22"/>
      <c r="W37" s="4"/>
      <c r="X37" s="126"/>
    </row>
    <row r="38" customFormat="false" ht="17.35" hidden="false" customHeight="false" outlineLevel="0" collapsed="false">
      <c r="B38" s="13" t="n">
        <v>32</v>
      </c>
      <c r="C38" s="14"/>
      <c r="D38" s="15"/>
      <c r="E38" s="15"/>
      <c r="F38" s="13"/>
      <c r="G38" s="13" t="n">
        <f aca="false">+D38*F38</f>
        <v>0</v>
      </c>
      <c r="H38" s="13" t="n">
        <f aca="false">+E38*F38</f>
        <v>0</v>
      </c>
      <c r="I38" s="16" t="n">
        <f aca="false">+D38*E38/1000000</f>
        <v>0</v>
      </c>
      <c r="J38" s="16" t="n">
        <f aca="false">F38*I38</f>
        <v>0</v>
      </c>
      <c r="K38" s="3"/>
      <c r="L38" s="3"/>
      <c r="M38" s="3"/>
      <c r="N38" s="4"/>
      <c r="O38" s="4"/>
      <c r="P38" s="24"/>
      <c r="Q38" s="4"/>
      <c r="R38" s="4"/>
      <c r="S38" s="4"/>
      <c r="T38" s="21"/>
      <c r="U38" s="21"/>
      <c r="V38" s="22"/>
      <c r="W38" s="4"/>
      <c r="X38" s="126"/>
    </row>
    <row r="39" customFormat="false" ht="17.35" hidden="false" customHeight="false" outlineLevel="0" collapsed="false">
      <c r="B39" s="13" t="n">
        <v>33</v>
      </c>
      <c r="C39" s="14"/>
      <c r="D39" s="15"/>
      <c r="E39" s="15"/>
      <c r="F39" s="13"/>
      <c r="G39" s="13" t="n">
        <f aca="false">+D39*F39</f>
        <v>0</v>
      </c>
      <c r="H39" s="13" t="n">
        <f aca="false">+E39*F39</f>
        <v>0</v>
      </c>
      <c r="I39" s="16" t="n">
        <f aca="false">+D39*E39/1000000</f>
        <v>0</v>
      </c>
      <c r="J39" s="16" t="n">
        <f aca="false">F39*I39</f>
        <v>0</v>
      </c>
      <c r="K39" s="3"/>
      <c r="L39" s="3"/>
      <c r="M39" s="3"/>
      <c r="N39" s="4"/>
      <c r="O39" s="4"/>
      <c r="P39" s="4"/>
      <c r="Q39" s="24"/>
      <c r="R39" s="4"/>
      <c r="S39" s="4"/>
      <c r="T39" s="4"/>
      <c r="U39" s="21"/>
      <c r="V39" s="21"/>
      <c r="W39" s="22"/>
      <c r="X39" s="4"/>
    </row>
    <row r="40" customFormat="false" ht="17.35" hidden="false" customHeight="false" outlineLevel="0" collapsed="false">
      <c r="B40" s="13" t="n">
        <v>34</v>
      </c>
      <c r="C40" s="14"/>
      <c r="D40" s="15"/>
      <c r="E40" s="15"/>
      <c r="F40" s="13"/>
      <c r="G40" s="13" t="n">
        <f aca="false">+D40*F40</f>
        <v>0</v>
      </c>
      <c r="H40" s="13" t="n">
        <f aca="false">+E40*F40</f>
        <v>0</v>
      </c>
      <c r="I40" s="16" t="n">
        <f aca="false">+D40*E40/1000000</f>
        <v>0</v>
      </c>
      <c r="J40" s="16" t="n">
        <f aca="false">F40*I40</f>
        <v>0</v>
      </c>
      <c r="K40" s="3"/>
      <c r="L40" s="3"/>
      <c r="M40" s="3"/>
      <c r="N40" s="24"/>
      <c r="O40" s="4"/>
      <c r="P40" s="4"/>
      <c r="Q40" s="24"/>
      <c r="R40" s="4"/>
      <c r="S40" s="4"/>
      <c r="T40" s="4"/>
      <c r="U40" s="21"/>
      <c r="V40" s="21"/>
      <c r="W40" s="28"/>
      <c r="X40" s="4"/>
    </row>
    <row r="41" customFormat="false" ht="17.35" hidden="false" customHeight="false" outlineLevel="0" collapsed="false">
      <c r="B41" s="13" t="n">
        <v>35</v>
      </c>
      <c r="C41" s="14"/>
      <c r="D41" s="15"/>
      <c r="E41" s="15"/>
      <c r="F41" s="13"/>
      <c r="G41" s="13" t="n">
        <f aca="false">+D41*F41</f>
        <v>0</v>
      </c>
      <c r="H41" s="13" t="n">
        <f aca="false">+E41*F41</f>
        <v>0</v>
      </c>
      <c r="I41" s="16" t="n">
        <f aca="false">+D41*E41/1000000</f>
        <v>0</v>
      </c>
      <c r="J41" s="16" t="n">
        <f aca="false">F41*I41</f>
        <v>0</v>
      </c>
      <c r="K41" s="3"/>
      <c r="L41" s="3"/>
      <c r="M41" s="3"/>
      <c r="N41" s="2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17.35" hidden="false" customHeight="false" outlineLevel="0" collapsed="false">
      <c r="B42" s="13" t="n">
        <v>36</v>
      </c>
      <c r="C42" s="14"/>
      <c r="D42" s="15"/>
      <c r="E42" s="15"/>
      <c r="F42" s="13"/>
      <c r="G42" s="13" t="n">
        <f aca="false">+D42*F42</f>
        <v>0</v>
      </c>
      <c r="H42" s="13" t="n">
        <f aca="false">+E42*F42</f>
        <v>0</v>
      </c>
      <c r="I42" s="16" t="n">
        <f aca="false">+D42*E42/1000000</f>
        <v>0</v>
      </c>
      <c r="J42" s="16" t="n">
        <f aca="false">F42*I42</f>
        <v>0</v>
      </c>
      <c r="K42" s="3"/>
      <c r="L42" s="3"/>
      <c r="M42" s="3"/>
      <c r="N42" s="24"/>
      <c r="O42" s="4"/>
      <c r="P42" s="4"/>
      <c r="Q42" s="4"/>
      <c r="R42" s="12"/>
      <c r="S42" s="12"/>
      <c r="T42" s="12"/>
      <c r="U42" s="29"/>
      <c r="V42" s="4"/>
      <c r="W42" s="4"/>
      <c r="X42" s="4"/>
      <c r="Y42" s="3"/>
    </row>
    <row r="43" customFormat="false" ht="17.35" hidden="false" customHeight="false" outlineLevel="0" collapsed="false">
      <c r="B43" s="13" t="n">
        <v>37</v>
      </c>
      <c r="C43" s="14"/>
      <c r="D43" s="15"/>
      <c r="E43" s="15"/>
      <c r="F43" s="13"/>
      <c r="G43" s="13" t="n">
        <f aca="false">+D43*F43</f>
        <v>0</v>
      </c>
      <c r="H43" s="13" t="n">
        <f aca="false">+E43*F43</f>
        <v>0</v>
      </c>
      <c r="I43" s="16" t="n">
        <f aca="false">+D43*E43/1000000</f>
        <v>0</v>
      </c>
      <c r="J43" s="16" t="n">
        <f aca="false">F43*I43</f>
        <v>0</v>
      </c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17.35" hidden="false" customHeight="false" outlineLevel="0" collapsed="false">
      <c r="B44" s="13" t="n">
        <v>38</v>
      </c>
      <c r="C44" s="14"/>
      <c r="D44" s="15"/>
      <c r="E44" s="15"/>
      <c r="F44" s="13"/>
      <c r="G44" s="13" t="n">
        <f aca="false">+D44*F44</f>
        <v>0</v>
      </c>
      <c r="H44" s="13" t="n">
        <f aca="false">+E44*F44</f>
        <v>0</v>
      </c>
      <c r="I44" s="16" t="n">
        <f aca="false">+D44*E44/1000000</f>
        <v>0</v>
      </c>
      <c r="J44" s="16" t="n">
        <f aca="false">F44*I44</f>
        <v>0</v>
      </c>
      <c r="K44" s="3"/>
      <c r="L44" s="3"/>
      <c r="M44" s="3"/>
      <c r="N44" s="11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17.35" hidden="false" customHeight="false" outlineLevel="0" collapsed="false">
      <c r="B45" s="13" t="n">
        <v>39</v>
      </c>
      <c r="C45" s="14"/>
      <c r="D45" s="15"/>
      <c r="E45" s="15"/>
      <c r="F45" s="13"/>
      <c r="G45" s="13" t="n">
        <f aca="false">+D45*F45</f>
        <v>0</v>
      </c>
      <c r="H45" s="13" t="n">
        <f aca="false">+E45*F45</f>
        <v>0</v>
      </c>
      <c r="I45" s="16" t="n">
        <f aca="false">+D45*E45/1000000</f>
        <v>0</v>
      </c>
      <c r="J45" s="16" t="n">
        <f aca="false">F45*I45</f>
        <v>0</v>
      </c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126"/>
    </row>
    <row r="46" customFormat="false" ht="17.35" hidden="false" customHeight="false" outlineLevel="0" collapsed="false">
      <c r="B46" s="13" t="n">
        <v>40</v>
      </c>
      <c r="C46" s="14"/>
      <c r="D46" s="15"/>
      <c r="E46" s="15"/>
      <c r="F46" s="13"/>
      <c r="G46" s="13" t="n">
        <f aca="false">+D46*F46</f>
        <v>0</v>
      </c>
      <c r="H46" s="13" t="n">
        <f aca="false">+E46*F46</f>
        <v>0</v>
      </c>
      <c r="I46" s="16" t="n">
        <f aca="false">+D46*E46/1000000</f>
        <v>0</v>
      </c>
      <c r="J46" s="16" t="n">
        <f aca="false">F46*I46</f>
        <v>0</v>
      </c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126"/>
    </row>
    <row r="47" customFormat="false" ht="17.35" hidden="false" customHeight="false" outlineLevel="0" collapsed="false">
      <c r="B47" s="13" t="n">
        <v>41</v>
      </c>
      <c r="C47" s="14"/>
      <c r="D47" s="15"/>
      <c r="E47" s="15"/>
      <c r="F47" s="13"/>
      <c r="G47" s="13" t="n">
        <f aca="false">+D47*F47</f>
        <v>0</v>
      </c>
      <c r="H47" s="13" t="n">
        <f aca="false">+E47*F47</f>
        <v>0</v>
      </c>
      <c r="I47" s="16" t="n">
        <f aca="false">+D47*E47/1000000</f>
        <v>0</v>
      </c>
      <c r="J47" s="16" t="n">
        <f aca="false">F47*I47</f>
        <v>0</v>
      </c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126"/>
    </row>
    <row r="48" customFormat="false" ht="17.35" hidden="false" customHeight="false" outlineLevel="0" collapsed="false">
      <c r="B48" s="13" t="n">
        <v>42</v>
      </c>
      <c r="C48" s="14"/>
      <c r="D48" s="15"/>
      <c r="E48" s="15"/>
      <c r="F48" s="13"/>
      <c r="G48" s="13" t="n">
        <f aca="false">+D48*F48</f>
        <v>0</v>
      </c>
      <c r="H48" s="13" t="n">
        <f aca="false">+E48*F48</f>
        <v>0</v>
      </c>
      <c r="I48" s="16" t="n">
        <f aca="false">+D48*E48/1000000</f>
        <v>0</v>
      </c>
      <c r="J48" s="16" t="n">
        <f aca="false">F48*I48</f>
        <v>0</v>
      </c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126"/>
    </row>
    <row r="49" customFormat="false" ht="17.35" hidden="false" customHeight="false" outlineLevel="0" collapsed="false">
      <c r="B49" s="13" t="n">
        <v>43</v>
      </c>
      <c r="C49" s="14"/>
      <c r="D49" s="15"/>
      <c r="E49" s="15"/>
      <c r="F49" s="13"/>
      <c r="G49" s="13" t="n">
        <f aca="false">+D49*F49</f>
        <v>0</v>
      </c>
      <c r="H49" s="13" t="n">
        <f aca="false">+E49*F49</f>
        <v>0</v>
      </c>
      <c r="I49" s="16" t="n">
        <f aca="false">+D49*E49/1000000</f>
        <v>0</v>
      </c>
      <c r="J49" s="16" t="n">
        <f aca="false">F49*I49</f>
        <v>0</v>
      </c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126"/>
    </row>
    <row r="50" customFormat="false" ht="17.35" hidden="false" customHeight="false" outlineLevel="0" collapsed="false">
      <c r="B50" s="13" t="n">
        <v>44</v>
      </c>
      <c r="C50" s="14"/>
      <c r="D50" s="15"/>
      <c r="E50" s="15"/>
      <c r="F50" s="13"/>
      <c r="G50" s="13" t="n">
        <f aca="false">+D50*F50</f>
        <v>0</v>
      </c>
      <c r="H50" s="13" t="n">
        <f aca="false">+E50*F50</f>
        <v>0</v>
      </c>
      <c r="I50" s="16" t="n">
        <f aca="false">+D50*E50/1000000</f>
        <v>0</v>
      </c>
      <c r="J50" s="16" t="n">
        <f aca="false">F50*I50</f>
        <v>0</v>
      </c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126"/>
    </row>
    <row r="51" customFormat="false" ht="17.35" hidden="false" customHeight="false" outlineLevel="0" collapsed="false">
      <c r="B51" s="13" t="n">
        <v>45</v>
      </c>
      <c r="C51" s="14"/>
      <c r="D51" s="15"/>
      <c r="E51" s="15"/>
      <c r="F51" s="13"/>
      <c r="G51" s="13" t="n">
        <f aca="false">+D51*F51</f>
        <v>0</v>
      </c>
      <c r="H51" s="13" t="n">
        <f aca="false">+E51*F51</f>
        <v>0</v>
      </c>
      <c r="I51" s="16" t="n">
        <f aca="false">+D51*E51/1000000</f>
        <v>0</v>
      </c>
      <c r="J51" s="16" t="n">
        <f aca="false">F51*I51</f>
        <v>0</v>
      </c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126"/>
    </row>
    <row r="52" customFormat="false" ht="17.35" hidden="false" customHeight="false" outlineLevel="0" collapsed="false">
      <c r="B52" s="13" t="n">
        <v>46</v>
      </c>
      <c r="C52" s="14"/>
      <c r="D52" s="15"/>
      <c r="E52" s="15"/>
      <c r="F52" s="13"/>
      <c r="G52" s="13" t="n">
        <f aca="false">+D52*F52</f>
        <v>0</v>
      </c>
      <c r="H52" s="13" t="n">
        <f aca="false">+E52*F52</f>
        <v>0</v>
      </c>
      <c r="I52" s="16" t="n">
        <f aca="false">+D52*E52/1000000</f>
        <v>0</v>
      </c>
      <c r="J52" s="16" t="n">
        <f aca="false">F52*I52</f>
        <v>0</v>
      </c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126"/>
    </row>
    <row r="53" customFormat="false" ht="17.35" hidden="false" customHeight="false" outlineLevel="0" collapsed="false">
      <c r="B53" s="13" t="n">
        <v>47</v>
      </c>
      <c r="C53" s="14"/>
      <c r="D53" s="15"/>
      <c r="E53" s="15"/>
      <c r="F53" s="13"/>
      <c r="G53" s="13" t="n">
        <f aca="false">+D53*F53</f>
        <v>0</v>
      </c>
      <c r="H53" s="13" t="n">
        <f aca="false">+E53*F53</f>
        <v>0</v>
      </c>
      <c r="I53" s="16" t="n">
        <f aca="false">+D53*E53/1000000</f>
        <v>0</v>
      </c>
      <c r="J53" s="16" t="n">
        <f aca="false">F53*I53</f>
        <v>0</v>
      </c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126"/>
    </row>
    <row r="54" customFormat="false" ht="17.35" hidden="false" customHeight="false" outlineLevel="0" collapsed="false">
      <c r="B54" s="13" t="n">
        <v>48</v>
      </c>
      <c r="C54" s="14"/>
      <c r="D54" s="15"/>
      <c r="E54" s="15"/>
      <c r="F54" s="13"/>
      <c r="G54" s="13" t="n">
        <f aca="false">+D54*F54</f>
        <v>0</v>
      </c>
      <c r="H54" s="13" t="n">
        <f aca="false">+E54*F54</f>
        <v>0</v>
      </c>
      <c r="I54" s="16" t="n">
        <f aca="false">+D54*E54/1000000</f>
        <v>0</v>
      </c>
      <c r="J54" s="16" t="n">
        <f aca="false">F54*I54</f>
        <v>0</v>
      </c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126"/>
    </row>
    <row r="55" customFormat="false" ht="17.35" hidden="false" customHeight="false" outlineLevel="0" collapsed="false">
      <c r="B55" s="13" t="n">
        <v>49</v>
      </c>
      <c r="C55" s="14"/>
      <c r="D55" s="15"/>
      <c r="E55" s="15"/>
      <c r="F55" s="13"/>
      <c r="G55" s="13" t="n">
        <f aca="false">+D55*F55</f>
        <v>0</v>
      </c>
      <c r="H55" s="13" t="n">
        <f aca="false">+E55*F55</f>
        <v>0</v>
      </c>
      <c r="I55" s="16" t="n">
        <f aca="false">+D55*E55/1000000</f>
        <v>0</v>
      </c>
      <c r="J55" s="16" t="n">
        <f aca="false">F55*I55</f>
        <v>0</v>
      </c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126"/>
    </row>
    <row r="56" customFormat="false" ht="17.35" hidden="false" customHeight="false" outlineLevel="0" collapsed="false">
      <c r="B56" s="13" t="n">
        <v>50</v>
      </c>
      <c r="C56" s="14"/>
      <c r="D56" s="15"/>
      <c r="E56" s="15"/>
      <c r="F56" s="13"/>
      <c r="G56" s="13" t="n">
        <f aca="false">+D56*F56</f>
        <v>0</v>
      </c>
      <c r="H56" s="13" t="n">
        <f aca="false">+E56*F56</f>
        <v>0</v>
      </c>
      <c r="I56" s="16" t="n">
        <f aca="false">+D56*E56/1000000</f>
        <v>0</v>
      </c>
      <c r="J56" s="16" t="n">
        <f aca="false">F56*I56</f>
        <v>0</v>
      </c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126"/>
    </row>
    <row r="57" customFormat="false" ht="17.35" hidden="false" customHeight="false" outlineLevel="0" collapsed="false">
      <c r="B57" s="13" t="n">
        <v>51</v>
      </c>
      <c r="C57" s="14"/>
      <c r="D57" s="15"/>
      <c r="E57" s="15"/>
      <c r="F57" s="13"/>
      <c r="G57" s="13" t="n">
        <f aca="false">+D57*F57</f>
        <v>0</v>
      </c>
      <c r="H57" s="13" t="n">
        <f aca="false">+E57*F57</f>
        <v>0</v>
      </c>
      <c r="I57" s="16" t="n">
        <f aca="false">+D57*E57/1000000</f>
        <v>0</v>
      </c>
      <c r="J57" s="16" t="n">
        <f aca="false">F57*I57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7.35" hidden="false" customHeight="false" outlineLevel="0" collapsed="false">
      <c r="B58" s="13" t="n">
        <v>52</v>
      </c>
      <c r="C58" s="14"/>
      <c r="D58" s="15"/>
      <c r="E58" s="15"/>
      <c r="F58" s="13"/>
      <c r="G58" s="13" t="n">
        <f aca="false">+D58*F58</f>
        <v>0</v>
      </c>
      <c r="H58" s="13" t="n">
        <f aca="false">+E58*F58</f>
        <v>0</v>
      </c>
      <c r="I58" s="16" t="n">
        <f aca="false">+D58*E58/1000000</f>
        <v>0</v>
      </c>
      <c r="J58" s="16" t="n">
        <f aca="false">F58*I58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7.35" hidden="false" customHeight="false" outlineLevel="0" collapsed="false">
      <c r="B59" s="13" t="n">
        <v>53</v>
      </c>
      <c r="C59" s="14"/>
      <c r="D59" s="15"/>
      <c r="E59" s="15"/>
      <c r="F59" s="13"/>
      <c r="G59" s="13" t="n">
        <f aca="false">+D59*F59</f>
        <v>0</v>
      </c>
      <c r="H59" s="13" t="n">
        <f aca="false">+E59*F59</f>
        <v>0</v>
      </c>
      <c r="I59" s="16" t="n">
        <f aca="false">+D59*E59/1000000</f>
        <v>0</v>
      </c>
      <c r="J59" s="16" t="n">
        <f aca="false">F59*I59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7.35" hidden="false" customHeight="false" outlineLevel="0" collapsed="false">
      <c r="B60" s="13" t="n">
        <v>54</v>
      </c>
      <c r="C60" s="14"/>
      <c r="D60" s="15"/>
      <c r="E60" s="15"/>
      <c r="F60" s="13"/>
      <c r="G60" s="13" t="n">
        <f aca="false">+D60*F60</f>
        <v>0</v>
      </c>
      <c r="H60" s="13" t="n">
        <f aca="false">+E60*F60</f>
        <v>0</v>
      </c>
      <c r="I60" s="16" t="n">
        <f aca="false">+D60*E60/1000000</f>
        <v>0</v>
      </c>
      <c r="J60" s="16" t="n">
        <f aca="false">F60*I60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7.35" hidden="false" customHeight="false" outlineLevel="0" collapsed="false">
      <c r="B61" s="13" t="n">
        <v>55</v>
      </c>
      <c r="C61" s="14"/>
      <c r="D61" s="15"/>
      <c r="E61" s="15"/>
      <c r="F61" s="13"/>
      <c r="G61" s="13" t="n">
        <f aca="false">+D61*F61</f>
        <v>0</v>
      </c>
      <c r="H61" s="13" t="n">
        <f aca="false">+E61*F61</f>
        <v>0</v>
      </c>
      <c r="I61" s="16" t="n">
        <f aca="false">+D61*E61/1000000</f>
        <v>0</v>
      </c>
      <c r="J61" s="16" t="n">
        <f aca="false">F61*I61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7.35" hidden="false" customHeight="false" outlineLevel="0" collapsed="false">
      <c r="B62" s="13" t="n">
        <v>56</v>
      </c>
      <c r="C62" s="14"/>
      <c r="D62" s="15"/>
      <c r="E62" s="15"/>
      <c r="F62" s="13"/>
      <c r="G62" s="13" t="n">
        <f aca="false">+D62*F62</f>
        <v>0</v>
      </c>
      <c r="H62" s="13" t="n">
        <f aca="false">+E62*F62</f>
        <v>0</v>
      </c>
      <c r="I62" s="16" t="n">
        <f aca="false">+D62*E62/1000000</f>
        <v>0</v>
      </c>
      <c r="J62" s="16" t="n">
        <f aca="false">F62*I62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7.35" hidden="false" customHeight="false" outlineLevel="0" collapsed="false">
      <c r="B63" s="13" t="n">
        <v>57</v>
      </c>
      <c r="C63" s="14"/>
      <c r="D63" s="15"/>
      <c r="E63" s="15"/>
      <c r="F63" s="13"/>
      <c r="G63" s="13" t="n">
        <f aca="false">+D63*F63</f>
        <v>0</v>
      </c>
      <c r="H63" s="13" t="n">
        <f aca="false">+E63*F63</f>
        <v>0</v>
      </c>
      <c r="I63" s="16" t="n">
        <f aca="false">+D63*E63/1000000</f>
        <v>0</v>
      </c>
      <c r="J63" s="16" t="n">
        <f aca="false">F63*I63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7.35" hidden="false" customHeight="false" outlineLevel="0" collapsed="false">
      <c r="B64" s="13" t="n">
        <v>58</v>
      </c>
      <c r="C64" s="14"/>
      <c r="D64" s="15"/>
      <c r="E64" s="15"/>
      <c r="F64" s="13"/>
      <c r="G64" s="13" t="n">
        <f aca="false">+D64*F64</f>
        <v>0</v>
      </c>
      <c r="H64" s="13" t="n">
        <f aca="false">+E64*F64</f>
        <v>0</v>
      </c>
      <c r="I64" s="16" t="n">
        <f aca="false">+D64*E64/1000000</f>
        <v>0</v>
      </c>
      <c r="J64" s="16" t="n">
        <f aca="false">F64*I64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7.35" hidden="false" customHeight="false" outlineLevel="0" collapsed="false">
      <c r="B65" s="13" t="n">
        <v>2</v>
      </c>
      <c r="C65" s="14" t="s">
        <v>18</v>
      </c>
      <c r="D65" s="15"/>
      <c r="E65" s="15"/>
      <c r="F65" s="13"/>
      <c r="G65" s="13" t="n">
        <f aca="false">+D65*F65</f>
        <v>0</v>
      </c>
      <c r="H65" s="13" t="n">
        <f aca="false">+E65*F65</f>
        <v>0</v>
      </c>
      <c r="I65" s="16" t="n">
        <f aca="false">+D65*E65/1000000</f>
        <v>0</v>
      </c>
      <c r="J65" s="17" t="n">
        <f aca="false">+F65*I65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7.35" hidden="false" customHeight="false" outlineLevel="0" collapsed="false">
      <c r="B66" s="13" t="n">
        <v>3</v>
      </c>
      <c r="C66" s="14" t="s">
        <v>18</v>
      </c>
      <c r="D66" s="15"/>
      <c r="E66" s="15"/>
      <c r="F66" s="13"/>
      <c r="G66" s="13" t="n">
        <f aca="false">+D66*F66</f>
        <v>0</v>
      </c>
      <c r="H66" s="13" t="n">
        <f aca="false">+E66*F66</f>
        <v>0</v>
      </c>
      <c r="I66" s="16" t="n">
        <f aca="false">+D66*E66/1000000</f>
        <v>0</v>
      </c>
      <c r="J66" s="17" t="n">
        <f aca="false">+F66*I66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7.35" hidden="false" customHeight="false" outlineLevel="0" collapsed="false">
      <c r="B67" s="13" t="n">
        <v>4</v>
      </c>
      <c r="C67" s="14" t="s">
        <v>18</v>
      </c>
      <c r="D67" s="15"/>
      <c r="E67" s="15"/>
      <c r="F67" s="13"/>
      <c r="G67" s="13" t="n">
        <f aca="false">+D67*F67</f>
        <v>0</v>
      </c>
      <c r="H67" s="13" t="n">
        <f aca="false">+E67*F67</f>
        <v>0</v>
      </c>
      <c r="I67" s="16" t="n">
        <f aca="false">+D67*E67/1000000</f>
        <v>0</v>
      </c>
      <c r="J67" s="17" t="n">
        <f aca="false">+F67*I67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7.35" hidden="false" customHeight="false" outlineLevel="0" collapsed="false">
      <c r="B68" s="13" t="n">
        <v>5</v>
      </c>
      <c r="C68" s="14" t="s">
        <v>18</v>
      </c>
      <c r="D68" s="15"/>
      <c r="E68" s="15"/>
      <c r="F68" s="13"/>
      <c r="G68" s="13" t="n">
        <f aca="false">+D68*F68</f>
        <v>0</v>
      </c>
      <c r="H68" s="13" t="n">
        <f aca="false">+E68*F68</f>
        <v>0</v>
      </c>
      <c r="I68" s="16" t="n">
        <f aca="false">+D68*E68/1000000</f>
        <v>0</v>
      </c>
      <c r="J68" s="17" t="n">
        <f aca="false">+F68*I68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7.35" hidden="false" customHeight="false" outlineLevel="0" collapsed="false">
      <c r="B69" s="13" t="n">
        <v>6</v>
      </c>
      <c r="C69" s="14" t="s">
        <v>18</v>
      </c>
      <c r="D69" s="15"/>
      <c r="E69" s="15"/>
      <c r="F69" s="13"/>
      <c r="G69" s="13" t="n">
        <f aca="false">+D69*F69</f>
        <v>0</v>
      </c>
      <c r="H69" s="13" t="n">
        <f aca="false">+E69*F69</f>
        <v>0</v>
      </c>
      <c r="I69" s="16" t="n">
        <f aca="false">+D69*E69/1000000</f>
        <v>0</v>
      </c>
      <c r="J69" s="17" t="n">
        <f aca="false">+F69*I69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7.35" hidden="false" customHeight="false" outlineLevel="0" collapsed="false">
      <c r="B70" s="13" t="n">
        <v>7</v>
      </c>
      <c r="C70" s="14" t="s">
        <v>18</v>
      </c>
      <c r="D70" s="15"/>
      <c r="E70" s="15"/>
      <c r="F70" s="13"/>
      <c r="G70" s="13" t="n">
        <f aca="false">+D70*F70</f>
        <v>0</v>
      </c>
      <c r="H70" s="13" t="n">
        <f aca="false">+E70*F70</f>
        <v>0</v>
      </c>
      <c r="I70" s="16" t="n">
        <f aca="false">+D70*E70/1000000</f>
        <v>0</v>
      </c>
      <c r="J70" s="17" t="n">
        <f aca="false">+F70*I70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7.35" hidden="false" customHeight="false" outlineLevel="0" collapsed="false">
      <c r="B71" s="13" t="n">
        <v>8</v>
      </c>
      <c r="C71" s="14" t="s">
        <v>18</v>
      </c>
      <c r="D71" s="15"/>
      <c r="E71" s="15"/>
      <c r="F71" s="13"/>
      <c r="G71" s="13" t="n">
        <f aca="false">+D71*F71</f>
        <v>0</v>
      </c>
      <c r="H71" s="13" t="n">
        <f aca="false">+E71*F71</f>
        <v>0</v>
      </c>
      <c r="I71" s="16" t="n">
        <f aca="false">+D71*E71/1000000</f>
        <v>0</v>
      </c>
      <c r="J71" s="17" t="n">
        <f aca="false">+F71*I71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7.35" hidden="false" customHeight="false" outlineLevel="0" collapsed="false">
      <c r="B72" s="13" t="n">
        <v>9</v>
      </c>
      <c r="C72" s="14" t="s">
        <v>18</v>
      </c>
      <c r="D72" s="15"/>
      <c r="E72" s="15"/>
      <c r="F72" s="13"/>
      <c r="G72" s="13" t="n">
        <f aca="false">+D72*F72</f>
        <v>0</v>
      </c>
      <c r="H72" s="13" t="n">
        <f aca="false">+E72*F72</f>
        <v>0</v>
      </c>
      <c r="I72" s="16" t="n">
        <f aca="false">+D72*E72/1000000</f>
        <v>0</v>
      </c>
      <c r="J72" s="17" t="n">
        <f aca="false">+F72*I72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7.35" hidden="false" customHeight="false" outlineLevel="0" collapsed="false">
      <c r="B73" s="13" t="n">
        <v>10</v>
      </c>
      <c r="C73" s="14" t="s">
        <v>18</v>
      </c>
      <c r="D73" s="15"/>
      <c r="E73" s="15"/>
      <c r="F73" s="13"/>
      <c r="G73" s="13" t="n">
        <f aca="false">+D73*F73</f>
        <v>0</v>
      </c>
      <c r="H73" s="13" t="n">
        <f aca="false">+E73*F73</f>
        <v>0</v>
      </c>
      <c r="I73" s="16" t="n">
        <f aca="false">+D73*E73/1000000</f>
        <v>0</v>
      </c>
      <c r="J73" s="17" t="n">
        <f aca="false">+F73*I73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7.35" hidden="false" customHeight="false" outlineLevel="0" collapsed="false">
      <c r="B74" s="13" t="n">
        <v>11</v>
      </c>
      <c r="C74" s="14" t="s">
        <v>18</v>
      </c>
      <c r="D74" s="15"/>
      <c r="E74" s="15"/>
      <c r="F74" s="13"/>
      <c r="G74" s="13" t="n">
        <f aca="false">+D74*F74</f>
        <v>0</v>
      </c>
      <c r="H74" s="13" t="n">
        <f aca="false">+E74*F74</f>
        <v>0</v>
      </c>
      <c r="I74" s="16" t="n">
        <f aca="false">+D74*E74/1000000</f>
        <v>0</v>
      </c>
      <c r="J74" s="17" t="n">
        <f aca="false">+F74*I74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7.35" hidden="false" customHeight="false" outlineLevel="0" collapsed="false">
      <c r="B75" s="13" t="n">
        <v>12</v>
      </c>
      <c r="C75" s="14" t="s">
        <v>18</v>
      </c>
      <c r="D75" s="15"/>
      <c r="E75" s="15"/>
      <c r="F75" s="13"/>
      <c r="G75" s="13" t="n">
        <f aca="false">+D75*F75</f>
        <v>0</v>
      </c>
      <c r="H75" s="13" t="n">
        <f aca="false">+E75*F75</f>
        <v>0</v>
      </c>
      <c r="I75" s="16" t="n">
        <f aca="false">+D75*E75/1000000</f>
        <v>0</v>
      </c>
      <c r="J75" s="17" t="n">
        <f aca="false">+F75*I75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7.35" hidden="false" customHeight="false" outlineLevel="0" collapsed="false">
      <c r="B76" s="13" t="n">
        <v>13</v>
      </c>
      <c r="C76" s="14" t="s">
        <v>18</v>
      </c>
      <c r="D76" s="15"/>
      <c r="E76" s="15"/>
      <c r="F76" s="13"/>
      <c r="G76" s="13" t="n">
        <f aca="false">+D76*F76</f>
        <v>0</v>
      </c>
      <c r="H76" s="13" t="n">
        <f aca="false">+E76*F76</f>
        <v>0</v>
      </c>
      <c r="I76" s="16" t="n">
        <f aca="false">+D76*E76/1000000</f>
        <v>0</v>
      </c>
      <c r="J76" s="17" t="n">
        <f aca="false">+F76*I76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7.35" hidden="false" customHeight="false" outlineLevel="0" collapsed="false">
      <c r="B77" s="13" t="n">
        <v>14</v>
      </c>
      <c r="C77" s="14" t="s">
        <v>18</v>
      </c>
      <c r="D77" s="15"/>
      <c r="E77" s="15"/>
      <c r="F77" s="13"/>
      <c r="G77" s="13" t="n">
        <f aca="false">+D77*F77</f>
        <v>0</v>
      </c>
      <c r="H77" s="13" t="n">
        <f aca="false">+E77*F77</f>
        <v>0</v>
      </c>
      <c r="I77" s="16" t="n">
        <f aca="false">+D77*E77/1000000</f>
        <v>0</v>
      </c>
      <c r="J77" s="17" t="n">
        <f aca="false">+F77*I77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7.35" hidden="false" customHeight="false" outlineLevel="0" collapsed="false">
      <c r="B78" s="13" t="n">
        <v>15</v>
      </c>
      <c r="C78" s="14" t="s">
        <v>18</v>
      </c>
      <c r="D78" s="15"/>
      <c r="E78" s="15"/>
      <c r="F78" s="13"/>
      <c r="G78" s="13" t="n">
        <f aca="false">+D78*F78</f>
        <v>0</v>
      </c>
      <c r="H78" s="13" t="n">
        <f aca="false">+E78*F78</f>
        <v>0</v>
      </c>
      <c r="I78" s="16" t="n">
        <f aca="false">+D78*E78/1000000</f>
        <v>0</v>
      </c>
      <c r="J78" s="17" t="n">
        <f aca="false">+F78*I78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7.35" hidden="false" customHeight="false" outlineLevel="0" collapsed="false">
      <c r="B79" s="13" t="n">
        <v>16</v>
      </c>
      <c r="C79" s="14" t="s">
        <v>18</v>
      </c>
      <c r="D79" s="15" t="n">
        <v>0</v>
      </c>
      <c r="E79" s="15" t="n">
        <v>0</v>
      </c>
      <c r="F79" s="13"/>
      <c r="G79" s="13" t="n">
        <f aca="false">+D79*F79</f>
        <v>0</v>
      </c>
      <c r="H79" s="13" t="n">
        <f aca="false">+E79*F79</f>
        <v>0</v>
      </c>
      <c r="I79" s="16" t="n">
        <f aca="false">+D79*E79/1000000</f>
        <v>0</v>
      </c>
      <c r="J79" s="17" t="n">
        <f aca="false">+F79*I79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7.35" hidden="false" customHeight="false" outlineLevel="0" collapsed="false">
      <c r="B80" s="13" t="n">
        <v>17</v>
      </c>
      <c r="C80" s="14" t="s">
        <v>18</v>
      </c>
      <c r="D80" s="15" t="n">
        <v>0</v>
      </c>
      <c r="E80" s="15" t="n">
        <v>0</v>
      </c>
      <c r="F80" s="13"/>
      <c r="G80" s="13" t="n">
        <f aca="false">+D80*F80</f>
        <v>0</v>
      </c>
      <c r="H80" s="13" t="n">
        <f aca="false">+E80*F80</f>
        <v>0</v>
      </c>
      <c r="I80" s="16" t="n">
        <f aca="false">+D80*E80/1000000</f>
        <v>0</v>
      </c>
      <c r="J80" s="17" t="n">
        <f aca="false">+F80*I80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7.35" hidden="false" customHeight="false" outlineLevel="0" collapsed="false">
      <c r="B81" s="13" t="n">
        <v>18</v>
      </c>
      <c r="C81" s="14" t="s">
        <v>18</v>
      </c>
      <c r="D81" s="15" t="n">
        <v>0</v>
      </c>
      <c r="E81" s="15" t="n">
        <v>0</v>
      </c>
      <c r="F81" s="13"/>
      <c r="G81" s="13" t="n">
        <f aca="false">+D81*F81</f>
        <v>0</v>
      </c>
      <c r="H81" s="13" t="n">
        <f aca="false">+E81*F81</f>
        <v>0</v>
      </c>
      <c r="I81" s="16" t="n">
        <f aca="false">+D81*E81/1000000</f>
        <v>0</v>
      </c>
      <c r="J81" s="17" t="n">
        <f aca="false">+F81*I81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7.35" hidden="false" customHeight="false" outlineLevel="0" collapsed="false">
      <c r="B82" s="13" t="n">
        <v>19</v>
      </c>
      <c r="C82" s="14" t="s">
        <v>18</v>
      </c>
      <c r="D82" s="15" t="n">
        <v>0</v>
      </c>
      <c r="E82" s="15" t="n">
        <v>0</v>
      </c>
      <c r="F82" s="13"/>
      <c r="G82" s="13" t="n">
        <f aca="false">+D82*F82</f>
        <v>0</v>
      </c>
      <c r="H82" s="13" t="n">
        <f aca="false">+E82*F82</f>
        <v>0</v>
      </c>
      <c r="I82" s="16" t="n">
        <f aca="false">+D82*E82/1000000</f>
        <v>0</v>
      </c>
      <c r="J82" s="17" t="n">
        <f aca="false">+F82*I82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7.35" hidden="false" customHeight="false" outlineLevel="0" collapsed="false">
      <c r="B83" s="13" t="n">
        <v>20</v>
      </c>
      <c r="C83" s="14" t="s">
        <v>18</v>
      </c>
      <c r="D83" s="15" t="n">
        <v>0</v>
      </c>
      <c r="E83" s="15" t="n">
        <v>0</v>
      </c>
      <c r="F83" s="13"/>
      <c r="G83" s="13" t="n">
        <f aca="false">+D83*F83</f>
        <v>0</v>
      </c>
      <c r="H83" s="13" t="n">
        <f aca="false">+E83*F83</f>
        <v>0</v>
      </c>
      <c r="I83" s="16" t="n">
        <f aca="false">+D83*E83/1000000</f>
        <v>0</v>
      </c>
      <c r="J83" s="17" t="n">
        <f aca="false">+F83*I83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7.35" hidden="false" customHeight="false" outlineLevel="0" collapsed="false">
      <c r="B84" s="31" t="s">
        <v>19</v>
      </c>
      <c r="C84" s="31"/>
      <c r="D84" s="32" t="n">
        <f aca="false">SUM(D6:D83)</f>
        <v>700</v>
      </c>
      <c r="E84" s="33" t="n">
        <f aca="false">SUM(E6:E83)</f>
        <v>1200</v>
      </c>
      <c r="F84" s="34" t="n">
        <f aca="false">SUM(F6:F83)</f>
        <v>5</v>
      </c>
      <c r="G84" s="32" t="n">
        <f aca="false">SUM(G6:G83)</f>
        <v>3500</v>
      </c>
      <c r="H84" s="32" t="n">
        <f aca="false">SUM(H6:H83)</f>
        <v>6000</v>
      </c>
      <c r="I84" s="36" t="n">
        <f aca="false">SUM(I6:I83)</f>
        <v>0.84</v>
      </c>
      <c r="J84" s="37" t="n">
        <f aca="false">SUM(J6:J83)</f>
        <v>4.2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7.35" hidden="false" customHeight="false" outlineLevel="0" collapsed="false">
      <c r="B85" s="4"/>
      <c r="C85" s="4"/>
      <c r="D85" s="4"/>
      <c r="E85" s="38"/>
      <c r="F85" s="39"/>
      <c r="G85" s="39"/>
      <c r="H85" s="4"/>
      <c r="I85" s="12"/>
      <c r="J85" s="1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7.35" hidden="false" customHeight="false" outlineLevel="0" collapsed="false">
      <c r="B86" s="9" t="s">
        <v>20</v>
      </c>
      <c r="C86" s="9"/>
      <c r="D86" s="9"/>
      <c r="E86" s="9"/>
      <c r="F86" s="9"/>
      <c r="G86" s="9"/>
      <c r="H86" s="9"/>
      <c r="I86" s="9"/>
      <c r="J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7.35" hidden="false" customHeight="false" outlineLevel="0" collapsed="false">
      <c r="B87" s="9" t="s">
        <v>5</v>
      </c>
      <c r="C87" s="42" t="s">
        <v>21</v>
      </c>
      <c r="D87" s="42" t="s">
        <v>22</v>
      </c>
      <c r="E87" s="42" t="s">
        <v>23</v>
      </c>
      <c r="F87" s="42" t="s">
        <v>24</v>
      </c>
      <c r="G87" s="42" t="s">
        <v>25</v>
      </c>
      <c r="H87" s="42" t="s">
        <v>26</v>
      </c>
      <c r="I87" s="42" t="s">
        <v>37</v>
      </c>
      <c r="J87" s="42" t="s">
        <v>164</v>
      </c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7.35" hidden="false" customHeight="false" outlineLevel="0" collapsed="false">
      <c r="B88" s="13" t="n">
        <v>1</v>
      </c>
      <c r="C88" s="13" t="n">
        <v>2015</v>
      </c>
      <c r="D88" s="13" t="s">
        <v>165</v>
      </c>
      <c r="E88" s="15" t="n">
        <f aca="false">+G84*1</f>
        <v>3500</v>
      </c>
      <c r="F88" s="15" t="n">
        <f aca="false">E88+(E88*10%)</f>
        <v>3850</v>
      </c>
      <c r="G88" s="43" t="n">
        <f aca="false">F88/6400</f>
        <v>0.6015625</v>
      </c>
      <c r="H88" s="43" t="n">
        <f aca="false">ROUNDUP(G88,0)</f>
        <v>1</v>
      </c>
      <c r="I88" s="44" t="n">
        <v>7.2</v>
      </c>
      <c r="J88" s="44" t="n">
        <f aca="false">+H88*I88</f>
        <v>7.2</v>
      </c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7.35" hidden="false" customHeight="false" outlineLevel="0" collapsed="false">
      <c r="B89" s="13" t="n">
        <v>2</v>
      </c>
      <c r="C89" s="13" t="n">
        <v>2013</v>
      </c>
      <c r="D89" s="13" t="s">
        <v>166</v>
      </c>
      <c r="E89" s="15" t="n">
        <f aca="false">+G84*1+H84*2</f>
        <v>15500</v>
      </c>
      <c r="F89" s="15" t="n">
        <f aca="false">E89+(E89*10%)</f>
        <v>17050</v>
      </c>
      <c r="G89" s="43" t="n">
        <f aca="false">F89/6400</f>
        <v>2.6640625</v>
      </c>
      <c r="H89" s="43" t="n">
        <f aca="false">ROUNDUP(G89,0)</f>
        <v>3</v>
      </c>
      <c r="I89" s="44" t="n">
        <v>5.4</v>
      </c>
      <c r="J89" s="44" t="n">
        <f aca="false">+H89*I89</f>
        <v>16.2</v>
      </c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7.35" hidden="false" customHeight="false" outlineLevel="0" collapsed="false">
      <c r="B90" s="13" t="n">
        <v>3</v>
      </c>
      <c r="C90" s="13" t="n">
        <v>2005</v>
      </c>
      <c r="D90" s="13" t="s">
        <v>167</v>
      </c>
      <c r="E90" s="15" t="n">
        <f aca="false">+G84*1</f>
        <v>3500</v>
      </c>
      <c r="F90" s="15" t="n">
        <f aca="false">E90+(E90*10%)</f>
        <v>3850</v>
      </c>
      <c r="G90" s="43" t="n">
        <f aca="false">F90/6400</f>
        <v>0.6015625</v>
      </c>
      <c r="H90" s="43" t="n">
        <f aca="false">ROUNDUP(G90,0)</f>
        <v>1</v>
      </c>
      <c r="I90" s="44" t="n">
        <v>3.2</v>
      </c>
      <c r="J90" s="44" t="n">
        <f aca="false">+H90*I90</f>
        <v>3.2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7.35" hidden="false" customHeight="false" outlineLevel="0" collapsed="false">
      <c r="B91" s="13" t="n">
        <v>4</v>
      </c>
      <c r="C91" s="13" t="n">
        <v>2007</v>
      </c>
      <c r="D91" s="13" t="s">
        <v>168</v>
      </c>
      <c r="E91" s="15" t="n">
        <f aca="false">+G84*1</f>
        <v>3500</v>
      </c>
      <c r="F91" s="15" t="n">
        <f aca="false">E91+(E91*10%)</f>
        <v>3850</v>
      </c>
      <c r="G91" s="43" t="n">
        <f aca="false">F91/6400</f>
        <v>0.6015625</v>
      </c>
      <c r="H91" s="43" t="n">
        <f aca="false">ROUNDUP(G91,0)</f>
        <v>1</v>
      </c>
      <c r="I91" s="44" t="n">
        <v>5.2</v>
      </c>
      <c r="J91" s="44" t="n">
        <f aca="false">+H91*I91</f>
        <v>5.2</v>
      </c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7.35" hidden="false" customHeight="false" outlineLevel="0" collapsed="false">
      <c r="B92" s="13" t="n">
        <v>5</v>
      </c>
      <c r="C92" s="13" t="n">
        <v>2009</v>
      </c>
      <c r="D92" s="13" t="s">
        <v>169</v>
      </c>
      <c r="E92" s="15" t="n">
        <f aca="false">+H84*2</f>
        <v>12000</v>
      </c>
      <c r="F92" s="15" t="n">
        <f aca="false">E92+(E92*10%)</f>
        <v>13200</v>
      </c>
      <c r="G92" s="43" t="n">
        <f aca="false">F92/6400</f>
        <v>2.0625</v>
      </c>
      <c r="H92" s="43" t="n">
        <f aca="false">ROUNDUP(G92,0)</f>
        <v>3</v>
      </c>
      <c r="I92" s="44" t="n">
        <v>3.1</v>
      </c>
      <c r="J92" s="44" t="n">
        <f aca="false">+H92*I92</f>
        <v>9.3</v>
      </c>
    </row>
    <row r="93" customFormat="false" ht="17.35" hidden="false" customHeight="false" outlineLevel="0" collapsed="false">
      <c r="B93" s="13" t="n">
        <v>6</v>
      </c>
      <c r="C93" s="13" t="n">
        <v>2011</v>
      </c>
      <c r="D93" s="13" t="s">
        <v>31</v>
      </c>
      <c r="E93" s="15" t="n">
        <f aca="false">+H84*2</f>
        <v>12000</v>
      </c>
      <c r="F93" s="15" t="n">
        <f aca="false">E93+(E93*10%)</f>
        <v>13200</v>
      </c>
      <c r="G93" s="43" t="n">
        <f aca="false">F93/6400</f>
        <v>2.0625</v>
      </c>
      <c r="H93" s="43" t="n">
        <f aca="false">ROUNDUP(G93,0)</f>
        <v>3</v>
      </c>
      <c r="I93" s="44" t="n">
        <v>4.5</v>
      </c>
      <c r="J93" s="44" t="n">
        <f aca="false">+H93*I93</f>
        <v>13.5</v>
      </c>
    </row>
    <row r="94" customFormat="false" ht="17.35" hidden="false" customHeight="false" outlineLevel="0" collapsed="false">
      <c r="B94" s="13" t="n">
        <v>7</v>
      </c>
      <c r="C94" s="13" t="n">
        <v>2025</v>
      </c>
      <c r="D94" s="13" t="s">
        <v>47</v>
      </c>
      <c r="E94" s="15" t="n">
        <f aca="false">+G84*1+H84*2</f>
        <v>15500</v>
      </c>
      <c r="F94" s="15" t="n">
        <f aca="false">E94+(E94*10%)</f>
        <v>17050</v>
      </c>
      <c r="G94" s="43" t="n">
        <f aca="false">F94/6400</f>
        <v>2.6640625</v>
      </c>
      <c r="H94" s="43" t="n">
        <f aca="false">ROUNDUP(G94,0)</f>
        <v>3</v>
      </c>
      <c r="I94" s="44" t="n">
        <v>2.5</v>
      </c>
      <c r="J94" s="44" t="n">
        <f aca="false">+H94*I94</f>
        <v>7.5</v>
      </c>
    </row>
    <row r="95" customFormat="false" ht="17.35" hidden="false" customHeight="false" outlineLevel="0" collapsed="false">
      <c r="B95" s="3"/>
      <c r="C95" s="3"/>
      <c r="D95" s="3"/>
      <c r="E95" s="3"/>
      <c r="F95" s="3"/>
      <c r="G95" s="3"/>
      <c r="H95" s="23"/>
      <c r="I95" s="57" t="s">
        <v>19</v>
      </c>
      <c r="J95" s="57" t="n">
        <f aca="false">SUM(J88:J94)</f>
        <v>62.1</v>
      </c>
    </row>
    <row r="96" customFormat="false" ht="17.35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</row>
    <row r="97" customFormat="false" ht="17.35" hidden="false" customHeight="false" outlineLevel="0" collapsed="false">
      <c r="B97" s="42" t="s">
        <v>50</v>
      </c>
      <c r="C97" s="42"/>
      <c r="D97" s="42"/>
      <c r="E97" s="42"/>
      <c r="F97" s="42"/>
      <c r="G97" s="42"/>
      <c r="H97" s="42"/>
      <c r="I97" s="3"/>
      <c r="J97" s="3"/>
    </row>
    <row r="98" customFormat="false" ht="17.35" hidden="false" customHeight="false" outlineLevel="0" collapsed="false">
      <c r="B98" s="9" t="s">
        <v>5</v>
      </c>
      <c r="C98" s="9" t="s">
        <v>22</v>
      </c>
      <c r="D98" s="9" t="s">
        <v>51</v>
      </c>
      <c r="E98" s="9" t="s">
        <v>52</v>
      </c>
      <c r="F98" s="9" t="s">
        <v>53</v>
      </c>
      <c r="G98" s="9" t="s">
        <v>54</v>
      </c>
      <c r="H98" s="9" t="s">
        <v>55</v>
      </c>
      <c r="I98" s="3"/>
      <c r="J98" s="3"/>
    </row>
    <row r="99" customFormat="false" ht="17.35" hidden="false" customHeight="false" outlineLevel="0" collapsed="false">
      <c r="B99" s="13" t="n">
        <v>1</v>
      </c>
      <c r="C99" s="13" t="s">
        <v>56</v>
      </c>
      <c r="D99" s="58" t="s">
        <v>57</v>
      </c>
      <c r="E99" s="13" t="n">
        <v>2</v>
      </c>
      <c r="F99" s="13" t="n">
        <f aca="false">+E99*$F$84</f>
        <v>10</v>
      </c>
      <c r="G99" s="15" t="n">
        <v>4000</v>
      </c>
      <c r="H99" s="15" t="n">
        <f aca="false">+F99*G99</f>
        <v>40000</v>
      </c>
      <c r="I99" s="3"/>
      <c r="J99" s="3"/>
    </row>
    <row r="100" customFormat="false" ht="17.35" hidden="false" customHeight="false" outlineLevel="0" collapsed="false">
      <c r="B100" s="13" t="n">
        <v>2</v>
      </c>
      <c r="C100" s="13" t="s">
        <v>183</v>
      </c>
      <c r="D100" s="58" t="s">
        <v>57</v>
      </c>
      <c r="E100" s="13" t="n">
        <v>2</v>
      </c>
      <c r="F100" s="13" t="n">
        <f aca="false">+E100*$F$84</f>
        <v>10</v>
      </c>
      <c r="G100" s="15" t="n">
        <v>700</v>
      </c>
      <c r="H100" s="15" t="n">
        <f aca="false">+F100*G100</f>
        <v>7000</v>
      </c>
      <c r="I100" s="3"/>
      <c r="J100" s="3"/>
    </row>
    <row r="101" customFormat="false" ht="17.35" hidden="false" customHeight="false" outlineLevel="0" collapsed="false">
      <c r="B101" s="13" t="n">
        <v>2</v>
      </c>
      <c r="C101" s="13" t="s">
        <v>184</v>
      </c>
      <c r="D101" s="58" t="s">
        <v>57</v>
      </c>
      <c r="E101" s="13" t="n">
        <v>1</v>
      </c>
      <c r="F101" s="13" t="n">
        <f aca="false">+E101*$F$84</f>
        <v>5</v>
      </c>
      <c r="G101" s="15" t="n">
        <v>10000</v>
      </c>
      <c r="H101" s="15" t="n">
        <f aca="false">+F101*G101</f>
        <v>50000</v>
      </c>
      <c r="I101" s="3"/>
      <c r="J101" s="3"/>
    </row>
    <row r="102" customFormat="false" ht="17.35" hidden="false" customHeight="false" outlineLevel="0" collapsed="false">
      <c r="B102" s="13" t="n">
        <v>5</v>
      </c>
      <c r="C102" s="13" t="s">
        <v>61</v>
      </c>
      <c r="D102" s="58" t="s">
        <v>62</v>
      </c>
      <c r="E102" s="20" t="s">
        <v>185</v>
      </c>
      <c r="F102" s="16" t="n">
        <f aca="false">+(G84*4+H84*6)/1000</f>
        <v>50</v>
      </c>
      <c r="G102" s="15" t="n">
        <v>335</v>
      </c>
      <c r="H102" s="15" t="n">
        <f aca="false">+F102*G102</f>
        <v>16750</v>
      </c>
      <c r="I102" s="3"/>
      <c r="J102" s="3"/>
    </row>
    <row r="103" customFormat="false" ht="29.85" hidden="false" customHeight="false" outlineLevel="0" collapsed="false">
      <c r="B103" s="46" t="n">
        <v>6</v>
      </c>
      <c r="C103" s="58" t="s">
        <v>64</v>
      </c>
      <c r="D103" s="58" t="s">
        <v>62</v>
      </c>
      <c r="E103" s="135" t="s">
        <v>186</v>
      </c>
      <c r="F103" s="60" t="n">
        <f aca="false">+(G84*5+H84*9)/1000</f>
        <v>71.5</v>
      </c>
      <c r="G103" s="61" t="n">
        <v>1000</v>
      </c>
      <c r="H103" s="48" t="n">
        <f aca="false">+F103*G103</f>
        <v>71500</v>
      </c>
      <c r="I103" s="3"/>
      <c r="J103" s="3"/>
    </row>
    <row r="104" customFormat="false" ht="17.35" hidden="false" customHeight="false" outlineLevel="0" collapsed="false">
      <c r="B104" s="13" t="n">
        <v>7</v>
      </c>
      <c r="C104" s="13" t="s">
        <v>66</v>
      </c>
      <c r="D104" s="58" t="s">
        <v>57</v>
      </c>
      <c r="E104" s="13" t="n">
        <v>10</v>
      </c>
      <c r="F104" s="13" t="n">
        <f aca="false">+E104*$F$84</f>
        <v>50</v>
      </c>
      <c r="G104" s="15" t="n">
        <v>180</v>
      </c>
      <c r="H104" s="15" t="n">
        <f aca="false">+F104*G104</f>
        <v>9000</v>
      </c>
      <c r="I104" s="3"/>
      <c r="J104" s="3"/>
    </row>
    <row r="105" customFormat="false" ht="17.35" hidden="false" customHeight="false" outlineLevel="0" collapsed="false">
      <c r="B105" s="13" t="n">
        <v>8</v>
      </c>
      <c r="C105" s="13" t="s">
        <v>67</v>
      </c>
      <c r="D105" s="58" t="s">
        <v>57</v>
      </c>
      <c r="E105" s="13" t="n">
        <v>10</v>
      </c>
      <c r="F105" s="13" t="n">
        <f aca="false">+E105*$F$84</f>
        <v>50</v>
      </c>
      <c r="G105" s="15" t="n">
        <v>60</v>
      </c>
      <c r="H105" s="15" t="n">
        <f aca="false">+F105*G105</f>
        <v>3000</v>
      </c>
      <c r="I105" s="3"/>
      <c r="J105" s="3"/>
    </row>
    <row r="106" customFormat="false" ht="17.35" hidden="false" customHeight="false" outlineLevel="0" collapsed="false">
      <c r="B106" s="13" t="n">
        <v>9</v>
      </c>
      <c r="C106" s="13" t="s">
        <v>68</v>
      </c>
      <c r="D106" s="58" t="s">
        <v>57</v>
      </c>
      <c r="E106" s="13" t="n">
        <v>2</v>
      </c>
      <c r="F106" s="13" t="n">
        <f aca="false">+E106*$F$84</f>
        <v>10</v>
      </c>
      <c r="G106" s="15" t="n">
        <v>10000</v>
      </c>
      <c r="H106" s="15" t="n">
        <f aca="false">+F106*G106</f>
        <v>100000</v>
      </c>
      <c r="I106" s="3"/>
      <c r="J106" s="3"/>
    </row>
    <row r="107" customFormat="false" ht="17.35" hidden="false" customHeight="false" outlineLevel="0" collapsed="false">
      <c r="B107" s="13" t="n">
        <v>10</v>
      </c>
      <c r="C107" s="13" t="s">
        <v>70</v>
      </c>
      <c r="D107" s="58" t="s">
        <v>14</v>
      </c>
      <c r="E107" s="13" t="s">
        <v>111</v>
      </c>
      <c r="F107" s="17" t="n">
        <f aca="false">+J84</f>
        <v>4.2</v>
      </c>
      <c r="G107" s="15" t="n">
        <f aca="false">55500</f>
        <v>55500</v>
      </c>
      <c r="H107" s="15" t="n">
        <f aca="false">+F107*G107</f>
        <v>233100</v>
      </c>
      <c r="I107" s="3"/>
      <c r="J107" s="3"/>
    </row>
    <row r="108" customFormat="false" ht="17.35" hidden="false" customHeight="false" outlineLevel="0" collapsed="false">
      <c r="B108" s="13" t="n">
        <v>11</v>
      </c>
      <c r="C108" s="13" t="s">
        <v>47</v>
      </c>
      <c r="D108" s="58" t="s">
        <v>14</v>
      </c>
      <c r="E108" s="117" t="s">
        <v>139</v>
      </c>
      <c r="F108" s="13" t="n">
        <f aca="false">+J84*50%</f>
        <v>2.1</v>
      </c>
      <c r="G108" s="63" t="n">
        <v>3060</v>
      </c>
      <c r="H108" s="15" t="n">
        <f aca="false">+F108*G108</f>
        <v>6426</v>
      </c>
      <c r="I108" s="3"/>
      <c r="J108" s="3"/>
    </row>
    <row r="109" customFormat="false" ht="19.7" hidden="false" customHeight="false" outlineLevel="0" collapsed="false">
      <c r="B109" s="3"/>
      <c r="C109" s="3"/>
      <c r="D109" s="3"/>
      <c r="E109" s="3"/>
      <c r="F109" s="3"/>
      <c r="G109" s="64" t="s">
        <v>19</v>
      </c>
      <c r="H109" s="65" t="n">
        <f aca="false">SUM(H99:H108)</f>
        <v>536776</v>
      </c>
      <c r="I109" s="3"/>
      <c r="J109" s="3"/>
    </row>
    <row r="110" customFormat="false" ht="17.35" hidden="false" customHeight="false" outlineLevel="0" collapsed="false">
      <c r="B110" s="3"/>
      <c r="C110" s="3"/>
      <c r="D110" s="3"/>
      <c r="E110" s="3"/>
      <c r="F110" s="3"/>
      <c r="G110" s="3"/>
      <c r="H110" s="3"/>
      <c r="I110" s="3"/>
      <c r="J110" s="3"/>
    </row>
    <row r="111" customFormat="false" ht="17.35" hidden="false" customHeight="false" outlineLevel="0" collapsed="false">
      <c r="B111" s="42" t="s">
        <v>73</v>
      </c>
      <c r="C111" s="42"/>
      <c r="D111" s="42"/>
      <c r="E111" s="42"/>
      <c r="F111" s="42"/>
      <c r="G111" s="42"/>
      <c r="H111" s="42"/>
      <c r="I111" s="3"/>
      <c r="J111" s="3"/>
    </row>
    <row r="112" customFormat="false" ht="17.35" hidden="false" customHeight="false" outlineLevel="0" collapsed="false">
      <c r="B112" s="9" t="s">
        <v>5</v>
      </c>
      <c r="C112" s="9" t="s">
        <v>22</v>
      </c>
      <c r="D112" s="9" t="s">
        <v>51</v>
      </c>
      <c r="E112" s="9" t="s">
        <v>52</v>
      </c>
      <c r="F112" s="9" t="s">
        <v>53</v>
      </c>
      <c r="G112" s="9" t="s">
        <v>54</v>
      </c>
      <c r="H112" s="9" t="s">
        <v>55</v>
      </c>
      <c r="I112" s="3"/>
      <c r="J112" s="3"/>
    </row>
    <row r="113" customFormat="false" ht="17.35" hidden="false" customHeight="false" outlineLevel="0" collapsed="false">
      <c r="B113" s="13" t="n">
        <v>1</v>
      </c>
      <c r="C113" s="13" t="s">
        <v>56</v>
      </c>
      <c r="D113" s="58" t="s">
        <v>57</v>
      </c>
      <c r="E113" s="13" t="n">
        <v>4</v>
      </c>
      <c r="F113" s="13" t="n">
        <f aca="false">+E113*$F$84</f>
        <v>20</v>
      </c>
      <c r="G113" s="15" t="n">
        <v>4000</v>
      </c>
      <c r="H113" s="15" t="n">
        <f aca="false">+F113*G113</f>
        <v>80000</v>
      </c>
      <c r="I113" s="3"/>
      <c r="J113" s="3"/>
    </row>
    <row r="114" customFormat="false" ht="17.35" hidden="false" customHeight="false" outlineLevel="0" collapsed="false">
      <c r="B114" s="13" t="n">
        <v>2</v>
      </c>
      <c r="C114" s="13" t="s">
        <v>183</v>
      </c>
      <c r="D114" s="58" t="s">
        <v>57</v>
      </c>
      <c r="E114" s="13" t="n">
        <v>2</v>
      </c>
      <c r="F114" s="13" t="n">
        <f aca="false">+E114*$F$84</f>
        <v>10</v>
      </c>
      <c r="G114" s="15" t="n">
        <v>700</v>
      </c>
      <c r="H114" s="15" t="n">
        <f aca="false">+F114*G114</f>
        <v>7000</v>
      </c>
      <c r="I114" s="3"/>
      <c r="J114" s="3"/>
    </row>
    <row r="115" customFormat="false" ht="17.35" hidden="false" customHeight="false" outlineLevel="0" collapsed="false">
      <c r="B115" s="13" t="n">
        <v>2</v>
      </c>
      <c r="C115" s="13" t="s">
        <v>184</v>
      </c>
      <c r="D115" s="58" t="s">
        <v>57</v>
      </c>
      <c r="E115" s="13" t="n">
        <v>2</v>
      </c>
      <c r="F115" s="13" t="n">
        <f aca="false">+E115*$F$84</f>
        <v>10</v>
      </c>
      <c r="G115" s="15" t="n">
        <v>10000</v>
      </c>
      <c r="H115" s="15" t="n">
        <f aca="false">+F115*G115</f>
        <v>100000</v>
      </c>
      <c r="I115" s="3"/>
      <c r="J115" s="3"/>
    </row>
    <row r="116" customFormat="false" ht="17.35" hidden="false" customHeight="false" outlineLevel="0" collapsed="false">
      <c r="B116" s="13" t="n">
        <v>5</v>
      </c>
      <c r="C116" s="13" t="s">
        <v>61</v>
      </c>
      <c r="D116" s="58" t="s">
        <v>62</v>
      </c>
      <c r="E116" s="20" t="s">
        <v>185</v>
      </c>
      <c r="F116" s="16" t="n">
        <f aca="false">+(G84*4+H84*6)/1000</f>
        <v>50</v>
      </c>
      <c r="G116" s="15" t="n">
        <v>335</v>
      </c>
      <c r="H116" s="15" t="n">
        <f aca="false">+F116*G116</f>
        <v>16750</v>
      </c>
      <c r="I116" s="3"/>
      <c r="J116" s="3"/>
    </row>
    <row r="117" customFormat="false" ht="29.85" hidden="false" customHeight="false" outlineLevel="0" collapsed="false">
      <c r="B117" s="46" t="n">
        <v>6</v>
      </c>
      <c r="C117" s="58" t="s">
        <v>64</v>
      </c>
      <c r="D117" s="58" t="s">
        <v>62</v>
      </c>
      <c r="E117" s="135" t="s">
        <v>186</v>
      </c>
      <c r="F117" s="60" t="n">
        <f aca="false">+(G84*5+H84*9)/1000</f>
        <v>71.5</v>
      </c>
      <c r="G117" s="61" t="n">
        <v>1000</v>
      </c>
      <c r="H117" s="15" t="n">
        <f aca="false">+F117*G117</f>
        <v>71500</v>
      </c>
      <c r="I117" s="3"/>
      <c r="J117" s="3"/>
    </row>
    <row r="118" customFormat="false" ht="17.35" hidden="false" customHeight="false" outlineLevel="0" collapsed="false">
      <c r="B118" s="13" t="n">
        <v>7</v>
      </c>
      <c r="C118" s="13" t="s">
        <v>66</v>
      </c>
      <c r="D118" s="58" t="s">
        <v>57</v>
      </c>
      <c r="E118" s="13" t="n">
        <v>10</v>
      </c>
      <c r="F118" s="13" t="n">
        <f aca="false">+E118*$F$84</f>
        <v>50</v>
      </c>
      <c r="G118" s="15" t="n">
        <v>180</v>
      </c>
      <c r="H118" s="15" t="n">
        <f aca="false">+F118*G118</f>
        <v>9000</v>
      </c>
      <c r="I118" s="3"/>
      <c r="J118" s="3"/>
    </row>
    <row r="119" customFormat="false" ht="17.35" hidden="false" customHeight="false" outlineLevel="0" collapsed="false">
      <c r="B119" s="13" t="n">
        <v>8</v>
      </c>
      <c r="C119" s="13" t="s">
        <v>67</v>
      </c>
      <c r="D119" s="58" t="s">
        <v>57</v>
      </c>
      <c r="E119" s="13" t="n">
        <v>10</v>
      </c>
      <c r="F119" s="13" t="n">
        <f aca="false">+E119*$F$84</f>
        <v>50</v>
      </c>
      <c r="G119" s="15" t="n">
        <v>60</v>
      </c>
      <c r="H119" s="15" t="n">
        <f aca="false">+F119*G119</f>
        <v>3000</v>
      </c>
      <c r="I119" s="3"/>
      <c r="J119" s="3"/>
    </row>
    <row r="120" customFormat="false" ht="17.35" hidden="false" customHeight="false" outlineLevel="0" collapsed="false">
      <c r="B120" s="13" t="n">
        <v>9</v>
      </c>
      <c r="C120" s="13" t="s">
        <v>68</v>
      </c>
      <c r="D120" s="58" t="s">
        <v>57</v>
      </c>
      <c r="E120" s="13" t="n">
        <v>2</v>
      </c>
      <c r="F120" s="13" t="n">
        <f aca="false">+E120*$F$84</f>
        <v>10</v>
      </c>
      <c r="G120" s="15" t="n">
        <v>10000</v>
      </c>
      <c r="H120" s="15" t="n">
        <f aca="false">+F120*G120</f>
        <v>100000</v>
      </c>
      <c r="I120" s="3"/>
      <c r="J120" s="3"/>
    </row>
    <row r="121" customFormat="false" ht="17.35" hidden="false" customHeight="false" outlineLevel="0" collapsed="false">
      <c r="B121" s="13" t="n">
        <v>10</v>
      </c>
      <c r="C121" s="13" t="s">
        <v>70</v>
      </c>
      <c r="D121" s="58" t="s">
        <v>14</v>
      </c>
      <c r="E121" s="13" t="s">
        <v>111</v>
      </c>
      <c r="F121" s="17" t="n">
        <f aca="false">+J84</f>
        <v>4.2</v>
      </c>
      <c r="G121" s="15" t="n">
        <f aca="false">55500</f>
        <v>55500</v>
      </c>
      <c r="H121" s="15" t="n">
        <f aca="false">+F121*G121</f>
        <v>233100</v>
      </c>
      <c r="I121" s="3"/>
      <c r="J121" s="3"/>
    </row>
    <row r="122" customFormat="false" ht="17.35" hidden="false" customHeight="false" outlineLevel="0" collapsed="false">
      <c r="B122" s="13" t="n">
        <v>11</v>
      </c>
      <c r="C122" s="13" t="s">
        <v>47</v>
      </c>
      <c r="D122" s="58" t="s">
        <v>14</v>
      </c>
      <c r="E122" s="117" t="s">
        <v>139</v>
      </c>
      <c r="F122" s="13" t="n">
        <f aca="false">+J84*50%</f>
        <v>2.1</v>
      </c>
      <c r="G122" s="63" t="n">
        <v>3060</v>
      </c>
      <c r="H122" s="15" t="n">
        <f aca="false">+F122*G122</f>
        <v>6426</v>
      </c>
      <c r="I122" s="3"/>
      <c r="J122" s="3"/>
    </row>
    <row r="123" customFormat="false" ht="19.7" hidden="false" customHeight="false" outlineLevel="0" collapsed="false">
      <c r="B123" s="3"/>
      <c r="C123" s="3"/>
      <c r="D123" s="3"/>
      <c r="E123" s="3"/>
      <c r="F123" s="3"/>
      <c r="G123" s="64" t="s">
        <v>19</v>
      </c>
      <c r="H123" s="65" t="n">
        <f aca="false">SUM(H113:H122)</f>
        <v>626776</v>
      </c>
      <c r="I123" s="3"/>
      <c r="J123" s="3"/>
    </row>
    <row r="124" customFormat="false" ht="19.7" hidden="false" customHeight="false" outlineLevel="0" collapsed="false">
      <c r="B124" s="72"/>
      <c r="C124" s="72"/>
      <c r="D124" s="72"/>
      <c r="E124" s="72"/>
      <c r="F124" s="72"/>
      <c r="G124" s="136"/>
      <c r="H124" s="137"/>
      <c r="I124" s="3"/>
      <c r="J124" s="3"/>
    </row>
    <row r="125" customFormat="false" ht="17.35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</row>
    <row r="126" customFormat="false" ht="24.45" hidden="false" customHeight="false" outlineLevel="0" collapsed="false">
      <c r="B126" s="75" t="s">
        <v>159</v>
      </c>
      <c r="C126" s="75"/>
      <c r="D126" s="75"/>
      <c r="E126" s="76"/>
      <c r="F126" s="75" t="s">
        <v>159</v>
      </c>
      <c r="G126" s="75"/>
      <c r="H126" s="75"/>
      <c r="I126" s="3"/>
      <c r="J126" s="3"/>
    </row>
    <row r="127" customFormat="false" ht="37.3" hidden="false" customHeight="false" outlineLevel="0" collapsed="false">
      <c r="B127" s="77" t="s">
        <v>95</v>
      </c>
      <c r="C127" s="77" t="s">
        <v>96</v>
      </c>
      <c r="D127" s="77" t="s">
        <v>97</v>
      </c>
      <c r="E127" s="3"/>
      <c r="F127" s="77" t="s">
        <v>95</v>
      </c>
      <c r="G127" s="77" t="s">
        <v>96</v>
      </c>
      <c r="H127" s="77" t="s">
        <v>97</v>
      </c>
      <c r="I127" s="3"/>
      <c r="J127" s="3"/>
    </row>
    <row r="128" customFormat="false" ht="22.05" hidden="false" customHeight="false" outlineLevel="0" collapsed="false">
      <c r="B128" s="78" t="n">
        <v>1</v>
      </c>
      <c r="C128" s="79" t="s">
        <v>98</v>
      </c>
      <c r="D128" s="80" t="n">
        <f aca="false">+J95*4.2</f>
        <v>260.82</v>
      </c>
      <c r="E128" s="3"/>
      <c r="F128" s="78" t="n">
        <v>1</v>
      </c>
      <c r="G128" s="79" t="s">
        <v>98</v>
      </c>
      <c r="H128" s="80" t="n">
        <f aca="false">+J95*4.2</f>
        <v>260.82</v>
      </c>
      <c r="I128" s="3"/>
      <c r="J128" s="3"/>
    </row>
    <row r="129" customFormat="false" ht="22.05" hidden="false" customHeight="false" outlineLevel="0" collapsed="false">
      <c r="B129" s="78" t="n">
        <v>2</v>
      </c>
      <c r="C129" s="79" t="s">
        <v>99</v>
      </c>
      <c r="D129" s="80" t="n">
        <f aca="false">+H109/3700</f>
        <v>145.074594594595</v>
      </c>
      <c r="E129" s="3"/>
      <c r="F129" s="78" t="n">
        <v>2</v>
      </c>
      <c r="G129" s="79" t="s">
        <v>99</v>
      </c>
      <c r="H129" s="80" t="n">
        <f aca="false">+H123/3700</f>
        <v>169.398918918919</v>
      </c>
      <c r="I129" s="3"/>
      <c r="J129" s="3"/>
    </row>
    <row r="130" customFormat="false" ht="22.05" hidden="false" customHeight="false" outlineLevel="0" collapsed="false">
      <c r="B130" s="78" t="n">
        <v>3</v>
      </c>
      <c r="C130" s="79" t="s">
        <v>100</v>
      </c>
      <c r="D130" s="80" t="n">
        <f aca="false">+(D128+D129)*10%</f>
        <v>40.5894594594595</v>
      </c>
      <c r="E130" s="3"/>
      <c r="F130" s="78" t="n">
        <v>3</v>
      </c>
      <c r="G130" s="79" t="s">
        <v>100</v>
      </c>
      <c r="H130" s="80" t="n">
        <f aca="false">+(H128+H129)*10%</f>
        <v>43.0218918918919</v>
      </c>
      <c r="I130" s="3"/>
      <c r="J130" s="3"/>
    </row>
    <row r="131" customFormat="false" ht="22.05" hidden="false" customHeight="false" outlineLevel="0" collapsed="false">
      <c r="B131" s="78" t="n">
        <v>4</v>
      </c>
      <c r="C131" s="79" t="s">
        <v>101</v>
      </c>
      <c r="D131" s="80" t="n">
        <v>0</v>
      </c>
      <c r="E131" s="3"/>
      <c r="F131" s="78" t="n">
        <v>4</v>
      </c>
      <c r="G131" s="79" t="s">
        <v>101</v>
      </c>
      <c r="H131" s="80" t="n">
        <v>0</v>
      </c>
      <c r="I131" s="3"/>
      <c r="J131" s="3"/>
    </row>
    <row r="132" customFormat="false" ht="22.05" hidden="false" customHeight="false" outlineLevel="0" collapsed="false">
      <c r="B132" s="3"/>
      <c r="C132" s="81" t="s">
        <v>19</v>
      </c>
      <c r="D132" s="80" t="n">
        <f aca="false">SUM(D128:D131)</f>
        <v>446.484054054054</v>
      </c>
      <c r="E132" s="3"/>
      <c r="F132" s="3"/>
      <c r="G132" s="81" t="s">
        <v>19</v>
      </c>
      <c r="H132" s="80" t="n">
        <f aca="false">SUM(H128:H131)</f>
        <v>473.240810810811</v>
      </c>
      <c r="I132" s="3"/>
      <c r="J132" s="3"/>
    </row>
    <row r="133" customFormat="false" ht="22.05" hidden="false" customHeight="false" outlineLevel="0" collapsed="false">
      <c r="B133" s="3"/>
      <c r="C133" s="81" t="s">
        <v>160</v>
      </c>
      <c r="D133" s="82" t="n">
        <f aca="false">+D132*20%</f>
        <v>89.2968108108108</v>
      </c>
      <c r="E133" s="3"/>
      <c r="F133" s="3"/>
      <c r="G133" s="81" t="s">
        <v>160</v>
      </c>
      <c r="H133" s="82" t="n">
        <f aca="false">+H132*20%</f>
        <v>94.6481621621622</v>
      </c>
      <c r="I133" s="3"/>
      <c r="J133" s="3"/>
    </row>
    <row r="134" customFormat="false" ht="22.05" hidden="false" customHeight="false" outlineLevel="0" collapsed="false">
      <c r="B134" s="3"/>
      <c r="C134" s="83" t="s">
        <v>103</v>
      </c>
      <c r="D134" s="84" t="n">
        <f aca="false">+D132+D133</f>
        <v>535.780864864865</v>
      </c>
      <c r="E134" s="3"/>
      <c r="F134" s="3"/>
      <c r="G134" s="83" t="s">
        <v>103</v>
      </c>
      <c r="H134" s="84" t="n">
        <f aca="false">+H132+H133</f>
        <v>567.888972972973</v>
      </c>
      <c r="I134" s="3"/>
      <c r="J134" s="3"/>
    </row>
    <row r="135" customFormat="false" ht="22.05" hidden="false" customHeight="false" outlineLevel="0" collapsed="false">
      <c r="B135" s="3"/>
      <c r="C135" s="87" t="s">
        <v>104</v>
      </c>
      <c r="D135" s="88" t="n">
        <f aca="false">+D132/J84</f>
        <v>106.305727155727</v>
      </c>
      <c r="E135" s="3"/>
      <c r="F135" s="3"/>
      <c r="G135" s="87" t="s">
        <v>104</v>
      </c>
      <c r="H135" s="88" t="n">
        <f aca="false">+H132/J84</f>
        <v>112.676383526384</v>
      </c>
      <c r="I135" s="3"/>
      <c r="J135" s="3"/>
    </row>
    <row r="136" customFormat="false" ht="37.3" hidden="false" customHeight="false" outlineLevel="0" collapsed="false">
      <c r="B136" s="3"/>
      <c r="C136" s="89" t="s">
        <v>105</v>
      </c>
      <c r="D136" s="90" t="n">
        <f aca="false">+D134/J84</f>
        <v>127.566872586873</v>
      </c>
      <c r="E136" s="3"/>
      <c r="F136" s="3"/>
      <c r="G136" s="89" t="s">
        <v>105</v>
      </c>
      <c r="H136" s="90" t="n">
        <f aca="false">+H134/J84</f>
        <v>135.21166023166</v>
      </c>
      <c r="I136" s="3"/>
      <c r="J136" s="3"/>
    </row>
    <row r="137" customFormat="false" ht="17.35" hidden="false" customHeight="false" outlineLevel="0" collapsed="false">
      <c r="B137" s="3"/>
      <c r="C137" s="3"/>
      <c r="D137" s="3"/>
      <c r="E137" s="3"/>
      <c r="F137" s="3"/>
      <c r="G137" s="3"/>
      <c r="H137" s="3"/>
      <c r="I137" s="3"/>
      <c r="J137" s="3"/>
    </row>
    <row r="138" customFormat="false" ht="17.35" hidden="false" customHeight="false" outlineLevel="0" collapsed="false">
      <c r="B138" s="3"/>
      <c r="C138" s="3"/>
      <c r="D138" s="3"/>
      <c r="E138" s="3"/>
      <c r="F138" s="3"/>
      <c r="G138" s="3"/>
      <c r="H138" s="3"/>
      <c r="I138" s="3"/>
      <c r="J138" s="3"/>
    </row>
    <row r="139" customFormat="false" ht="17.35" hidden="false" customHeight="false" outlineLevel="0" collapsed="false">
      <c r="B139" s="3"/>
      <c r="C139" s="3"/>
      <c r="D139" s="3"/>
      <c r="E139" s="3"/>
      <c r="F139" s="3"/>
      <c r="G139" s="3"/>
      <c r="H139" s="3"/>
      <c r="I139" s="3"/>
      <c r="J139" s="3"/>
    </row>
    <row r="140" customFormat="false" ht="17.35" hidden="false" customHeight="false" outlineLevel="0" collapsed="false">
      <c r="B140" s="3"/>
      <c r="C140" s="3"/>
      <c r="D140" s="3"/>
      <c r="E140" s="3"/>
      <c r="F140" s="3"/>
      <c r="G140" s="3"/>
      <c r="H140" s="3"/>
      <c r="I140" s="3"/>
      <c r="J140" s="3"/>
    </row>
    <row r="141" customFormat="false" ht="17.35" hidden="false" customHeight="false" outlineLevel="0" collapsed="false">
      <c r="B141" s="3"/>
      <c r="C141" s="3"/>
      <c r="D141" s="3"/>
      <c r="E141" s="3"/>
      <c r="F141" s="3"/>
      <c r="G141" s="3"/>
      <c r="H141" s="3"/>
      <c r="I141" s="3"/>
      <c r="J141" s="3"/>
    </row>
    <row r="142" customFormat="false" ht="17.35" hidden="false" customHeight="false" outlineLevel="0" collapsed="false">
      <c r="B142" s="3"/>
      <c r="C142" s="3"/>
      <c r="D142" s="3"/>
      <c r="E142" s="3"/>
      <c r="F142" s="3"/>
      <c r="G142" s="3"/>
      <c r="H142" s="3"/>
      <c r="I142" s="3"/>
      <c r="J142" s="3"/>
    </row>
    <row r="143" customFormat="false" ht="17.35" hidden="false" customHeight="false" outlineLevel="0" collapsed="false">
      <c r="I143" s="3"/>
      <c r="J143" s="3"/>
    </row>
  </sheetData>
  <mergeCells count="7">
    <mergeCell ref="B4:J4"/>
    <mergeCell ref="B84:C84"/>
    <mergeCell ref="B86:J86"/>
    <mergeCell ref="B97:H97"/>
    <mergeCell ref="B111:H111"/>
    <mergeCell ref="B126:D126"/>
    <mergeCell ref="F126:H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Y140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C102" activeCellId="0" sqref="C10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7.84"/>
    <col collapsed="false" customWidth="true" hidden="false" outlineLevel="0" max="3" min="3" style="0" width="22"/>
    <col collapsed="false" customWidth="true" hidden="false" outlineLevel="0" max="4" min="4" style="0" width="18.67"/>
    <col collapsed="false" customWidth="true" hidden="false" outlineLevel="0" max="5" min="5" style="0" width="22.67"/>
    <col collapsed="false" customWidth="true" hidden="false" outlineLevel="0" max="6" min="6" style="0" width="16.84"/>
    <col collapsed="false" customWidth="true" hidden="false" outlineLevel="0" max="7" min="7" style="0" width="22.33"/>
    <col collapsed="false" customWidth="true" hidden="false" outlineLevel="0" max="8" min="8" style="0" width="16.33"/>
    <col collapsed="false" customWidth="true" hidden="false" outlineLevel="0" max="9" min="9" style="0" width="15.16"/>
    <col collapsed="false" customWidth="true" hidden="false" outlineLevel="0" max="10" min="10" style="0" width="13.5"/>
    <col collapsed="false" customWidth="true" hidden="false" outlineLevel="0" max="13" min="11" style="0" width="15.16"/>
    <col collapsed="false" customWidth="true" hidden="false" outlineLevel="0" max="14" min="14" style="0" width="15.33"/>
    <col collapsed="false" customWidth="true" hidden="false" outlineLevel="0" max="15" min="15" style="0" width="13.67"/>
    <col collapsed="false" customWidth="true" hidden="false" outlineLevel="0" max="17" min="16" style="0" width="11"/>
    <col collapsed="false" customWidth="true" hidden="false" outlineLevel="0" max="18" min="18" style="0" width="14.82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2" min="21" style="0" width="11"/>
    <col collapsed="false" customWidth="true" hidden="false" outlineLevel="0" max="23" min="23" style="0" width="17.33"/>
  </cols>
  <sheetData>
    <row r="3" customFormat="false" ht="17.35" hidden="false" customHeight="false" outlineLevel="0" collapsed="false">
      <c r="B3" s="4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4"/>
      <c r="U3" s="4"/>
      <c r="V3" s="4"/>
      <c r="W3" s="5"/>
      <c r="X3" s="126"/>
    </row>
    <row r="4" customFormat="false" ht="22.05" hidden="false" customHeight="false" outlineLevel="0" collapsed="false">
      <c r="B4" s="7" t="s">
        <v>162</v>
      </c>
      <c r="C4" s="7"/>
      <c r="D4" s="7"/>
      <c r="E4" s="7"/>
      <c r="F4" s="7"/>
      <c r="G4" s="7"/>
      <c r="H4" s="7"/>
      <c r="I4" s="7"/>
      <c r="J4" s="7"/>
      <c r="K4" s="5"/>
      <c r="L4" s="5"/>
      <c r="M4" s="5"/>
      <c r="N4" s="5"/>
      <c r="O4" s="5"/>
      <c r="P4" s="5"/>
      <c r="Q4" s="5"/>
      <c r="R4" s="5"/>
      <c r="S4" s="6"/>
      <c r="T4" s="4"/>
      <c r="U4" s="4"/>
      <c r="V4" s="4"/>
      <c r="W4" s="5"/>
      <c r="X4" s="126"/>
    </row>
    <row r="5" customFormat="false" ht="17.35" hidden="false" customHeight="false" outlineLevel="0" collapsed="false">
      <c r="B5" s="9" t="s">
        <v>5</v>
      </c>
      <c r="C5" s="9" t="s">
        <v>6</v>
      </c>
      <c r="D5" s="9" t="s">
        <v>37</v>
      </c>
      <c r="E5" s="10" t="s">
        <v>109</v>
      </c>
      <c r="F5" s="9" t="s">
        <v>10</v>
      </c>
      <c r="G5" s="9" t="s">
        <v>23</v>
      </c>
      <c r="H5" s="9" t="s">
        <v>13</v>
      </c>
      <c r="I5" s="9" t="s">
        <v>14</v>
      </c>
      <c r="J5" s="9" t="s">
        <v>111</v>
      </c>
      <c r="K5" s="8"/>
      <c r="L5" s="11"/>
      <c r="M5" s="12"/>
      <c r="N5" s="128"/>
      <c r="O5" s="128"/>
      <c r="P5" s="12"/>
      <c r="Q5" s="12"/>
      <c r="R5" s="12"/>
      <c r="S5" s="12"/>
      <c r="T5" s="11"/>
      <c r="U5" s="11"/>
      <c r="V5" s="126"/>
    </row>
    <row r="6" customFormat="false" ht="17.35" hidden="false" customHeight="false" outlineLevel="0" collapsed="false">
      <c r="B6" s="13" t="n">
        <v>1</v>
      </c>
      <c r="C6" s="14" t="s">
        <v>18</v>
      </c>
      <c r="D6" s="15" t="n">
        <v>4500</v>
      </c>
      <c r="E6" s="15" t="n">
        <v>2430</v>
      </c>
      <c r="F6" s="13" t="n">
        <v>1</v>
      </c>
      <c r="G6" s="13" t="n">
        <f aca="false">+D6*F6</f>
        <v>4500</v>
      </c>
      <c r="H6" s="13" t="n">
        <f aca="false">+E6*F6</f>
        <v>2430</v>
      </c>
      <c r="I6" s="16" t="n">
        <f aca="false">+D6*E6/1000000</f>
        <v>10.935</v>
      </c>
      <c r="J6" s="17" t="n">
        <f aca="false">+F6*I6</f>
        <v>10.935</v>
      </c>
      <c r="K6" s="3"/>
      <c r="L6" s="4"/>
      <c r="M6" s="4"/>
      <c r="N6" s="129"/>
      <c r="O6" s="129"/>
      <c r="P6" s="4"/>
      <c r="Q6" s="4"/>
      <c r="R6" s="4"/>
      <c r="S6" s="4"/>
      <c r="T6" s="4"/>
      <c r="U6" s="4"/>
      <c r="V6" s="126"/>
    </row>
    <row r="7" customFormat="false" ht="17.35" hidden="false" customHeight="false" outlineLevel="0" collapsed="false">
      <c r="B7" s="13" t="n">
        <v>1</v>
      </c>
      <c r="C7" s="14" t="s">
        <v>18</v>
      </c>
      <c r="D7" s="15" t="n">
        <v>3680</v>
      </c>
      <c r="E7" s="15" t="n">
        <v>2430</v>
      </c>
      <c r="F7" s="13" t="n">
        <v>1</v>
      </c>
      <c r="G7" s="13" t="n">
        <f aca="false">+D7*F7</f>
        <v>3680</v>
      </c>
      <c r="H7" s="13" t="n">
        <f aca="false">+E7*F7</f>
        <v>2430</v>
      </c>
      <c r="I7" s="16" t="n">
        <f aca="false">+D7*E7/1000000</f>
        <v>8.9424</v>
      </c>
      <c r="J7" s="16" t="n">
        <f aca="false">F7*I7</f>
        <v>8.9424</v>
      </c>
      <c r="K7" s="3"/>
      <c r="L7" s="4"/>
      <c r="M7" s="4"/>
      <c r="N7" s="129"/>
      <c r="O7" s="129"/>
      <c r="P7" s="4"/>
      <c r="Q7" s="4"/>
      <c r="R7" s="4"/>
      <c r="S7" s="4"/>
      <c r="T7" s="4"/>
      <c r="U7" s="4"/>
      <c r="V7" s="126"/>
    </row>
    <row r="8" customFormat="false" ht="17.35" hidden="false" customHeight="false" outlineLevel="0" collapsed="false">
      <c r="B8" s="13" t="n">
        <v>2</v>
      </c>
      <c r="C8" s="14" t="s">
        <v>18</v>
      </c>
      <c r="D8" s="15" t="n">
        <v>3050</v>
      </c>
      <c r="E8" s="15" t="n">
        <v>2440</v>
      </c>
      <c r="F8" s="13" t="n">
        <v>1</v>
      </c>
      <c r="G8" s="13" t="n">
        <f aca="false">+D8*F8</f>
        <v>3050</v>
      </c>
      <c r="H8" s="13" t="n">
        <f aca="false">+E8*F8</f>
        <v>2440</v>
      </c>
      <c r="I8" s="16" t="n">
        <f aca="false">+D8*E8/1000000</f>
        <v>7.442</v>
      </c>
      <c r="J8" s="16" t="n">
        <f aca="false">F8*I8</f>
        <v>7.442</v>
      </c>
      <c r="K8" s="3"/>
      <c r="L8" s="4"/>
      <c r="M8" s="4"/>
      <c r="N8" s="129"/>
      <c r="O8" s="129"/>
      <c r="P8" s="4"/>
      <c r="Q8" s="4"/>
      <c r="R8" s="4"/>
      <c r="S8" s="4"/>
      <c r="T8" s="4"/>
      <c r="U8" s="4"/>
      <c r="V8" s="126"/>
    </row>
    <row r="9" customFormat="false" ht="17.35" hidden="false" customHeight="false" outlineLevel="0" collapsed="false">
      <c r="B9" s="13" t="n">
        <v>3</v>
      </c>
      <c r="C9" s="14" t="s">
        <v>18</v>
      </c>
      <c r="D9" s="15" t="n">
        <v>2890</v>
      </c>
      <c r="E9" s="15" t="n">
        <v>2440</v>
      </c>
      <c r="F9" s="13" t="n">
        <v>1</v>
      </c>
      <c r="G9" s="13" t="n">
        <f aca="false">+D9*F9</f>
        <v>2890</v>
      </c>
      <c r="H9" s="13" t="n">
        <f aca="false">+E9*F9</f>
        <v>2440</v>
      </c>
      <c r="I9" s="16" t="n">
        <f aca="false">+D9*E9/1000000</f>
        <v>7.0516</v>
      </c>
      <c r="J9" s="16" t="n">
        <f aca="false">F9*I9</f>
        <v>7.0516</v>
      </c>
      <c r="K9" s="3"/>
      <c r="L9" s="4"/>
      <c r="M9" s="4"/>
      <c r="N9" s="129"/>
      <c r="O9" s="129"/>
      <c r="P9" s="4"/>
      <c r="Q9" s="4"/>
      <c r="R9" s="4"/>
      <c r="S9" s="4"/>
      <c r="T9" s="4"/>
      <c r="U9" s="4"/>
      <c r="V9" s="126"/>
    </row>
    <row r="10" customFormat="false" ht="17.35" hidden="false" customHeight="false" outlineLevel="0" collapsed="false">
      <c r="B10" s="13" t="n">
        <v>4</v>
      </c>
      <c r="C10" s="14" t="s">
        <v>18</v>
      </c>
      <c r="D10" s="15" t="n">
        <v>5000</v>
      </c>
      <c r="E10" s="15" t="n">
        <v>2800</v>
      </c>
      <c r="F10" s="13" t="n">
        <v>1</v>
      </c>
      <c r="G10" s="13" t="n">
        <f aca="false">+D10*F10</f>
        <v>5000</v>
      </c>
      <c r="H10" s="13" t="n">
        <f aca="false">+E10*F10</f>
        <v>2800</v>
      </c>
      <c r="I10" s="16" t="n">
        <f aca="false">+D10*E10/1000000</f>
        <v>14</v>
      </c>
      <c r="J10" s="16" t="n">
        <f aca="false">F10*I10</f>
        <v>14</v>
      </c>
      <c r="K10" s="3"/>
      <c r="L10" s="4"/>
      <c r="M10" s="4"/>
      <c r="N10" s="129"/>
      <c r="O10" s="129"/>
      <c r="P10" s="4"/>
      <c r="Q10" s="4"/>
      <c r="R10" s="4"/>
      <c r="S10" s="4"/>
      <c r="T10" s="4"/>
      <c r="U10" s="4"/>
      <c r="V10" s="126"/>
    </row>
    <row r="11" customFormat="false" ht="17.35" hidden="false" customHeight="false" outlineLevel="0" collapsed="false">
      <c r="B11" s="13" t="n">
        <v>5</v>
      </c>
      <c r="C11" s="14" t="s">
        <v>18</v>
      </c>
      <c r="D11" s="15" t="n">
        <v>5170</v>
      </c>
      <c r="E11" s="15" t="n">
        <v>2800</v>
      </c>
      <c r="F11" s="13" t="n">
        <v>1</v>
      </c>
      <c r="G11" s="13" t="n">
        <f aca="false">+D11*F11</f>
        <v>5170</v>
      </c>
      <c r="H11" s="13" t="n">
        <f aca="false">+E11*F11</f>
        <v>2800</v>
      </c>
      <c r="I11" s="16" t="n">
        <f aca="false">+D11*E11/1000000</f>
        <v>14.476</v>
      </c>
      <c r="J11" s="16" t="n">
        <f aca="false">F11*I11</f>
        <v>14.476</v>
      </c>
      <c r="K11" s="3"/>
      <c r="L11" s="4"/>
      <c r="M11" s="4"/>
      <c r="N11" s="129"/>
      <c r="O11" s="129"/>
      <c r="P11" s="4"/>
      <c r="Q11" s="4"/>
      <c r="R11" s="4"/>
      <c r="S11" s="4"/>
      <c r="T11" s="4"/>
      <c r="U11" s="4"/>
      <c r="V11" s="126"/>
    </row>
    <row r="12" customFormat="false" ht="17.35" hidden="false" customHeight="false" outlineLevel="0" collapsed="false">
      <c r="B12" s="13" t="n">
        <v>6</v>
      </c>
      <c r="C12" s="14"/>
      <c r="D12" s="15" t="n">
        <v>5250</v>
      </c>
      <c r="E12" s="15" t="n">
        <v>2800</v>
      </c>
      <c r="F12" s="13" t="n">
        <v>1</v>
      </c>
      <c r="G12" s="13" t="n">
        <f aca="false">+D12*F12</f>
        <v>5250</v>
      </c>
      <c r="H12" s="13" t="n">
        <f aca="false">+E12*F12</f>
        <v>2800</v>
      </c>
      <c r="I12" s="16" t="n">
        <f aca="false">+D12*E12/1000000</f>
        <v>14.7</v>
      </c>
      <c r="J12" s="16" t="n">
        <f aca="false">F12*I12</f>
        <v>14.7</v>
      </c>
      <c r="K12" s="3"/>
      <c r="L12" s="4"/>
      <c r="M12" s="4"/>
      <c r="N12" s="129"/>
      <c r="O12" s="129"/>
      <c r="P12" s="4"/>
      <c r="Q12" s="4"/>
      <c r="R12" s="4"/>
      <c r="S12" s="4"/>
      <c r="T12" s="4"/>
      <c r="U12" s="4"/>
      <c r="V12" s="126"/>
    </row>
    <row r="13" customFormat="false" ht="17.35" hidden="false" customHeight="false" outlineLevel="0" collapsed="false">
      <c r="B13" s="13" t="n">
        <v>7</v>
      </c>
      <c r="C13" s="14"/>
      <c r="D13" s="15" t="n">
        <v>5000</v>
      </c>
      <c r="E13" s="15" t="n">
        <v>2800</v>
      </c>
      <c r="F13" s="13" t="n">
        <v>1</v>
      </c>
      <c r="G13" s="13" t="n">
        <f aca="false">+D13*F13</f>
        <v>5000</v>
      </c>
      <c r="H13" s="13" t="n">
        <f aca="false">+E13*F13</f>
        <v>2800</v>
      </c>
      <c r="I13" s="16" t="n">
        <f aca="false">+D13*E13/1000000</f>
        <v>14</v>
      </c>
      <c r="J13" s="16" t="n">
        <f aca="false">F13*I13</f>
        <v>14</v>
      </c>
      <c r="K13" s="3"/>
      <c r="L13" s="4"/>
      <c r="M13" s="4"/>
      <c r="N13" s="129"/>
      <c r="O13" s="129"/>
      <c r="P13" s="4"/>
      <c r="Q13" s="4"/>
      <c r="R13" s="4"/>
      <c r="S13" s="4"/>
      <c r="T13" s="4"/>
      <c r="U13" s="4"/>
      <c r="V13" s="126"/>
    </row>
    <row r="14" customFormat="false" ht="17.35" hidden="false" customHeight="false" outlineLevel="0" collapsed="false">
      <c r="B14" s="13" t="n">
        <v>8</v>
      </c>
      <c r="C14" s="14"/>
      <c r="D14" s="15" t="n">
        <v>4930</v>
      </c>
      <c r="E14" s="15" t="n">
        <v>2800</v>
      </c>
      <c r="F14" s="13" t="n">
        <v>1</v>
      </c>
      <c r="G14" s="13" t="n">
        <f aca="false">+D14*F14</f>
        <v>4930</v>
      </c>
      <c r="H14" s="13" t="n">
        <f aca="false">+E14*F14</f>
        <v>2800</v>
      </c>
      <c r="I14" s="16" t="n">
        <f aca="false">+D14*E14/1000000</f>
        <v>13.804</v>
      </c>
      <c r="J14" s="16" t="n">
        <f aca="false">F14*I14</f>
        <v>13.804</v>
      </c>
      <c r="K14" s="3"/>
      <c r="L14" s="4"/>
      <c r="M14" s="4"/>
      <c r="N14" s="129"/>
      <c r="O14" s="129"/>
      <c r="P14" s="4"/>
      <c r="Q14" s="4"/>
      <c r="R14" s="4"/>
      <c r="S14" s="4"/>
      <c r="T14" s="4"/>
      <c r="U14" s="4"/>
      <c r="V14" s="126"/>
    </row>
    <row r="15" customFormat="false" ht="17.35" hidden="false" customHeight="false" outlineLevel="0" collapsed="false">
      <c r="B15" s="13" t="n">
        <v>9</v>
      </c>
      <c r="C15" s="14"/>
      <c r="D15" s="15"/>
      <c r="E15" s="15"/>
      <c r="F15" s="13"/>
      <c r="G15" s="13" t="n">
        <f aca="false">+D15*F15</f>
        <v>0</v>
      </c>
      <c r="H15" s="13" t="n">
        <f aca="false">+E15*F15</f>
        <v>0</v>
      </c>
      <c r="I15" s="16" t="n">
        <f aca="false">+D15*E15/1000000</f>
        <v>0</v>
      </c>
      <c r="J15" s="16" t="n">
        <f aca="false">F15*I15</f>
        <v>0</v>
      </c>
      <c r="K15" s="3"/>
      <c r="L15" s="4"/>
      <c r="M15" s="4"/>
      <c r="N15" s="129"/>
      <c r="O15" s="129"/>
      <c r="P15" s="4"/>
      <c r="Q15" s="4"/>
      <c r="R15" s="4"/>
      <c r="S15" s="4"/>
      <c r="T15" s="4"/>
      <c r="U15" s="4"/>
      <c r="V15" s="126"/>
    </row>
    <row r="16" customFormat="false" ht="17.35" hidden="false" customHeight="false" outlineLevel="0" collapsed="false">
      <c r="B16" s="13" t="n">
        <v>10</v>
      </c>
      <c r="C16" s="14"/>
      <c r="D16" s="15"/>
      <c r="E16" s="15"/>
      <c r="F16" s="13"/>
      <c r="G16" s="13" t="n">
        <f aca="false">+D16*F16</f>
        <v>0</v>
      </c>
      <c r="H16" s="13" t="n">
        <f aca="false">+E16*F16</f>
        <v>0</v>
      </c>
      <c r="I16" s="16" t="n">
        <f aca="false">+D16*E16/1000000</f>
        <v>0</v>
      </c>
      <c r="J16" s="16" t="n">
        <f aca="false">F16*I16</f>
        <v>0</v>
      </c>
      <c r="K16" s="3"/>
      <c r="L16" s="4"/>
      <c r="M16" s="4"/>
      <c r="N16" s="129"/>
      <c r="O16" s="129"/>
      <c r="P16" s="4"/>
      <c r="Q16" s="4"/>
      <c r="R16" s="4"/>
      <c r="S16" s="4"/>
      <c r="T16" s="4"/>
      <c r="U16" s="4"/>
      <c r="V16" s="126"/>
    </row>
    <row r="17" customFormat="false" ht="17.35" hidden="false" customHeight="false" outlineLevel="0" collapsed="false">
      <c r="B17" s="13" t="n">
        <v>11</v>
      </c>
      <c r="C17" s="14"/>
      <c r="D17" s="15"/>
      <c r="E17" s="15"/>
      <c r="F17" s="13"/>
      <c r="G17" s="13" t="n">
        <f aca="false">+D17*F17</f>
        <v>0</v>
      </c>
      <c r="H17" s="13" t="n">
        <f aca="false">+E17*F17</f>
        <v>0</v>
      </c>
      <c r="I17" s="16" t="n">
        <f aca="false">+D17*E17/1000000</f>
        <v>0</v>
      </c>
      <c r="J17" s="16" t="n">
        <f aca="false">F17*I17</f>
        <v>0</v>
      </c>
      <c r="K17" s="3"/>
      <c r="L17" s="4"/>
      <c r="M17" s="4"/>
      <c r="N17" s="129"/>
      <c r="O17" s="129"/>
      <c r="P17" s="4"/>
      <c r="Q17" s="4"/>
      <c r="R17" s="4"/>
      <c r="S17" s="4"/>
      <c r="T17" s="4"/>
      <c r="U17" s="4"/>
      <c r="V17" s="126"/>
    </row>
    <row r="18" customFormat="false" ht="17.35" hidden="false" customHeight="false" outlineLevel="0" collapsed="false">
      <c r="B18" s="13" t="n">
        <v>12</v>
      </c>
      <c r="C18" s="14"/>
      <c r="D18" s="15"/>
      <c r="E18" s="15"/>
      <c r="F18" s="13"/>
      <c r="G18" s="13" t="n">
        <f aca="false">+D18*F18</f>
        <v>0</v>
      </c>
      <c r="H18" s="13" t="n">
        <f aca="false">+E18*F18</f>
        <v>0</v>
      </c>
      <c r="I18" s="16" t="n">
        <f aca="false">+D18*E18/1000000</f>
        <v>0</v>
      </c>
      <c r="J18" s="16" t="n">
        <f aca="false">F18*I18</f>
        <v>0</v>
      </c>
      <c r="K18" s="3"/>
      <c r="L18" s="4"/>
      <c r="M18" s="4"/>
      <c r="N18" s="129"/>
      <c r="O18" s="129"/>
      <c r="P18" s="4"/>
      <c r="Q18" s="4"/>
      <c r="R18" s="4"/>
      <c r="S18" s="4"/>
      <c r="T18" s="4"/>
      <c r="U18" s="4"/>
      <c r="V18" s="126"/>
    </row>
    <row r="19" customFormat="false" ht="17.35" hidden="false" customHeight="false" outlineLevel="0" collapsed="false">
      <c r="B19" s="13" t="n">
        <v>13</v>
      </c>
      <c r="C19" s="14"/>
      <c r="D19" s="15"/>
      <c r="E19" s="15"/>
      <c r="F19" s="13"/>
      <c r="G19" s="13" t="n">
        <f aca="false">+D19*F19</f>
        <v>0</v>
      </c>
      <c r="H19" s="13" t="n">
        <f aca="false">+E19*F19</f>
        <v>0</v>
      </c>
      <c r="I19" s="16" t="n">
        <f aca="false">+D19*E19/1000000</f>
        <v>0</v>
      </c>
      <c r="J19" s="16" t="n">
        <f aca="false">F19*I19</f>
        <v>0</v>
      </c>
      <c r="K19" s="3"/>
      <c r="L19" s="4"/>
      <c r="M19" s="4"/>
      <c r="N19" s="129"/>
      <c r="O19" s="129"/>
      <c r="P19" s="4"/>
      <c r="Q19" s="4"/>
      <c r="R19" s="4"/>
      <c r="S19" s="4"/>
      <c r="T19" s="4"/>
      <c r="U19" s="4"/>
      <c r="V19" s="126"/>
    </row>
    <row r="20" customFormat="false" ht="17.35" hidden="false" customHeight="false" outlineLevel="0" collapsed="false">
      <c r="B20" s="13" t="n">
        <v>14</v>
      </c>
      <c r="C20" s="14"/>
      <c r="D20" s="15"/>
      <c r="E20" s="15"/>
      <c r="F20" s="13"/>
      <c r="G20" s="13" t="n">
        <f aca="false">+D20*F20</f>
        <v>0</v>
      </c>
      <c r="H20" s="13" t="n">
        <f aca="false">+E20*F20</f>
        <v>0</v>
      </c>
      <c r="I20" s="16" t="n">
        <f aca="false">+D20*E20/1000000</f>
        <v>0</v>
      </c>
      <c r="J20" s="16" t="n">
        <f aca="false">F20*I20</f>
        <v>0</v>
      </c>
      <c r="K20" s="3"/>
      <c r="L20" s="4"/>
      <c r="M20" s="4"/>
      <c r="N20" s="129"/>
      <c r="O20" s="129"/>
      <c r="P20" s="4"/>
      <c r="Q20" s="4"/>
      <c r="R20" s="4"/>
      <c r="S20" s="4"/>
      <c r="T20" s="4"/>
      <c r="U20" s="4"/>
      <c r="V20" s="126"/>
    </row>
    <row r="21" customFormat="false" ht="17.35" hidden="false" customHeight="false" outlineLevel="0" collapsed="false">
      <c r="B21" s="13" t="n">
        <v>15</v>
      </c>
      <c r="C21" s="14"/>
      <c r="D21" s="15"/>
      <c r="E21" s="15"/>
      <c r="F21" s="13"/>
      <c r="G21" s="13" t="n">
        <f aca="false">+D21*F21</f>
        <v>0</v>
      </c>
      <c r="H21" s="13" t="n">
        <f aca="false">+E21*F21</f>
        <v>0</v>
      </c>
      <c r="I21" s="16" t="n">
        <f aca="false">+D21*E21/1000000</f>
        <v>0</v>
      </c>
      <c r="J21" s="16" t="n">
        <f aca="false">F21*I21</f>
        <v>0</v>
      </c>
      <c r="K21" s="3"/>
      <c r="L21" s="4"/>
      <c r="M21" s="4"/>
      <c r="N21" s="129"/>
      <c r="O21" s="129"/>
      <c r="P21" s="4"/>
      <c r="Q21" s="4"/>
      <c r="R21" s="4"/>
      <c r="S21" s="4"/>
      <c r="T21" s="4"/>
      <c r="U21" s="4"/>
      <c r="V21" s="126"/>
    </row>
    <row r="22" customFormat="false" ht="17.35" hidden="false" customHeight="false" outlineLevel="0" collapsed="false">
      <c r="B22" s="13" t="n">
        <v>16</v>
      </c>
      <c r="C22" s="14"/>
      <c r="D22" s="15"/>
      <c r="E22" s="15"/>
      <c r="F22" s="13"/>
      <c r="G22" s="13" t="n">
        <f aca="false">+D22*F22</f>
        <v>0</v>
      </c>
      <c r="H22" s="13" t="n">
        <f aca="false">+E22*F22</f>
        <v>0</v>
      </c>
      <c r="I22" s="16" t="n">
        <f aca="false">+D22*E22/1000000</f>
        <v>0</v>
      </c>
      <c r="J22" s="16" t="n">
        <f aca="false">F22*I22</f>
        <v>0</v>
      </c>
      <c r="K22" s="3"/>
      <c r="L22" s="4"/>
      <c r="M22" s="4"/>
      <c r="N22" s="129"/>
      <c r="O22" s="129"/>
      <c r="P22" s="4"/>
      <c r="Q22" s="4"/>
      <c r="R22" s="4"/>
      <c r="S22" s="4"/>
      <c r="T22" s="4"/>
      <c r="U22" s="4"/>
      <c r="V22" s="126"/>
    </row>
    <row r="23" customFormat="false" ht="17.35" hidden="false" customHeight="false" outlineLevel="0" collapsed="false">
      <c r="B23" s="13" t="n">
        <v>17</v>
      </c>
      <c r="C23" s="14"/>
      <c r="D23" s="15"/>
      <c r="E23" s="15"/>
      <c r="F23" s="13"/>
      <c r="G23" s="13" t="n">
        <f aca="false">+D23*F23</f>
        <v>0</v>
      </c>
      <c r="H23" s="13" t="n">
        <f aca="false">+E23*F23</f>
        <v>0</v>
      </c>
      <c r="I23" s="16" t="n">
        <f aca="false">+D23*E23/1000000</f>
        <v>0</v>
      </c>
      <c r="J23" s="16" t="n">
        <f aca="false">F23*I23</f>
        <v>0</v>
      </c>
      <c r="K23" s="3"/>
      <c r="L23" s="4"/>
      <c r="M23" s="4"/>
      <c r="N23" s="129"/>
      <c r="O23" s="129"/>
      <c r="P23" s="4"/>
      <c r="Q23" s="4"/>
      <c r="R23" s="4"/>
      <c r="S23" s="4" t="s">
        <v>163</v>
      </c>
      <c r="T23" s="4"/>
      <c r="U23" s="4"/>
      <c r="V23" s="126"/>
    </row>
    <row r="24" customFormat="false" ht="17.35" hidden="false" customHeight="false" outlineLevel="0" collapsed="false">
      <c r="B24" s="13" t="n">
        <v>18</v>
      </c>
      <c r="C24" s="14"/>
      <c r="D24" s="15"/>
      <c r="E24" s="15"/>
      <c r="F24" s="13"/>
      <c r="G24" s="13" t="n">
        <f aca="false">+D24*F24</f>
        <v>0</v>
      </c>
      <c r="H24" s="13" t="n">
        <f aca="false">+E24*F24</f>
        <v>0</v>
      </c>
      <c r="I24" s="16" t="n">
        <f aca="false">+D24*E24/1000000</f>
        <v>0</v>
      </c>
      <c r="J24" s="16" t="n">
        <f aca="false">F24*I24</f>
        <v>0</v>
      </c>
      <c r="K24" s="3"/>
      <c r="L24" s="4"/>
      <c r="M24" s="4"/>
      <c r="N24" s="129"/>
      <c r="O24" s="129"/>
      <c r="P24" s="4"/>
      <c r="Q24" s="4"/>
      <c r="R24" s="4"/>
      <c r="S24" s="4"/>
      <c r="T24" s="4"/>
      <c r="U24" s="4"/>
      <c r="V24" s="126"/>
    </row>
    <row r="25" customFormat="false" ht="17.35" hidden="false" customHeight="false" outlineLevel="0" collapsed="false">
      <c r="B25" s="13" t="n">
        <v>19</v>
      </c>
      <c r="C25" s="14"/>
      <c r="D25" s="15"/>
      <c r="E25" s="15"/>
      <c r="F25" s="13"/>
      <c r="G25" s="13" t="n">
        <f aca="false">+D25*F25</f>
        <v>0</v>
      </c>
      <c r="H25" s="13" t="n">
        <f aca="false">+E25*F25</f>
        <v>0</v>
      </c>
      <c r="I25" s="16" t="n">
        <f aca="false">+D25*E25/1000000</f>
        <v>0</v>
      </c>
      <c r="J25" s="16" t="n">
        <f aca="false">F25*I25</f>
        <v>0</v>
      </c>
      <c r="K25" s="3"/>
      <c r="L25" s="4"/>
      <c r="M25" s="4"/>
      <c r="N25" s="129"/>
      <c r="O25" s="129"/>
      <c r="P25" s="4"/>
      <c r="Q25" s="4"/>
      <c r="R25" s="4"/>
      <c r="S25" s="4"/>
      <c r="T25" s="4"/>
      <c r="U25" s="4"/>
      <c r="V25" s="126"/>
    </row>
    <row r="26" customFormat="false" ht="17.35" hidden="false" customHeight="false" outlineLevel="0" collapsed="false">
      <c r="B26" s="13" t="n">
        <v>20</v>
      </c>
      <c r="C26" s="14"/>
      <c r="D26" s="15"/>
      <c r="E26" s="15"/>
      <c r="F26" s="13"/>
      <c r="G26" s="13" t="n">
        <f aca="false">+D26*F26</f>
        <v>0</v>
      </c>
      <c r="H26" s="13" t="n">
        <f aca="false">+E26*F26</f>
        <v>0</v>
      </c>
      <c r="I26" s="16" t="n">
        <f aca="false">+D26*E26/1000000</f>
        <v>0</v>
      </c>
      <c r="J26" s="16" t="n">
        <f aca="false">F26*I26</f>
        <v>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126"/>
    </row>
    <row r="27" customFormat="false" ht="17.35" hidden="false" customHeight="false" outlineLevel="0" collapsed="false">
      <c r="B27" s="13" t="n">
        <v>21</v>
      </c>
      <c r="C27" s="14"/>
      <c r="D27" s="15"/>
      <c r="E27" s="15"/>
      <c r="F27" s="13"/>
      <c r="G27" s="13" t="n">
        <f aca="false">+D27*F27</f>
        <v>0</v>
      </c>
      <c r="H27" s="13" t="n">
        <f aca="false">+E27*F27</f>
        <v>0</v>
      </c>
      <c r="I27" s="16" t="n">
        <f aca="false">+D27*E27/1000000</f>
        <v>0</v>
      </c>
      <c r="J27" s="16" t="n">
        <f aca="false">F27*I27</f>
        <v>0</v>
      </c>
      <c r="K27" s="12"/>
      <c r="L27" s="3"/>
      <c r="M27" s="3"/>
      <c r="N27" s="4"/>
      <c r="O27" s="4"/>
      <c r="P27" s="4"/>
      <c r="Q27" s="12"/>
      <c r="R27" s="12"/>
      <c r="S27" s="12"/>
      <c r="T27" s="12"/>
      <c r="U27" s="12"/>
      <c r="V27" s="12"/>
      <c r="W27" s="12"/>
      <c r="X27" s="4"/>
      <c r="Y27" s="3"/>
    </row>
    <row r="28" customFormat="false" ht="17.35" hidden="false" customHeight="false" outlineLevel="0" collapsed="false">
      <c r="B28" s="13" t="n">
        <v>22</v>
      </c>
      <c r="C28" s="14"/>
      <c r="D28" s="15"/>
      <c r="E28" s="15"/>
      <c r="F28" s="13"/>
      <c r="G28" s="13" t="n">
        <f aca="false">+D28*F28</f>
        <v>0</v>
      </c>
      <c r="H28" s="13" t="n">
        <f aca="false">+E28*F28</f>
        <v>0</v>
      </c>
      <c r="I28" s="16" t="n">
        <f aca="false">+D28*E28/1000000</f>
        <v>0</v>
      </c>
      <c r="J28" s="16" t="n">
        <f aca="false">F28*I28</f>
        <v>0</v>
      </c>
      <c r="K28" s="22"/>
      <c r="L28" s="3"/>
      <c r="M28" s="3"/>
      <c r="N28" s="4"/>
      <c r="O28" s="4"/>
      <c r="P28" s="4"/>
      <c r="Q28" s="4"/>
      <c r="R28" s="4"/>
      <c r="S28" s="4"/>
      <c r="T28" s="21"/>
      <c r="U28" s="21"/>
      <c r="V28" s="22"/>
      <c r="W28" s="22"/>
      <c r="X28" s="4"/>
      <c r="Y28" s="3"/>
    </row>
    <row r="29" customFormat="false" ht="17.35" hidden="false" customHeight="false" outlineLevel="0" collapsed="false">
      <c r="B29" s="13" t="n">
        <v>23</v>
      </c>
      <c r="C29" s="14"/>
      <c r="D29" s="15"/>
      <c r="E29" s="15"/>
      <c r="F29" s="13"/>
      <c r="G29" s="13" t="n">
        <f aca="false">+D29*F29</f>
        <v>0</v>
      </c>
      <c r="H29" s="13" t="n">
        <f aca="false">+E29*F29</f>
        <v>0</v>
      </c>
      <c r="I29" s="16" t="n">
        <f aca="false">+D29*E29/1000000</f>
        <v>0</v>
      </c>
      <c r="J29" s="16" t="n">
        <f aca="false">F29*I29</f>
        <v>0</v>
      </c>
      <c r="K29" s="22"/>
      <c r="L29" s="22"/>
      <c r="M29" s="22"/>
      <c r="N29" s="4"/>
      <c r="O29" s="4"/>
      <c r="P29" s="4"/>
      <c r="Q29" s="4"/>
      <c r="R29" s="4"/>
      <c r="S29" s="4"/>
      <c r="T29" s="21"/>
      <c r="U29" s="21"/>
      <c r="V29" s="22"/>
      <c r="W29" s="22"/>
      <c r="X29" s="126"/>
    </row>
    <row r="30" customFormat="false" ht="17.35" hidden="false" customHeight="false" outlineLevel="0" collapsed="false">
      <c r="B30" s="13" t="n">
        <v>24</v>
      </c>
      <c r="C30" s="14"/>
      <c r="D30" s="15"/>
      <c r="E30" s="15"/>
      <c r="F30" s="13"/>
      <c r="G30" s="13" t="n">
        <f aca="false">+D30*F30</f>
        <v>0</v>
      </c>
      <c r="H30" s="13" t="n">
        <f aca="false">+E30*F30</f>
        <v>0</v>
      </c>
      <c r="I30" s="16" t="n">
        <f aca="false">+D30*E30/1000000</f>
        <v>0</v>
      </c>
      <c r="J30" s="16" t="n">
        <f aca="false">F30*I30</f>
        <v>0</v>
      </c>
      <c r="K30" s="22"/>
      <c r="L30" s="22"/>
      <c r="M30" s="22"/>
      <c r="N30" s="4"/>
      <c r="O30" s="4"/>
      <c r="P30" s="4"/>
      <c r="Q30" s="4"/>
      <c r="R30" s="4"/>
      <c r="S30" s="4"/>
      <c r="T30" s="21"/>
      <c r="U30" s="21"/>
      <c r="V30" s="22"/>
      <c r="W30" s="22"/>
      <c r="X30" s="126"/>
    </row>
    <row r="31" customFormat="false" ht="17.35" hidden="false" customHeight="false" outlineLevel="0" collapsed="false">
      <c r="B31" s="13" t="n">
        <v>25</v>
      </c>
      <c r="C31" s="14"/>
      <c r="D31" s="15"/>
      <c r="E31" s="15"/>
      <c r="F31" s="13"/>
      <c r="G31" s="13" t="n">
        <f aca="false">+D31*F31</f>
        <v>0</v>
      </c>
      <c r="H31" s="13" t="n">
        <f aca="false">+E31*F31</f>
        <v>0</v>
      </c>
      <c r="I31" s="16" t="n">
        <f aca="false">+D31*E31/1000000</f>
        <v>0</v>
      </c>
      <c r="J31" s="16" t="n">
        <f aca="false">F31*I31</f>
        <v>0</v>
      </c>
      <c r="K31" s="22"/>
      <c r="L31" s="22"/>
      <c r="M31" s="22"/>
      <c r="N31" s="4"/>
      <c r="O31" s="4"/>
      <c r="P31" s="4"/>
      <c r="Q31" s="4"/>
      <c r="R31" s="4"/>
      <c r="S31" s="4"/>
      <c r="T31" s="21"/>
      <c r="U31" s="21"/>
      <c r="V31" s="22"/>
      <c r="W31" s="21"/>
      <c r="X31" s="126"/>
    </row>
    <row r="32" customFormat="false" ht="17.35" hidden="false" customHeight="false" outlineLevel="0" collapsed="false">
      <c r="B32" s="13" t="n">
        <v>26</v>
      </c>
      <c r="C32" s="14"/>
      <c r="D32" s="15"/>
      <c r="E32" s="15"/>
      <c r="F32" s="13"/>
      <c r="G32" s="13" t="n">
        <f aca="false">+D32*F32</f>
        <v>0</v>
      </c>
      <c r="H32" s="13" t="n">
        <f aca="false">+E32*F32</f>
        <v>0</v>
      </c>
      <c r="I32" s="16" t="n">
        <f aca="false">+D32*E32/1000000</f>
        <v>0</v>
      </c>
      <c r="J32" s="16" t="n">
        <f aca="false">F32*I32</f>
        <v>0</v>
      </c>
      <c r="K32" s="23"/>
      <c r="L32" s="23"/>
      <c r="M32" s="23"/>
      <c r="N32" s="4"/>
      <c r="O32" s="4"/>
      <c r="P32" s="4"/>
      <c r="Q32" s="4"/>
      <c r="R32" s="4"/>
      <c r="S32" s="4"/>
      <c r="T32" s="21"/>
      <c r="U32" s="21"/>
      <c r="V32" s="22"/>
      <c r="W32" s="21"/>
      <c r="X32" s="126"/>
    </row>
    <row r="33" customFormat="false" ht="17.35" hidden="false" customHeight="false" outlineLevel="0" collapsed="false">
      <c r="B33" s="13" t="n">
        <v>27</v>
      </c>
      <c r="C33" s="14"/>
      <c r="D33" s="15"/>
      <c r="E33" s="15"/>
      <c r="F33" s="13"/>
      <c r="G33" s="13" t="n">
        <f aca="false">+D33*F33</f>
        <v>0</v>
      </c>
      <c r="H33" s="13" t="n">
        <f aca="false">+E33*F33</f>
        <v>0</v>
      </c>
      <c r="I33" s="16" t="n">
        <f aca="false">+D33*E33/1000000</f>
        <v>0</v>
      </c>
      <c r="J33" s="16" t="n">
        <f aca="false">F33*I33</f>
        <v>0</v>
      </c>
      <c r="K33" s="23"/>
      <c r="L33" s="23"/>
      <c r="M33" s="23"/>
      <c r="N33" s="4"/>
      <c r="O33" s="24"/>
      <c r="P33" s="4"/>
      <c r="Q33" s="4"/>
      <c r="R33" s="4"/>
      <c r="S33" s="4"/>
      <c r="T33" s="21"/>
      <c r="U33" s="21"/>
      <c r="V33" s="22"/>
      <c r="W33" s="21"/>
      <c r="X33" s="126"/>
    </row>
    <row r="34" customFormat="false" ht="17.35" hidden="false" customHeight="false" outlineLevel="0" collapsed="false">
      <c r="B34" s="13" t="n">
        <v>28</v>
      </c>
      <c r="C34" s="14"/>
      <c r="D34" s="15"/>
      <c r="E34" s="15"/>
      <c r="F34" s="13"/>
      <c r="G34" s="13" t="n">
        <f aca="false">+D34*F34</f>
        <v>0</v>
      </c>
      <c r="H34" s="13" t="n">
        <f aca="false">+E34*F34</f>
        <v>0</v>
      </c>
      <c r="I34" s="16" t="n">
        <f aca="false">+D34*E34/1000000</f>
        <v>0</v>
      </c>
      <c r="J34" s="16" t="n">
        <f aca="false">F34*I34</f>
        <v>0</v>
      </c>
      <c r="K34" s="23"/>
      <c r="L34" s="23"/>
      <c r="M34" s="23"/>
      <c r="N34" s="24"/>
      <c r="O34" s="24"/>
      <c r="P34" s="4"/>
      <c r="Q34" s="4"/>
      <c r="R34" s="4"/>
      <c r="S34" s="4"/>
      <c r="T34" s="21"/>
      <c r="U34" s="21"/>
      <c r="V34" s="22"/>
      <c r="W34" s="22"/>
      <c r="X34" s="4"/>
      <c r="Y34" s="3"/>
    </row>
    <row r="35" customFormat="false" ht="17.35" hidden="false" customHeight="false" outlineLevel="0" collapsed="false">
      <c r="B35" s="13" t="n">
        <v>29</v>
      </c>
      <c r="C35" s="14"/>
      <c r="D35" s="15"/>
      <c r="E35" s="15"/>
      <c r="F35" s="13"/>
      <c r="G35" s="13" t="n">
        <f aca="false">+D35*F35</f>
        <v>0</v>
      </c>
      <c r="H35" s="13" t="n">
        <f aca="false">+E35*F35</f>
        <v>0</v>
      </c>
      <c r="I35" s="16" t="n">
        <f aca="false">+D35*E35/1000000</f>
        <v>0</v>
      </c>
      <c r="J35" s="16" t="n">
        <f aca="false">F35*I35</f>
        <v>0</v>
      </c>
      <c r="K35" s="23"/>
      <c r="L35" s="23"/>
      <c r="M35" s="23"/>
      <c r="N35" s="24"/>
      <c r="O35" s="24"/>
      <c r="P35" s="130"/>
      <c r="Q35" s="130"/>
      <c r="R35" s="4"/>
      <c r="S35" s="4"/>
      <c r="T35" s="4"/>
      <c r="U35" s="21"/>
      <c r="V35" s="22"/>
      <c r="W35" s="4"/>
      <c r="X35" s="4"/>
      <c r="Y35" s="3"/>
    </row>
    <row r="36" customFormat="false" ht="17.35" hidden="false" customHeight="false" outlineLevel="0" collapsed="false">
      <c r="B36" s="13" t="n">
        <v>30</v>
      </c>
      <c r="C36" s="14"/>
      <c r="D36" s="15"/>
      <c r="E36" s="15"/>
      <c r="F36" s="13"/>
      <c r="G36" s="13" t="n">
        <f aca="false">+D36*F36</f>
        <v>0</v>
      </c>
      <c r="H36" s="13" t="n">
        <f aca="false">+E36*F36</f>
        <v>0</v>
      </c>
      <c r="I36" s="16" t="n">
        <f aca="false">+D36*E36/1000000</f>
        <v>0</v>
      </c>
      <c r="J36" s="16" t="n">
        <f aca="false">F36*I36</f>
        <v>0</v>
      </c>
      <c r="K36" s="3"/>
      <c r="L36" s="3"/>
      <c r="M36" s="3"/>
      <c r="N36" s="4"/>
      <c r="O36" s="24"/>
      <c r="P36" s="24"/>
      <c r="Q36" s="4"/>
      <c r="R36" s="4"/>
      <c r="S36" s="4"/>
      <c r="T36" s="21"/>
      <c r="U36" s="21"/>
      <c r="V36" s="22"/>
      <c r="W36" s="4"/>
      <c r="X36" s="4"/>
    </row>
    <row r="37" customFormat="false" ht="17.35" hidden="false" customHeight="false" outlineLevel="0" collapsed="false">
      <c r="B37" s="13" t="n">
        <v>31</v>
      </c>
      <c r="C37" s="14"/>
      <c r="D37" s="15"/>
      <c r="E37" s="15"/>
      <c r="F37" s="13"/>
      <c r="G37" s="13" t="n">
        <f aca="false">+D37*F37</f>
        <v>0</v>
      </c>
      <c r="H37" s="13" t="n">
        <f aca="false">+E37*F37</f>
        <v>0</v>
      </c>
      <c r="I37" s="16" t="n">
        <f aca="false">+D37*E37/1000000</f>
        <v>0</v>
      </c>
      <c r="J37" s="16" t="n">
        <f aca="false">F37*I37</f>
        <v>0</v>
      </c>
      <c r="K37" s="22"/>
      <c r="L37" s="3"/>
      <c r="M37" s="25"/>
      <c r="N37" s="4"/>
      <c r="O37" s="24"/>
      <c r="P37" s="24"/>
      <c r="Q37" s="4"/>
      <c r="R37" s="4"/>
      <c r="S37" s="4"/>
      <c r="T37" s="21"/>
      <c r="U37" s="21"/>
      <c r="V37" s="22"/>
      <c r="W37" s="4"/>
      <c r="X37" s="126"/>
    </row>
    <row r="38" customFormat="false" ht="17.35" hidden="false" customHeight="false" outlineLevel="0" collapsed="false">
      <c r="B38" s="13" t="n">
        <v>32</v>
      </c>
      <c r="C38" s="14"/>
      <c r="D38" s="15"/>
      <c r="E38" s="15"/>
      <c r="F38" s="13"/>
      <c r="G38" s="13" t="n">
        <f aca="false">+D38*F38</f>
        <v>0</v>
      </c>
      <c r="H38" s="13" t="n">
        <f aca="false">+E38*F38</f>
        <v>0</v>
      </c>
      <c r="I38" s="16" t="n">
        <f aca="false">+D38*E38/1000000</f>
        <v>0</v>
      </c>
      <c r="J38" s="16" t="n">
        <f aca="false">F38*I38</f>
        <v>0</v>
      </c>
      <c r="K38" s="3"/>
      <c r="L38" s="3"/>
      <c r="M38" s="3"/>
      <c r="N38" s="4"/>
      <c r="O38" s="4"/>
      <c r="P38" s="24"/>
      <c r="Q38" s="4"/>
      <c r="R38" s="4"/>
      <c r="S38" s="4"/>
      <c r="T38" s="21"/>
      <c r="U38" s="21"/>
      <c r="V38" s="22"/>
      <c r="W38" s="4"/>
      <c r="X38" s="126"/>
    </row>
    <row r="39" customFormat="false" ht="17.35" hidden="false" customHeight="false" outlineLevel="0" collapsed="false">
      <c r="B39" s="13" t="n">
        <v>33</v>
      </c>
      <c r="C39" s="14"/>
      <c r="D39" s="15"/>
      <c r="E39" s="15"/>
      <c r="F39" s="13"/>
      <c r="G39" s="13" t="n">
        <f aca="false">+D39*F39</f>
        <v>0</v>
      </c>
      <c r="H39" s="13" t="n">
        <f aca="false">+E39*F39</f>
        <v>0</v>
      </c>
      <c r="I39" s="16" t="n">
        <f aca="false">+D39*E39/1000000</f>
        <v>0</v>
      </c>
      <c r="J39" s="16" t="n">
        <f aca="false">F39*I39</f>
        <v>0</v>
      </c>
      <c r="K39" s="3"/>
      <c r="L39" s="3"/>
      <c r="M39" s="3"/>
      <c r="N39" s="4"/>
      <c r="O39" s="4"/>
      <c r="P39" s="4"/>
      <c r="Q39" s="24"/>
      <c r="R39" s="4"/>
      <c r="S39" s="4"/>
      <c r="T39" s="4"/>
      <c r="U39" s="21"/>
      <c r="V39" s="21"/>
      <c r="W39" s="22"/>
      <c r="X39" s="4"/>
    </row>
    <row r="40" customFormat="false" ht="17.35" hidden="false" customHeight="false" outlineLevel="0" collapsed="false">
      <c r="B40" s="13" t="n">
        <v>34</v>
      </c>
      <c r="C40" s="14"/>
      <c r="D40" s="15"/>
      <c r="E40" s="15"/>
      <c r="F40" s="13"/>
      <c r="G40" s="13" t="n">
        <f aca="false">+D40*F40</f>
        <v>0</v>
      </c>
      <c r="H40" s="13" t="n">
        <f aca="false">+E40*F40</f>
        <v>0</v>
      </c>
      <c r="I40" s="16" t="n">
        <f aca="false">+D40*E40/1000000</f>
        <v>0</v>
      </c>
      <c r="J40" s="16" t="n">
        <f aca="false">F40*I40</f>
        <v>0</v>
      </c>
      <c r="K40" s="3"/>
      <c r="L40" s="3"/>
      <c r="M40" s="3"/>
      <c r="N40" s="24"/>
      <c r="O40" s="4"/>
      <c r="P40" s="4"/>
      <c r="Q40" s="24"/>
      <c r="R40" s="4"/>
      <c r="S40" s="4"/>
      <c r="T40" s="4"/>
      <c r="U40" s="21"/>
      <c r="V40" s="21"/>
      <c r="W40" s="28"/>
      <c r="X40" s="4"/>
    </row>
    <row r="41" customFormat="false" ht="17.35" hidden="false" customHeight="false" outlineLevel="0" collapsed="false">
      <c r="B41" s="13" t="n">
        <v>35</v>
      </c>
      <c r="C41" s="14"/>
      <c r="D41" s="15"/>
      <c r="E41" s="15"/>
      <c r="F41" s="13"/>
      <c r="G41" s="13" t="n">
        <f aca="false">+D41*F41</f>
        <v>0</v>
      </c>
      <c r="H41" s="13" t="n">
        <f aca="false">+E41*F41</f>
        <v>0</v>
      </c>
      <c r="I41" s="16" t="n">
        <f aca="false">+D41*E41/1000000</f>
        <v>0</v>
      </c>
      <c r="J41" s="16" t="n">
        <f aca="false">F41*I41</f>
        <v>0</v>
      </c>
      <c r="K41" s="3"/>
      <c r="L41" s="3"/>
      <c r="M41" s="3"/>
      <c r="N41" s="2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17.35" hidden="false" customHeight="false" outlineLevel="0" collapsed="false">
      <c r="B42" s="13" t="n">
        <v>36</v>
      </c>
      <c r="C42" s="14"/>
      <c r="D42" s="15"/>
      <c r="E42" s="15"/>
      <c r="F42" s="13"/>
      <c r="G42" s="13" t="n">
        <f aca="false">+D42*F42</f>
        <v>0</v>
      </c>
      <c r="H42" s="13" t="n">
        <f aca="false">+E42*F42</f>
        <v>0</v>
      </c>
      <c r="I42" s="16" t="n">
        <f aca="false">+D42*E42/1000000</f>
        <v>0</v>
      </c>
      <c r="J42" s="16" t="n">
        <f aca="false">F42*I42</f>
        <v>0</v>
      </c>
      <c r="K42" s="3"/>
      <c r="L42" s="3"/>
      <c r="M42" s="3"/>
      <c r="N42" s="24"/>
      <c r="O42" s="4"/>
      <c r="P42" s="4"/>
      <c r="Q42" s="4"/>
      <c r="R42" s="12"/>
      <c r="S42" s="12"/>
      <c r="T42" s="12"/>
      <c r="U42" s="29"/>
      <c r="V42" s="4"/>
      <c r="W42" s="4"/>
      <c r="X42" s="4"/>
      <c r="Y42" s="3"/>
    </row>
    <row r="43" customFormat="false" ht="17.35" hidden="false" customHeight="false" outlineLevel="0" collapsed="false">
      <c r="B43" s="13" t="n">
        <v>37</v>
      </c>
      <c r="C43" s="14"/>
      <c r="D43" s="15"/>
      <c r="E43" s="15"/>
      <c r="F43" s="13"/>
      <c r="G43" s="13" t="n">
        <f aca="false">+D43*F43</f>
        <v>0</v>
      </c>
      <c r="H43" s="13" t="n">
        <f aca="false">+E43*F43</f>
        <v>0</v>
      </c>
      <c r="I43" s="16" t="n">
        <f aca="false">+D43*E43/1000000</f>
        <v>0</v>
      </c>
      <c r="J43" s="16" t="n">
        <f aca="false">F43*I43</f>
        <v>0</v>
      </c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17.35" hidden="false" customHeight="false" outlineLevel="0" collapsed="false">
      <c r="B44" s="13" t="n">
        <v>38</v>
      </c>
      <c r="C44" s="14"/>
      <c r="D44" s="15"/>
      <c r="E44" s="15"/>
      <c r="F44" s="13"/>
      <c r="G44" s="13" t="n">
        <f aca="false">+D44*F44</f>
        <v>0</v>
      </c>
      <c r="H44" s="13" t="n">
        <f aca="false">+E44*F44</f>
        <v>0</v>
      </c>
      <c r="I44" s="16" t="n">
        <f aca="false">+D44*E44/1000000</f>
        <v>0</v>
      </c>
      <c r="J44" s="16" t="n">
        <f aca="false">F44*I44</f>
        <v>0</v>
      </c>
      <c r="K44" s="3"/>
      <c r="L44" s="3"/>
      <c r="M44" s="3"/>
      <c r="N44" s="11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17.35" hidden="false" customHeight="false" outlineLevel="0" collapsed="false">
      <c r="B45" s="13" t="n">
        <v>39</v>
      </c>
      <c r="C45" s="14"/>
      <c r="D45" s="15"/>
      <c r="E45" s="15"/>
      <c r="F45" s="13"/>
      <c r="G45" s="13" t="n">
        <f aca="false">+D45*F45</f>
        <v>0</v>
      </c>
      <c r="H45" s="13" t="n">
        <f aca="false">+E45*F45</f>
        <v>0</v>
      </c>
      <c r="I45" s="16" t="n">
        <f aca="false">+D45*E45/1000000</f>
        <v>0</v>
      </c>
      <c r="J45" s="16" t="n">
        <f aca="false">F45*I45</f>
        <v>0</v>
      </c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126"/>
    </row>
    <row r="46" customFormat="false" ht="17.35" hidden="false" customHeight="false" outlineLevel="0" collapsed="false">
      <c r="B46" s="13" t="n">
        <v>40</v>
      </c>
      <c r="C46" s="14"/>
      <c r="D46" s="15"/>
      <c r="E46" s="15"/>
      <c r="F46" s="13"/>
      <c r="G46" s="13" t="n">
        <f aca="false">+D46*F46</f>
        <v>0</v>
      </c>
      <c r="H46" s="13" t="n">
        <f aca="false">+E46*F46</f>
        <v>0</v>
      </c>
      <c r="I46" s="16" t="n">
        <f aca="false">+D46*E46/1000000</f>
        <v>0</v>
      </c>
      <c r="J46" s="16" t="n">
        <f aca="false">F46*I46</f>
        <v>0</v>
      </c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126"/>
    </row>
    <row r="47" customFormat="false" ht="17.35" hidden="false" customHeight="false" outlineLevel="0" collapsed="false">
      <c r="B47" s="13" t="n">
        <v>41</v>
      </c>
      <c r="C47" s="14"/>
      <c r="D47" s="15"/>
      <c r="E47" s="15"/>
      <c r="F47" s="13"/>
      <c r="G47" s="13" t="n">
        <f aca="false">+D47*F47</f>
        <v>0</v>
      </c>
      <c r="H47" s="13" t="n">
        <f aca="false">+E47*F47</f>
        <v>0</v>
      </c>
      <c r="I47" s="16" t="n">
        <f aca="false">+D47*E47/1000000</f>
        <v>0</v>
      </c>
      <c r="J47" s="16" t="n">
        <f aca="false">F47*I47</f>
        <v>0</v>
      </c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126"/>
    </row>
    <row r="48" customFormat="false" ht="17.35" hidden="false" customHeight="false" outlineLevel="0" collapsed="false">
      <c r="B48" s="13" t="n">
        <v>42</v>
      </c>
      <c r="C48" s="14"/>
      <c r="D48" s="15"/>
      <c r="E48" s="15"/>
      <c r="F48" s="13"/>
      <c r="G48" s="13" t="n">
        <f aca="false">+D48*F48</f>
        <v>0</v>
      </c>
      <c r="H48" s="13" t="n">
        <f aca="false">+E48*F48</f>
        <v>0</v>
      </c>
      <c r="I48" s="16" t="n">
        <f aca="false">+D48*E48/1000000</f>
        <v>0</v>
      </c>
      <c r="J48" s="16" t="n">
        <f aca="false">F48*I48</f>
        <v>0</v>
      </c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126"/>
    </row>
    <row r="49" customFormat="false" ht="17.35" hidden="false" customHeight="false" outlineLevel="0" collapsed="false">
      <c r="B49" s="13" t="n">
        <v>43</v>
      </c>
      <c r="C49" s="14"/>
      <c r="D49" s="15"/>
      <c r="E49" s="15"/>
      <c r="F49" s="13"/>
      <c r="G49" s="13" t="n">
        <f aca="false">+D49*F49</f>
        <v>0</v>
      </c>
      <c r="H49" s="13" t="n">
        <f aca="false">+E49*F49</f>
        <v>0</v>
      </c>
      <c r="I49" s="16" t="n">
        <f aca="false">+D49*E49/1000000</f>
        <v>0</v>
      </c>
      <c r="J49" s="16" t="n">
        <f aca="false">F49*I49</f>
        <v>0</v>
      </c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126"/>
    </row>
    <row r="50" customFormat="false" ht="17.35" hidden="false" customHeight="false" outlineLevel="0" collapsed="false">
      <c r="B50" s="13" t="n">
        <v>44</v>
      </c>
      <c r="C50" s="14"/>
      <c r="D50" s="15"/>
      <c r="E50" s="15"/>
      <c r="F50" s="13"/>
      <c r="G50" s="13" t="n">
        <f aca="false">+D50*F50</f>
        <v>0</v>
      </c>
      <c r="H50" s="13" t="n">
        <f aca="false">+E50*F50</f>
        <v>0</v>
      </c>
      <c r="I50" s="16" t="n">
        <f aca="false">+D50*E50/1000000</f>
        <v>0</v>
      </c>
      <c r="J50" s="16" t="n">
        <f aca="false">F50*I50</f>
        <v>0</v>
      </c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126"/>
    </row>
    <row r="51" customFormat="false" ht="17.35" hidden="false" customHeight="false" outlineLevel="0" collapsed="false">
      <c r="B51" s="13" t="n">
        <v>45</v>
      </c>
      <c r="C51" s="14"/>
      <c r="D51" s="15"/>
      <c r="E51" s="15"/>
      <c r="F51" s="13"/>
      <c r="G51" s="13" t="n">
        <f aca="false">+D51*F51</f>
        <v>0</v>
      </c>
      <c r="H51" s="13" t="n">
        <f aca="false">+E51*F51</f>
        <v>0</v>
      </c>
      <c r="I51" s="16" t="n">
        <f aca="false">+D51*E51/1000000</f>
        <v>0</v>
      </c>
      <c r="J51" s="16" t="n">
        <f aca="false">F51*I51</f>
        <v>0</v>
      </c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126"/>
    </row>
    <row r="52" customFormat="false" ht="17.35" hidden="false" customHeight="false" outlineLevel="0" collapsed="false">
      <c r="B52" s="13" t="n">
        <v>46</v>
      </c>
      <c r="C52" s="14"/>
      <c r="D52" s="15"/>
      <c r="E52" s="15"/>
      <c r="F52" s="13"/>
      <c r="G52" s="13" t="n">
        <f aca="false">+D52*F52</f>
        <v>0</v>
      </c>
      <c r="H52" s="13" t="n">
        <f aca="false">+E52*F52</f>
        <v>0</v>
      </c>
      <c r="I52" s="16" t="n">
        <f aca="false">+D52*E52/1000000</f>
        <v>0</v>
      </c>
      <c r="J52" s="16" t="n">
        <f aca="false">F52*I52</f>
        <v>0</v>
      </c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126"/>
    </row>
    <row r="53" customFormat="false" ht="17.35" hidden="false" customHeight="false" outlineLevel="0" collapsed="false">
      <c r="B53" s="13" t="n">
        <v>47</v>
      </c>
      <c r="C53" s="14"/>
      <c r="D53" s="15"/>
      <c r="E53" s="15"/>
      <c r="F53" s="13"/>
      <c r="G53" s="13" t="n">
        <f aca="false">+D53*F53</f>
        <v>0</v>
      </c>
      <c r="H53" s="13" t="n">
        <f aca="false">+E53*F53</f>
        <v>0</v>
      </c>
      <c r="I53" s="16" t="n">
        <f aca="false">+D53*E53/1000000</f>
        <v>0</v>
      </c>
      <c r="J53" s="16" t="n">
        <f aca="false">F53*I53</f>
        <v>0</v>
      </c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126"/>
    </row>
    <row r="54" customFormat="false" ht="17.35" hidden="false" customHeight="false" outlineLevel="0" collapsed="false">
      <c r="B54" s="13" t="n">
        <v>48</v>
      </c>
      <c r="C54" s="14"/>
      <c r="D54" s="15"/>
      <c r="E54" s="15"/>
      <c r="F54" s="13"/>
      <c r="G54" s="13" t="n">
        <f aca="false">+D54*F54</f>
        <v>0</v>
      </c>
      <c r="H54" s="13" t="n">
        <f aca="false">+E54*F54</f>
        <v>0</v>
      </c>
      <c r="I54" s="16" t="n">
        <f aca="false">+D54*E54/1000000</f>
        <v>0</v>
      </c>
      <c r="J54" s="16" t="n">
        <f aca="false">F54*I54</f>
        <v>0</v>
      </c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126"/>
    </row>
    <row r="55" customFormat="false" ht="17.35" hidden="false" customHeight="false" outlineLevel="0" collapsed="false">
      <c r="B55" s="13" t="n">
        <v>49</v>
      </c>
      <c r="C55" s="14"/>
      <c r="D55" s="15"/>
      <c r="E55" s="15"/>
      <c r="F55" s="13"/>
      <c r="G55" s="13" t="n">
        <f aca="false">+D55*F55</f>
        <v>0</v>
      </c>
      <c r="H55" s="13" t="n">
        <f aca="false">+E55*F55</f>
        <v>0</v>
      </c>
      <c r="I55" s="16" t="n">
        <f aca="false">+D55*E55/1000000</f>
        <v>0</v>
      </c>
      <c r="J55" s="16" t="n">
        <f aca="false">F55*I55</f>
        <v>0</v>
      </c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126"/>
    </row>
    <row r="56" customFormat="false" ht="17.35" hidden="false" customHeight="false" outlineLevel="0" collapsed="false">
      <c r="B56" s="13" t="n">
        <v>50</v>
      </c>
      <c r="C56" s="14"/>
      <c r="D56" s="15"/>
      <c r="E56" s="15"/>
      <c r="F56" s="13"/>
      <c r="G56" s="13" t="n">
        <f aca="false">+D56*F56</f>
        <v>0</v>
      </c>
      <c r="H56" s="13" t="n">
        <f aca="false">+E56*F56</f>
        <v>0</v>
      </c>
      <c r="I56" s="16" t="n">
        <f aca="false">+D56*E56/1000000</f>
        <v>0</v>
      </c>
      <c r="J56" s="16" t="n">
        <f aca="false">F56*I56</f>
        <v>0</v>
      </c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126"/>
    </row>
    <row r="57" customFormat="false" ht="17.35" hidden="false" customHeight="false" outlineLevel="0" collapsed="false">
      <c r="B57" s="13" t="n">
        <v>51</v>
      </c>
      <c r="C57" s="14"/>
      <c r="D57" s="15"/>
      <c r="E57" s="15"/>
      <c r="F57" s="13"/>
      <c r="G57" s="13" t="n">
        <f aca="false">+D57*F57</f>
        <v>0</v>
      </c>
      <c r="H57" s="13" t="n">
        <f aca="false">+E57*F57</f>
        <v>0</v>
      </c>
      <c r="I57" s="16" t="n">
        <f aca="false">+D57*E57/1000000</f>
        <v>0</v>
      </c>
      <c r="J57" s="16" t="n">
        <f aca="false">F57*I57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7.35" hidden="false" customHeight="false" outlineLevel="0" collapsed="false">
      <c r="B58" s="13" t="n">
        <v>52</v>
      </c>
      <c r="C58" s="14"/>
      <c r="D58" s="15"/>
      <c r="E58" s="15"/>
      <c r="F58" s="13"/>
      <c r="G58" s="13" t="n">
        <f aca="false">+D58*F58</f>
        <v>0</v>
      </c>
      <c r="H58" s="13" t="n">
        <f aca="false">+E58*F58</f>
        <v>0</v>
      </c>
      <c r="I58" s="16" t="n">
        <f aca="false">+D58*E58/1000000</f>
        <v>0</v>
      </c>
      <c r="J58" s="16" t="n">
        <f aca="false">F58*I58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7.35" hidden="false" customHeight="false" outlineLevel="0" collapsed="false">
      <c r="B59" s="13" t="n">
        <v>53</v>
      </c>
      <c r="C59" s="14"/>
      <c r="D59" s="15"/>
      <c r="E59" s="15"/>
      <c r="F59" s="13"/>
      <c r="G59" s="13" t="n">
        <f aca="false">+D59*F59</f>
        <v>0</v>
      </c>
      <c r="H59" s="13" t="n">
        <f aca="false">+E59*F59</f>
        <v>0</v>
      </c>
      <c r="I59" s="16" t="n">
        <f aca="false">+D59*E59/1000000</f>
        <v>0</v>
      </c>
      <c r="J59" s="16" t="n">
        <f aca="false">F59*I59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7.35" hidden="false" customHeight="false" outlineLevel="0" collapsed="false">
      <c r="B60" s="13" t="n">
        <v>54</v>
      </c>
      <c r="C60" s="14"/>
      <c r="D60" s="15"/>
      <c r="E60" s="15"/>
      <c r="F60" s="13"/>
      <c r="G60" s="13" t="n">
        <f aca="false">+D60*F60</f>
        <v>0</v>
      </c>
      <c r="H60" s="13" t="n">
        <f aca="false">+E60*F60</f>
        <v>0</v>
      </c>
      <c r="I60" s="16" t="n">
        <f aca="false">+D60*E60/1000000</f>
        <v>0</v>
      </c>
      <c r="J60" s="16" t="n">
        <f aca="false">F60*I60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7.35" hidden="false" customHeight="false" outlineLevel="0" collapsed="false">
      <c r="B61" s="13" t="n">
        <v>55</v>
      </c>
      <c r="C61" s="14"/>
      <c r="D61" s="15"/>
      <c r="E61" s="15"/>
      <c r="F61" s="13"/>
      <c r="G61" s="13" t="n">
        <f aca="false">+D61*F61</f>
        <v>0</v>
      </c>
      <c r="H61" s="13" t="n">
        <f aca="false">+E61*F61</f>
        <v>0</v>
      </c>
      <c r="I61" s="16" t="n">
        <f aca="false">+D61*E61/1000000</f>
        <v>0</v>
      </c>
      <c r="J61" s="16" t="n">
        <f aca="false">F61*I61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7.35" hidden="false" customHeight="false" outlineLevel="0" collapsed="false">
      <c r="B62" s="13" t="n">
        <v>56</v>
      </c>
      <c r="C62" s="14"/>
      <c r="D62" s="15"/>
      <c r="E62" s="15"/>
      <c r="F62" s="13"/>
      <c r="G62" s="13" t="n">
        <f aca="false">+D62*F62</f>
        <v>0</v>
      </c>
      <c r="H62" s="13" t="n">
        <f aca="false">+E62*F62</f>
        <v>0</v>
      </c>
      <c r="I62" s="16" t="n">
        <f aca="false">+D62*E62/1000000</f>
        <v>0</v>
      </c>
      <c r="J62" s="16" t="n">
        <f aca="false">F62*I62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7.35" hidden="false" customHeight="false" outlineLevel="0" collapsed="false">
      <c r="B63" s="13" t="n">
        <v>57</v>
      </c>
      <c r="C63" s="14"/>
      <c r="D63" s="15"/>
      <c r="E63" s="15"/>
      <c r="F63" s="13"/>
      <c r="G63" s="13" t="n">
        <f aca="false">+D63*F63</f>
        <v>0</v>
      </c>
      <c r="H63" s="13" t="n">
        <f aca="false">+E63*F63</f>
        <v>0</v>
      </c>
      <c r="I63" s="16" t="n">
        <f aca="false">+D63*E63/1000000</f>
        <v>0</v>
      </c>
      <c r="J63" s="16" t="n">
        <f aca="false">F63*I63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7.35" hidden="false" customHeight="false" outlineLevel="0" collapsed="false">
      <c r="B64" s="13" t="n">
        <v>58</v>
      </c>
      <c r="C64" s="14"/>
      <c r="D64" s="15"/>
      <c r="E64" s="15"/>
      <c r="F64" s="13"/>
      <c r="G64" s="13" t="n">
        <f aca="false">+D64*F64</f>
        <v>0</v>
      </c>
      <c r="H64" s="13" t="n">
        <f aca="false">+E64*F64</f>
        <v>0</v>
      </c>
      <c r="I64" s="16" t="n">
        <f aca="false">+D64*E64/1000000</f>
        <v>0</v>
      </c>
      <c r="J64" s="16" t="n">
        <f aca="false">F64*I64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7.35" hidden="false" customHeight="false" outlineLevel="0" collapsed="false">
      <c r="B65" s="13" t="n">
        <v>2</v>
      </c>
      <c r="C65" s="14" t="s">
        <v>18</v>
      </c>
      <c r="D65" s="15"/>
      <c r="E65" s="15"/>
      <c r="F65" s="13"/>
      <c r="G65" s="13" t="n">
        <f aca="false">+D65*F65</f>
        <v>0</v>
      </c>
      <c r="H65" s="13" t="n">
        <f aca="false">+E65*F65</f>
        <v>0</v>
      </c>
      <c r="I65" s="16" t="n">
        <f aca="false">+D65*E65/1000000</f>
        <v>0</v>
      </c>
      <c r="J65" s="17" t="n">
        <f aca="false">+F65*I65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7.35" hidden="false" customHeight="false" outlineLevel="0" collapsed="false">
      <c r="B66" s="13" t="n">
        <v>3</v>
      </c>
      <c r="C66" s="14" t="s">
        <v>18</v>
      </c>
      <c r="D66" s="15"/>
      <c r="E66" s="15"/>
      <c r="F66" s="13"/>
      <c r="G66" s="13" t="n">
        <f aca="false">+D66*F66</f>
        <v>0</v>
      </c>
      <c r="H66" s="13" t="n">
        <f aca="false">+E66*F66</f>
        <v>0</v>
      </c>
      <c r="I66" s="16" t="n">
        <f aca="false">+D66*E66/1000000</f>
        <v>0</v>
      </c>
      <c r="J66" s="17" t="n">
        <f aca="false">+F66*I66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7.35" hidden="false" customHeight="false" outlineLevel="0" collapsed="false">
      <c r="B67" s="13" t="n">
        <v>4</v>
      </c>
      <c r="C67" s="14" t="s">
        <v>18</v>
      </c>
      <c r="D67" s="15"/>
      <c r="E67" s="15"/>
      <c r="F67" s="13"/>
      <c r="G67" s="13" t="n">
        <f aca="false">+D67*F67</f>
        <v>0</v>
      </c>
      <c r="H67" s="13" t="n">
        <f aca="false">+E67*F67</f>
        <v>0</v>
      </c>
      <c r="I67" s="16" t="n">
        <f aca="false">+D67*E67/1000000</f>
        <v>0</v>
      </c>
      <c r="J67" s="17" t="n">
        <f aca="false">+F67*I67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7.35" hidden="false" customHeight="false" outlineLevel="0" collapsed="false">
      <c r="B68" s="13" t="n">
        <v>5</v>
      </c>
      <c r="C68" s="14" t="s">
        <v>18</v>
      </c>
      <c r="D68" s="15"/>
      <c r="E68" s="15"/>
      <c r="F68" s="13"/>
      <c r="G68" s="13" t="n">
        <f aca="false">+D68*F68</f>
        <v>0</v>
      </c>
      <c r="H68" s="13" t="n">
        <f aca="false">+E68*F68</f>
        <v>0</v>
      </c>
      <c r="I68" s="16" t="n">
        <f aca="false">+D68*E68/1000000</f>
        <v>0</v>
      </c>
      <c r="J68" s="17" t="n">
        <f aca="false">+F68*I68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7.35" hidden="false" customHeight="false" outlineLevel="0" collapsed="false">
      <c r="B69" s="13" t="n">
        <v>6</v>
      </c>
      <c r="C69" s="14" t="s">
        <v>18</v>
      </c>
      <c r="D69" s="15"/>
      <c r="E69" s="15"/>
      <c r="F69" s="13"/>
      <c r="G69" s="13" t="n">
        <f aca="false">+D69*F69</f>
        <v>0</v>
      </c>
      <c r="H69" s="13" t="n">
        <f aca="false">+E69*F69</f>
        <v>0</v>
      </c>
      <c r="I69" s="16" t="n">
        <f aca="false">+D69*E69/1000000</f>
        <v>0</v>
      </c>
      <c r="J69" s="17" t="n">
        <f aca="false">+F69*I69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7.35" hidden="false" customHeight="false" outlineLevel="0" collapsed="false">
      <c r="B70" s="13" t="n">
        <v>7</v>
      </c>
      <c r="C70" s="14" t="s">
        <v>18</v>
      </c>
      <c r="D70" s="15"/>
      <c r="E70" s="15"/>
      <c r="F70" s="13"/>
      <c r="G70" s="13" t="n">
        <f aca="false">+D70*F70</f>
        <v>0</v>
      </c>
      <c r="H70" s="13" t="n">
        <f aca="false">+E70*F70</f>
        <v>0</v>
      </c>
      <c r="I70" s="16" t="n">
        <f aca="false">+D70*E70/1000000</f>
        <v>0</v>
      </c>
      <c r="J70" s="17" t="n">
        <f aca="false">+F70*I70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7.35" hidden="false" customHeight="false" outlineLevel="0" collapsed="false">
      <c r="B71" s="13" t="n">
        <v>8</v>
      </c>
      <c r="C71" s="14" t="s">
        <v>18</v>
      </c>
      <c r="D71" s="15"/>
      <c r="E71" s="15"/>
      <c r="F71" s="13"/>
      <c r="G71" s="13" t="n">
        <f aca="false">+D71*F71</f>
        <v>0</v>
      </c>
      <c r="H71" s="13" t="n">
        <f aca="false">+E71*F71</f>
        <v>0</v>
      </c>
      <c r="I71" s="16" t="n">
        <f aca="false">+D71*E71/1000000</f>
        <v>0</v>
      </c>
      <c r="J71" s="17" t="n">
        <f aca="false">+F71*I71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7.35" hidden="false" customHeight="false" outlineLevel="0" collapsed="false">
      <c r="B72" s="13" t="n">
        <v>9</v>
      </c>
      <c r="C72" s="14" t="s">
        <v>18</v>
      </c>
      <c r="D72" s="15"/>
      <c r="E72" s="15"/>
      <c r="F72" s="13"/>
      <c r="G72" s="13" t="n">
        <f aca="false">+D72*F72</f>
        <v>0</v>
      </c>
      <c r="H72" s="13" t="n">
        <f aca="false">+E72*F72</f>
        <v>0</v>
      </c>
      <c r="I72" s="16" t="n">
        <f aca="false">+D72*E72/1000000</f>
        <v>0</v>
      </c>
      <c r="J72" s="17" t="n">
        <f aca="false">+F72*I72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7.35" hidden="false" customHeight="false" outlineLevel="0" collapsed="false">
      <c r="B73" s="13" t="n">
        <v>10</v>
      </c>
      <c r="C73" s="14" t="s">
        <v>18</v>
      </c>
      <c r="D73" s="15"/>
      <c r="E73" s="15"/>
      <c r="F73" s="13"/>
      <c r="G73" s="13" t="n">
        <f aca="false">+D73*F73</f>
        <v>0</v>
      </c>
      <c r="H73" s="13" t="n">
        <f aca="false">+E73*F73</f>
        <v>0</v>
      </c>
      <c r="I73" s="16" t="n">
        <f aca="false">+D73*E73/1000000</f>
        <v>0</v>
      </c>
      <c r="J73" s="17" t="n">
        <f aca="false">+F73*I73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7.35" hidden="false" customHeight="false" outlineLevel="0" collapsed="false">
      <c r="B74" s="13" t="n">
        <v>11</v>
      </c>
      <c r="C74" s="14" t="s">
        <v>18</v>
      </c>
      <c r="D74" s="15"/>
      <c r="E74" s="15"/>
      <c r="F74" s="13"/>
      <c r="G74" s="13" t="n">
        <f aca="false">+D74*F74</f>
        <v>0</v>
      </c>
      <c r="H74" s="13" t="n">
        <f aca="false">+E74*F74</f>
        <v>0</v>
      </c>
      <c r="I74" s="16" t="n">
        <f aca="false">+D74*E74/1000000</f>
        <v>0</v>
      </c>
      <c r="J74" s="17" t="n">
        <f aca="false">+F74*I74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7.35" hidden="false" customHeight="false" outlineLevel="0" collapsed="false">
      <c r="B75" s="13" t="n">
        <v>12</v>
      </c>
      <c r="C75" s="14" t="s">
        <v>18</v>
      </c>
      <c r="D75" s="15"/>
      <c r="E75" s="15"/>
      <c r="F75" s="13"/>
      <c r="G75" s="13" t="n">
        <f aca="false">+D75*F75</f>
        <v>0</v>
      </c>
      <c r="H75" s="13" t="n">
        <f aca="false">+E75*F75</f>
        <v>0</v>
      </c>
      <c r="I75" s="16" t="n">
        <f aca="false">+D75*E75/1000000</f>
        <v>0</v>
      </c>
      <c r="J75" s="17" t="n">
        <f aca="false">+F75*I75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7.35" hidden="false" customHeight="false" outlineLevel="0" collapsed="false">
      <c r="B76" s="13" t="n">
        <v>13</v>
      </c>
      <c r="C76" s="14" t="s">
        <v>18</v>
      </c>
      <c r="D76" s="15"/>
      <c r="E76" s="15"/>
      <c r="F76" s="13"/>
      <c r="G76" s="13" t="n">
        <f aca="false">+D76*F76</f>
        <v>0</v>
      </c>
      <c r="H76" s="13" t="n">
        <f aca="false">+E76*F76</f>
        <v>0</v>
      </c>
      <c r="I76" s="16" t="n">
        <f aca="false">+D76*E76/1000000</f>
        <v>0</v>
      </c>
      <c r="J76" s="17" t="n">
        <f aca="false">+F76*I76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7.35" hidden="false" customHeight="false" outlineLevel="0" collapsed="false">
      <c r="B77" s="13" t="n">
        <v>14</v>
      </c>
      <c r="C77" s="14" t="s">
        <v>18</v>
      </c>
      <c r="D77" s="15"/>
      <c r="E77" s="15"/>
      <c r="F77" s="13"/>
      <c r="G77" s="13" t="n">
        <f aca="false">+D77*F77</f>
        <v>0</v>
      </c>
      <c r="H77" s="13" t="n">
        <f aca="false">+E77*F77</f>
        <v>0</v>
      </c>
      <c r="I77" s="16" t="n">
        <f aca="false">+D77*E77/1000000</f>
        <v>0</v>
      </c>
      <c r="J77" s="17" t="n">
        <f aca="false">+F77*I77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7.35" hidden="false" customHeight="false" outlineLevel="0" collapsed="false">
      <c r="B78" s="13" t="n">
        <v>15</v>
      </c>
      <c r="C78" s="14" t="s">
        <v>18</v>
      </c>
      <c r="D78" s="15"/>
      <c r="E78" s="15"/>
      <c r="F78" s="13"/>
      <c r="G78" s="13" t="n">
        <f aca="false">+D78*F78</f>
        <v>0</v>
      </c>
      <c r="H78" s="13" t="n">
        <f aca="false">+E78*F78</f>
        <v>0</v>
      </c>
      <c r="I78" s="16" t="n">
        <f aca="false">+D78*E78/1000000</f>
        <v>0</v>
      </c>
      <c r="J78" s="17" t="n">
        <f aca="false">+F78*I78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7.35" hidden="false" customHeight="false" outlineLevel="0" collapsed="false">
      <c r="B79" s="13" t="n">
        <v>16</v>
      </c>
      <c r="C79" s="14" t="s">
        <v>18</v>
      </c>
      <c r="D79" s="15" t="n">
        <v>0</v>
      </c>
      <c r="E79" s="15" t="n">
        <v>0</v>
      </c>
      <c r="F79" s="13"/>
      <c r="G79" s="13" t="n">
        <f aca="false">+D79*F79</f>
        <v>0</v>
      </c>
      <c r="H79" s="13" t="n">
        <f aca="false">+E79*F79</f>
        <v>0</v>
      </c>
      <c r="I79" s="16" t="n">
        <f aca="false">+D79*E79/1000000</f>
        <v>0</v>
      </c>
      <c r="J79" s="17" t="n">
        <f aca="false">+F79*I79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7.35" hidden="false" customHeight="false" outlineLevel="0" collapsed="false">
      <c r="B80" s="13" t="n">
        <v>17</v>
      </c>
      <c r="C80" s="14" t="s">
        <v>18</v>
      </c>
      <c r="D80" s="15" t="n">
        <v>0</v>
      </c>
      <c r="E80" s="15" t="n">
        <v>0</v>
      </c>
      <c r="F80" s="13"/>
      <c r="G80" s="13" t="n">
        <f aca="false">+D80*F80</f>
        <v>0</v>
      </c>
      <c r="H80" s="13" t="n">
        <f aca="false">+E80*F80</f>
        <v>0</v>
      </c>
      <c r="I80" s="16" t="n">
        <f aca="false">+D80*E80/1000000</f>
        <v>0</v>
      </c>
      <c r="J80" s="17" t="n">
        <f aca="false">+F80*I80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7.35" hidden="false" customHeight="false" outlineLevel="0" collapsed="false">
      <c r="B81" s="13" t="n">
        <v>18</v>
      </c>
      <c r="C81" s="14" t="s">
        <v>18</v>
      </c>
      <c r="D81" s="15" t="n">
        <v>0</v>
      </c>
      <c r="E81" s="15" t="n">
        <v>0</v>
      </c>
      <c r="F81" s="13"/>
      <c r="G81" s="13" t="n">
        <f aca="false">+D81*F81</f>
        <v>0</v>
      </c>
      <c r="H81" s="13" t="n">
        <f aca="false">+E81*F81</f>
        <v>0</v>
      </c>
      <c r="I81" s="16" t="n">
        <f aca="false">+D81*E81/1000000</f>
        <v>0</v>
      </c>
      <c r="J81" s="17" t="n">
        <f aca="false">+F81*I81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7.35" hidden="false" customHeight="false" outlineLevel="0" collapsed="false">
      <c r="B82" s="13" t="n">
        <v>19</v>
      </c>
      <c r="C82" s="14" t="s">
        <v>18</v>
      </c>
      <c r="D82" s="15" t="n">
        <v>0</v>
      </c>
      <c r="E82" s="15" t="n">
        <v>0</v>
      </c>
      <c r="F82" s="13"/>
      <c r="G82" s="13" t="n">
        <f aca="false">+D82*F82</f>
        <v>0</v>
      </c>
      <c r="H82" s="13" t="n">
        <f aca="false">+E82*F82</f>
        <v>0</v>
      </c>
      <c r="I82" s="16" t="n">
        <f aca="false">+D82*E82/1000000</f>
        <v>0</v>
      </c>
      <c r="J82" s="17" t="n">
        <f aca="false">+F82*I82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7.35" hidden="false" customHeight="false" outlineLevel="0" collapsed="false">
      <c r="B83" s="13" t="n">
        <v>20</v>
      </c>
      <c r="C83" s="14" t="s">
        <v>18</v>
      </c>
      <c r="D83" s="15" t="n">
        <v>0</v>
      </c>
      <c r="E83" s="15" t="n">
        <v>0</v>
      </c>
      <c r="F83" s="13"/>
      <c r="G83" s="13" t="n">
        <f aca="false">+D83*F83</f>
        <v>0</v>
      </c>
      <c r="H83" s="13" t="n">
        <f aca="false">+E83*F83</f>
        <v>0</v>
      </c>
      <c r="I83" s="16" t="n">
        <f aca="false">+D83*E83/1000000</f>
        <v>0</v>
      </c>
      <c r="J83" s="17" t="n">
        <f aca="false">+F83*I83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7.35" hidden="false" customHeight="false" outlineLevel="0" collapsed="false">
      <c r="B84" s="31" t="s">
        <v>19</v>
      </c>
      <c r="C84" s="31"/>
      <c r="D84" s="32" t="n">
        <f aca="false">SUM(D6:D83)</f>
        <v>39470</v>
      </c>
      <c r="E84" s="33" t="n">
        <f aca="false">SUM(E6:E83)</f>
        <v>23740</v>
      </c>
      <c r="F84" s="34" t="n">
        <f aca="false">SUM(F6:F83)</f>
        <v>9</v>
      </c>
      <c r="G84" s="32" t="n">
        <f aca="false">SUM(G6:G83)</f>
        <v>39470</v>
      </c>
      <c r="H84" s="32" t="n">
        <f aca="false">SUM(H6:H83)</f>
        <v>23740</v>
      </c>
      <c r="I84" s="36" t="n">
        <f aca="false">SUM(I6:I83)</f>
        <v>105.351</v>
      </c>
      <c r="J84" s="37" t="n">
        <f aca="false">SUM(J6:J83)</f>
        <v>105.351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7.35" hidden="false" customHeight="false" outlineLevel="0" collapsed="false">
      <c r="B85" s="4"/>
      <c r="C85" s="4"/>
      <c r="D85" s="4"/>
      <c r="E85" s="38"/>
      <c r="F85" s="39"/>
      <c r="G85" s="39"/>
      <c r="H85" s="4"/>
      <c r="I85" s="12"/>
      <c r="J85" s="1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7.35" hidden="false" customHeight="false" outlineLevel="0" collapsed="false">
      <c r="B86" s="9" t="s">
        <v>20</v>
      </c>
      <c r="C86" s="9"/>
      <c r="D86" s="9"/>
      <c r="E86" s="9"/>
      <c r="F86" s="9"/>
      <c r="G86" s="9"/>
      <c r="H86" s="9"/>
      <c r="I86" s="9"/>
      <c r="J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7.35" hidden="false" customHeight="false" outlineLevel="0" collapsed="false">
      <c r="B87" s="9" t="s">
        <v>5</v>
      </c>
      <c r="C87" s="42" t="s">
        <v>21</v>
      </c>
      <c r="D87" s="42" t="s">
        <v>22</v>
      </c>
      <c r="E87" s="42" t="s">
        <v>23</v>
      </c>
      <c r="F87" s="42" t="s">
        <v>24</v>
      </c>
      <c r="G87" s="42" t="s">
        <v>25</v>
      </c>
      <c r="H87" s="42" t="s">
        <v>26</v>
      </c>
      <c r="I87" s="42" t="s">
        <v>37</v>
      </c>
      <c r="J87" s="42" t="s">
        <v>164</v>
      </c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7.35" hidden="false" customHeight="false" outlineLevel="0" collapsed="false">
      <c r="B88" s="13" t="n">
        <v>1</v>
      </c>
      <c r="C88" s="13" t="n">
        <v>2019</v>
      </c>
      <c r="D88" s="13" t="s">
        <v>165</v>
      </c>
      <c r="E88" s="15" t="n">
        <f aca="false">+G84*1</f>
        <v>39470</v>
      </c>
      <c r="F88" s="15" t="n">
        <f aca="false">E88+(E88*10%)</f>
        <v>43417</v>
      </c>
      <c r="G88" s="43" t="n">
        <f aca="false">F88/6400</f>
        <v>6.78390625</v>
      </c>
      <c r="H88" s="43" t="n">
        <f aca="false">ROUNDUP(G88,0)</f>
        <v>7</v>
      </c>
      <c r="I88" s="44" t="n">
        <v>4.8</v>
      </c>
      <c r="J88" s="44" t="n">
        <f aca="false">+H88*I88</f>
        <v>33.6</v>
      </c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7.35" hidden="false" customHeight="false" outlineLevel="0" collapsed="false">
      <c r="B89" s="13" t="n">
        <v>2</v>
      </c>
      <c r="C89" s="13" t="n">
        <v>2017</v>
      </c>
      <c r="D89" s="13" t="s">
        <v>166</v>
      </c>
      <c r="E89" s="15" t="n">
        <f aca="false">+G84*1+H84*2</f>
        <v>86950</v>
      </c>
      <c r="F89" s="15" t="n">
        <f aca="false">E89+(E89*10%)</f>
        <v>95645</v>
      </c>
      <c r="G89" s="43" t="n">
        <f aca="false">F89/6400</f>
        <v>14.94453125</v>
      </c>
      <c r="H89" s="43" t="n">
        <f aca="false">ROUNDUP(G89,0)</f>
        <v>15</v>
      </c>
      <c r="I89" s="44" t="n">
        <v>4.5</v>
      </c>
      <c r="J89" s="44" t="n">
        <f aca="false">+H89*I89</f>
        <v>67.5</v>
      </c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7.35" hidden="false" customHeight="false" outlineLevel="0" collapsed="false">
      <c r="B90" s="13" t="n">
        <v>3</v>
      </c>
      <c r="C90" s="13" t="n">
        <v>2005</v>
      </c>
      <c r="D90" s="13" t="s">
        <v>167</v>
      </c>
      <c r="E90" s="15" t="n">
        <f aca="false">+G84*1</f>
        <v>39470</v>
      </c>
      <c r="F90" s="15" t="n">
        <f aca="false">E90+(E90*10%)</f>
        <v>43417</v>
      </c>
      <c r="G90" s="43" t="n">
        <f aca="false">F90/6400</f>
        <v>6.78390625</v>
      </c>
      <c r="H90" s="43" t="n">
        <f aca="false">ROUNDUP(G90,0)</f>
        <v>7</v>
      </c>
      <c r="I90" s="44" t="n">
        <v>3.2</v>
      </c>
      <c r="J90" s="44" t="n">
        <f aca="false">+H90*I90</f>
        <v>22.4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7.35" hidden="false" customHeight="false" outlineLevel="0" collapsed="false">
      <c r="B91" s="13" t="n">
        <v>4</v>
      </c>
      <c r="C91" s="13" t="n">
        <v>2007</v>
      </c>
      <c r="D91" s="13" t="s">
        <v>168</v>
      </c>
      <c r="E91" s="15" t="n">
        <f aca="false">+G84*1</f>
        <v>39470</v>
      </c>
      <c r="F91" s="15" t="n">
        <f aca="false">E91+(E91*10%)</f>
        <v>43417</v>
      </c>
      <c r="G91" s="43" t="n">
        <f aca="false">F91/6400</f>
        <v>6.78390625</v>
      </c>
      <c r="H91" s="43" t="n">
        <f aca="false">ROUNDUP(G91,0)</f>
        <v>7</v>
      </c>
      <c r="I91" s="44" t="n">
        <v>5.2</v>
      </c>
      <c r="J91" s="44" t="n">
        <f aca="false">+H91*I91</f>
        <v>36.4</v>
      </c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7.35" hidden="false" customHeight="false" outlineLevel="0" collapsed="false">
      <c r="B92" s="13" t="n">
        <v>5</v>
      </c>
      <c r="C92" s="13" t="n">
        <v>2009</v>
      </c>
      <c r="D92" s="13" t="s">
        <v>169</v>
      </c>
      <c r="E92" s="15" t="n">
        <f aca="false">+H84*2</f>
        <v>47480</v>
      </c>
      <c r="F92" s="15" t="n">
        <f aca="false">E92+(E92*10%)</f>
        <v>52228</v>
      </c>
      <c r="G92" s="43" t="n">
        <f aca="false">F92/6400</f>
        <v>8.160625</v>
      </c>
      <c r="H92" s="43" t="n">
        <f aca="false">ROUNDUP(G92,0)</f>
        <v>9</v>
      </c>
      <c r="I92" s="44" t="n">
        <v>3.1</v>
      </c>
      <c r="J92" s="44" t="n">
        <f aca="false">+H92*I92</f>
        <v>27.9</v>
      </c>
    </row>
    <row r="93" customFormat="false" ht="17.35" hidden="false" customHeight="false" outlineLevel="0" collapsed="false">
      <c r="B93" s="13" t="n">
        <v>6</v>
      </c>
      <c r="C93" s="13" t="n">
        <v>2011</v>
      </c>
      <c r="D93" s="13" t="s">
        <v>31</v>
      </c>
      <c r="E93" s="15" t="n">
        <f aca="false">+H84*2</f>
        <v>47480</v>
      </c>
      <c r="F93" s="15" t="n">
        <f aca="false">E93+(E93*10%)</f>
        <v>52228</v>
      </c>
      <c r="G93" s="43" t="n">
        <f aca="false">F93/6400</f>
        <v>8.160625</v>
      </c>
      <c r="H93" s="43" t="n">
        <f aca="false">ROUNDUP(G93,0)</f>
        <v>9</v>
      </c>
      <c r="I93" s="44" t="n">
        <v>4.5</v>
      </c>
      <c r="J93" s="44" t="n">
        <f aca="false">+H93*I93</f>
        <v>40.5</v>
      </c>
    </row>
    <row r="94" customFormat="false" ht="17.35" hidden="false" customHeight="false" outlineLevel="0" collapsed="false">
      <c r="B94" s="3"/>
      <c r="C94" s="3"/>
      <c r="D94" s="3"/>
      <c r="E94" s="3"/>
      <c r="F94" s="3"/>
      <c r="G94" s="3"/>
      <c r="H94" s="23"/>
      <c r="I94" s="57" t="s">
        <v>19</v>
      </c>
      <c r="J94" s="57" t="n">
        <f aca="false">SUM(J88:J93)</f>
        <v>228.3</v>
      </c>
    </row>
    <row r="95" customFormat="false" ht="17.35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</row>
    <row r="96" customFormat="false" ht="17.35" hidden="false" customHeight="false" outlineLevel="0" collapsed="false">
      <c r="B96" s="42" t="s">
        <v>50</v>
      </c>
      <c r="C96" s="42"/>
      <c r="D96" s="42"/>
      <c r="E96" s="42"/>
      <c r="F96" s="42"/>
      <c r="G96" s="42"/>
      <c r="H96" s="42"/>
      <c r="I96" s="3"/>
      <c r="J96" s="3"/>
    </row>
    <row r="97" customFormat="false" ht="17.35" hidden="false" customHeight="false" outlineLevel="0" collapsed="false">
      <c r="B97" s="9" t="s">
        <v>5</v>
      </c>
      <c r="C97" s="9" t="s">
        <v>22</v>
      </c>
      <c r="D97" s="9" t="s">
        <v>51</v>
      </c>
      <c r="E97" s="9" t="s">
        <v>52</v>
      </c>
      <c r="F97" s="9" t="s">
        <v>53</v>
      </c>
      <c r="G97" s="9" t="s">
        <v>54</v>
      </c>
      <c r="H97" s="9" t="s">
        <v>55</v>
      </c>
      <c r="I97" s="3"/>
      <c r="J97" s="3"/>
    </row>
    <row r="98" customFormat="false" ht="17.35" hidden="false" customHeight="false" outlineLevel="0" collapsed="false">
      <c r="B98" s="13" t="n">
        <v>1</v>
      </c>
      <c r="C98" s="13" t="s">
        <v>56</v>
      </c>
      <c r="D98" s="58" t="s">
        <v>57</v>
      </c>
      <c r="E98" s="13" t="n">
        <v>2</v>
      </c>
      <c r="F98" s="13" t="n">
        <f aca="false">+E98*$F$84</f>
        <v>18</v>
      </c>
      <c r="G98" s="15" t="n">
        <v>4000</v>
      </c>
      <c r="H98" s="15" t="n">
        <f aca="false">+F98*G98</f>
        <v>72000</v>
      </c>
      <c r="I98" s="3"/>
      <c r="J98" s="3"/>
    </row>
    <row r="99" customFormat="false" ht="17.35" hidden="false" customHeight="false" outlineLevel="0" collapsed="false">
      <c r="B99" s="13" t="n">
        <v>2</v>
      </c>
      <c r="C99" s="13" t="s">
        <v>184</v>
      </c>
      <c r="D99" s="58" t="s">
        <v>57</v>
      </c>
      <c r="E99" s="13" t="n">
        <v>1</v>
      </c>
      <c r="F99" s="13" t="n">
        <f aca="false">+E99*$F$84</f>
        <v>9</v>
      </c>
      <c r="G99" s="15" t="n">
        <v>10000</v>
      </c>
      <c r="H99" s="15" t="n">
        <f aca="false">+F99*G99</f>
        <v>90000</v>
      </c>
      <c r="I99" s="3"/>
      <c r="J99" s="3"/>
    </row>
    <row r="100" customFormat="false" ht="17.35" hidden="false" customHeight="false" outlineLevel="0" collapsed="false">
      <c r="B100" s="13" t="n">
        <v>3</v>
      </c>
      <c r="C100" s="13" t="s">
        <v>61</v>
      </c>
      <c r="D100" s="58" t="s">
        <v>62</v>
      </c>
      <c r="E100" s="20" t="s">
        <v>185</v>
      </c>
      <c r="F100" s="16" t="n">
        <f aca="false">+(G84*4+H84*6)/1000</f>
        <v>300.32</v>
      </c>
      <c r="G100" s="15" t="n">
        <v>335</v>
      </c>
      <c r="H100" s="15" t="n">
        <f aca="false">+F100*G100</f>
        <v>100607.2</v>
      </c>
      <c r="I100" s="3"/>
      <c r="J100" s="3"/>
    </row>
    <row r="101" customFormat="false" ht="29.85" hidden="false" customHeight="false" outlineLevel="0" collapsed="false">
      <c r="B101" s="46" t="n">
        <v>4</v>
      </c>
      <c r="C101" s="58" t="s">
        <v>64</v>
      </c>
      <c r="D101" s="58" t="s">
        <v>62</v>
      </c>
      <c r="E101" s="135" t="s">
        <v>186</v>
      </c>
      <c r="F101" s="60" t="n">
        <f aca="false">+(G84*5+H84*9)/1000</f>
        <v>411.01</v>
      </c>
      <c r="G101" s="61" t="n">
        <v>1000</v>
      </c>
      <c r="H101" s="48" t="n">
        <f aca="false">+F101*G101</f>
        <v>411010</v>
      </c>
      <c r="I101" s="3"/>
      <c r="J101" s="3"/>
    </row>
    <row r="102" customFormat="false" ht="17.35" hidden="false" customHeight="false" outlineLevel="0" collapsed="false">
      <c r="B102" s="13" t="n">
        <v>5</v>
      </c>
      <c r="C102" s="13" t="s">
        <v>66</v>
      </c>
      <c r="D102" s="58" t="s">
        <v>57</v>
      </c>
      <c r="E102" s="13" t="n">
        <v>10</v>
      </c>
      <c r="F102" s="13" t="n">
        <f aca="false">+E102*$F$84</f>
        <v>90</v>
      </c>
      <c r="G102" s="15" t="n">
        <v>50</v>
      </c>
      <c r="H102" s="15" t="n">
        <f aca="false">+F102*G102</f>
        <v>4500</v>
      </c>
      <c r="I102" s="3"/>
      <c r="J102" s="3"/>
    </row>
    <row r="103" customFormat="false" ht="17.35" hidden="false" customHeight="false" outlineLevel="0" collapsed="false">
      <c r="B103" s="13" t="n">
        <v>6</v>
      </c>
      <c r="C103" s="13" t="s">
        <v>67</v>
      </c>
      <c r="D103" s="58" t="s">
        <v>57</v>
      </c>
      <c r="E103" s="13" t="n">
        <v>10</v>
      </c>
      <c r="F103" s="13" t="n">
        <f aca="false">+E103*$F$84</f>
        <v>90</v>
      </c>
      <c r="G103" s="15" t="n">
        <v>40</v>
      </c>
      <c r="H103" s="15" t="n">
        <f aca="false">+F103*G103</f>
        <v>3600</v>
      </c>
      <c r="I103" s="3"/>
      <c r="J103" s="3"/>
    </row>
    <row r="104" customFormat="false" ht="17.35" hidden="false" customHeight="false" outlineLevel="0" collapsed="false">
      <c r="B104" s="13" t="n">
        <v>7</v>
      </c>
      <c r="C104" s="13" t="s">
        <v>68</v>
      </c>
      <c r="D104" s="58" t="s">
        <v>57</v>
      </c>
      <c r="E104" s="13" t="n">
        <v>2</v>
      </c>
      <c r="F104" s="13" t="n">
        <f aca="false">+E104*$F$84</f>
        <v>18</v>
      </c>
      <c r="G104" s="15" t="n">
        <v>16000</v>
      </c>
      <c r="H104" s="15" t="n">
        <f aca="false">+F104*G104</f>
        <v>288000</v>
      </c>
      <c r="I104" s="3"/>
      <c r="J104" s="3"/>
    </row>
    <row r="105" customFormat="false" ht="17.35" hidden="false" customHeight="false" outlineLevel="0" collapsed="false">
      <c r="B105" s="13" t="n">
        <v>8</v>
      </c>
      <c r="C105" s="13" t="s">
        <v>70</v>
      </c>
      <c r="D105" s="58" t="s">
        <v>14</v>
      </c>
      <c r="E105" s="13" t="s">
        <v>111</v>
      </c>
      <c r="F105" s="17" t="n">
        <f aca="false">+J84</f>
        <v>105.351</v>
      </c>
      <c r="G105" s="15" t="n">
        <v>48000</v>
      </c>
      <c r="H105" s="15" t="n">
        <f aca="false">+F105*G105</f>
        <v>5056848</v>
      </c>
      <c r="I105" s="3"/>
      <c r="J105" s="3"/>
    </row>
    <row r="106" customFormat="false" ht="19.7" hidden="false" customHeight="false" outlineLevel="0" collapsed="false">
      <c r="B106" s="3"/>
      <c r="C106" s="3"/>
      <c r="D106" s="3"/>
      <c r="E106" s="3"/>
      <c r="F106" s="3"/>
      <c r="G106" s="64" t="s">
        <v>19</v>
      </c>
      <c r="H106" s="65" t="n">
        <f aca="false">SUM(H98:H105)</f>
        <v>6026565.2</v>
      </c>
      <c r="I106" s="3"/>
      <c r="J106" s="3"/>
    </row>
    <row r="107" customFormat="false" ht="17.35" hidden="false" customHeight="false" outlineLevel="0" collapsed="false">
      <c r="B107" s="3"/>
      <c r="C107" s="3"/>
      <c r="D107" s="3"/>
      <c r="E107" s="3"/>
      <c r="F107" s="3"/>
      <c r="G107" s="3"/>
      <c r="H107" s="3"/>
      <c r="I107" s="3"/>
      <c r="J107" s="3"/>
    </row>
    <row r="108" customFormat="false" ht="17.35" hidden="false" customHeight="false" outlineLevel="0" collapsed="false">
      <c r="B108" s="42" t="s">
        <v>73</v>
      </c>
      <c r="C108" s="42"/>
      <c r="D108" s="42"/>
      <c r="E108" s="42"/>
      <c r="F108" s="42"/>
      <c r="G108" s="42"/>
      <c r="H108" s="42"/>
      <c r="I108" s="3"/>
      <c r="J108" s="3"/>
    </row>
    <row r="109" customFormat="false" ht="17.35" hidden="false" customHeight="false" outlineLevel="0" collapsed="false">
      <c r="B109" s="9" t="s">
        <v>5</v>
      </c>
      <c r="C109" s="9" t="s">
        <v>22</v>
      </c>
      <c r="D109" s="9" t="s">
        <v>51</v>
      </c>
      <c r="E109" s="9" t="s">
        <v>52</v>
      </c>
      <c r="F109" s="9" t="s">
        <v>53</v>
      </c>
      <c r="G109" s="9" t="s">
        <v>54</v>
      </c>
      <c r="H109" s="9" t="s">
        <v>55</v>
      </c>
      <c r="I109" s="3"/>
      <c r="J109" s="3"/>
    </row>
    <row r="110" customFormat="false" ht="17.35" hidden="false" customHeight="false" outlineLevel="0" collapsed="false">
      <c r="B110" s="13" t="n">
        <v>1</v>
      </c>
      <c r="C110" s="13" t="s">
        <v>56</v>
      </c>
      <c r="D110" s="58" t="s">
        <v>57</v>
      </c>
      <c r="E110" s="13" t="n">
        <v>4</v>
      </c>
      <c r="F110" s="13" t="n">
        <f aca="false">+E110*$F$84</f>
        <v>36</v>
      </c>
      <c r="G110" s="15" t="n">
        <v>4000</v>
      </c>
      <c r="H110" s="15" t="n">
        <f aca="false">+F110*G110</f>
        <v>144000</v>
      </c>
      <c r="I110" s="3"/>
      <c r="J110" s="3"/>
    </row>
    <row r="111" customFormat="false" ht="17.35" hidden="false" customHeight="false" outlineLevel="0" collapsed="false">
      <c r="B111" s="13" t="n">
        <v>2</v>
      </c>
      <c r="C111" s="13" t="s">
        <v>184</v>
      </c>
      <c r="D111" s="58" t="s">
        <v>57</v>
      </c>
      <c r="E111" s="13" t="n">
        <v>2</v>
      </c>
      <c r="F111" s="13" t="n">
        <f aca="false">+E111*$F$84</f>
        <v>18</v>
      </c>
      <c r="G111" s="15" t="n">
        <v>10000</v>
      </c>
      <c r="H111" s="15" t="n">
        <f aca="false">+F111*G111</f>
        <v>180000</v>
      </c>
      <c r="I111" s="3"/>
      <c r="J111" s="3"/>
    </row>
    <row r="112" customFormat="false" ht="17.35" hidden="false" customHeight="false" outlineLevel="0" collapsed="false">
      <c r="B112" s="13" t="n">
        <v>3</v>
      </c>
      <c r="C112" s="13" t="s">
        <v>61</v>
      </c>
      <c r="D112" s="58" t="s">
        <v>62</v>
      </c>
      <c r="E112" s="20" t="s">
        <v>185</v>
      </c>
      <c r="F112" s="16" t="n">
        <f aca="false">+(G84*4+H84*6)/1000</f>
        <v>300.32</v>
      </c>
      <c r="G112" s="15" t="n">
        <v>335</v>
      </c>
      <c r="H112" s="15" t="n">
        <f aca="false">+F112*G112</f>
        <v>100607.2</v>
      </c>
      <c r="I112" s="3"/>
      <c r="J112" s="3"/>
    </row>
    <row r="113" customFormat="false" ht="29.85" hidden="false" customHeight="false" outlineLevel="0" collapsed="false">
      <c r="B113" s="46" t="n">
        <v>4</v>
      </c>
      <c r="C113" s="58" t="s">
        <v>64</v>
      </c>
      <c r="D113" s="58" t="s">
        <v>62</v>
      </c>
      <c r="E113" s="135" t="s">
        <v>186</v>
      </c>
      <c r="F113" s="60" t="n">
        <f aca="false">+(G84*5+H84*9)/1000</f>
        <v>411.01</v>
      </c>
      <c r="G113" s="61" t="n">
        <v>1000</v>
      </c>
      <c r="H113" s="15" t="n">
        <f aca="false">+F113*G113</f>
        <v>411010</v>
      </c>
      <c r="I113" s="3"/>
      <c r="J113" s="3"/>
    </row>
    <row r="114" customFormat="false" ht="17.35" hidden="false" customHeight="false" outlineLevel="0" collapsed="false">
      <c r="B114" s="13" t="n">
        <v>5</v>
      </c>
      <c r="C114" s="13" t="s">
        <v>66</v>
      </c>
      <c r="D114" s="58" t="s">
        <v>57</v>
      </c>
      <c r="E114" s="13" t="n">
        <v>10</v>
      </c>
      <c r="F114" s="13" t="n">
        <f aca="false">+E114*$F$84</f>
        <v>90</v>
      </c>
      <c r="G114" s="15" t="n">
        <v>50</v>
      </c>
      <c r="H114" s="15" t="n">
        <f aca="false">+F114*G114</f>
        <v>4500</v>
      </c>
      <c r="I114" s="3"/>
      <c r="J114" s="3"/>
    </row>
    <row r="115" customFormat="false" ht="17.35" hidden="false" customHeight="false" outlineLevel="0" collapsed="false">
      <c r="B115" s="13" t="n">
        <v>6</v>
      </c>
      <c r="C115" s="13" t="s">
        <v>67</v>
      </c>
      <c r="D115" s="58" t="s">
        <v>57</v>
      </c>
      <c r="E115" s="13" t="n">
        <v>10</v>
      </c>
      <c r="F115" s="13" t="n">
        <f aca="false">+E115*$F$84</f>
        <v>90</v>
      </c>
      <c r="G115" s="15" t="n">
        <v>40</v>
      </c>
      <c r="H115" s="15" t="n">
        <f aca="false">+F115*G115</f>
        <v>3600</v>
      </c>
      <c r="I115" s="3"/>
      <c r="J115" s="3"/>
    </row>
    <row r="116" customFormat="false" ht="17.35" hidden="false" customHeight="false" outlineLevel="0" collapsed="false">
      <c r="B116" s="13" t="n">
        <v>7</v>
      </c>
      <c r="C116" s="13" t="s">
        <v>68</v>
      </c>
      <c r="D116" s="58" t="s">
        <v>57</v>
      </c>
      <c r="E116" s="13" t="n">
        <v>2</v>
      </c>
      <c r="F116" s="13" t="n">
        <f aca="false">+E116*$F$84</f>
        <v>18</v>
      </c>
      <c r="G116" s="15" t="n">
        <v>16000</v>
      </c>
      <c r="H116" s="15" t="n">
        <f aca="false">+F116*G116</f>
        <v>288000</v>
      </c>
      <c r="I116" s="3"/>
      <c r="J116" s="3"/>
    </row>
    <row r="117" customFormat="false" ht="17.35" hidden="false" customHeight="false" outlineLevel="0" collapsed="false">
      <c r="B117" s="13" t="n">
        <v>8</v>
      </c>
      <c r="C117" s="13" t="s">
        <v>70</v>
      </c>
      <c r="D117" s="58" t="s">
        <v>14</v>
      </c>
      <c r="E117" s="13" t="s">
        <v>111</v>
      </c>
      <c r="F117" s="17" t="n">
        <f aca="false">+J84</f>
        <v>105.351</v>
      </c>
      <c r="G117" s="15" t="n">
        <v>48000</v>
      </c>
      <c r="H117" s="15" t="n">
        <f aca="false">+F117*G117</f>
        <v>5056848</v>
      </c>
      <c r="I117" s="3"/>
      <c r="J117" s="3"/>
    </row>
    <row r="118" customFormat="false" ht="19.7" hidden="false" customHeight="false" outlineLevel="0" collapsed="false">
      <c r="B118" s="3"/>
      <c r="C118" s="3"/>
      <c r="D118" s="3"/>
      <c r="E118" s="3"/>
      <c r="F118" s="3"/>
      <c r="G118" s="64" t="s">
        <v>19</v>
      </c>
      <c r="H118" s="65" t="n">
        <f aca="false">SUM(H110:H117)</f>
        <v>6188565.2</v>
      </c>
      <c r="I118" s="3"/>
      <c r="J118" s="3"/>
    </row>
    <row r="119" customFormat="false" ht="19.7" hidden="false" customHeight="false" outlineLevel="0" collapsed="false">
      <c r="B119" s="72"/>
      <c r="C119" s="72"/>
      <c r="D119" s="72"/>
      <c r="E119" s="72"/>
      <c r="F119" s="72"/>
      <c r="G119" s="136"/>
      <c r="H119" s="137"/>
      <c r="I119" s="3"/>
      <c r="J119" s="3"/>
    </row>
    <row r="120" customFormat="false" ht="17.35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</row>
    <row r="121" customFormat="false" ht="24.45" hidden="false" customHeight="false" outlineLevel="0" collapsed="false">
      <c r="B121" s="75" t="s">
        <v>159</v>
      </c>
      <c r="C121" s="75"/>
      <c r="D121" s="75"/>
      <c r="E121" s="76"/>
      <c r="F121" s="75" t="s">
        <v>159</v>
      </c>
      <c r="G121" s="75"/>
      <c r="H121" s="75"/>
      <c r="I121" s="3"/>
      <c r="J121" s="3"/>
    </row>
    <row r="122" customFormat="false" ht="37.3" hidden="false" customHeight="false" outlineLevel="0" collapsed="false">
      <c r="B122" s="77" t="s">
        <v>95</v>
      </c>
      <c r="C122" s="77" t="s">
        <v>96</v>
      </c>
      <c r="D122" s="77" t="s">
        <v>97</v>
      </c>
      <c r="E122" s="3"/>
      <c r="F122" s="77" t="s">
        <v>95</v>
      </c>
      <c r="G122" s="77" t="s">
        <v>96</v>
      </c>
      <c r="H122" s="77" t="s">
        <v>97</v>
      </c>
      <c r="I122" s="3"/>
      <c r="J122" s="3"/>
    </row>
    <row r="123" customFormat="false" ht="22.05" hidden="false" customHeight="false" outlineLevel="0" collapsed="false">
      <c r="B123" s="78" t="n">
        <v>1</v>
      </c>
      <c r="C123" s="79" t="s">
        <v>98</v>
      </c>
      <c r="D123" s="80" t="n">
        <f aca="false">+J94*4.2</f>
        <v>958.86</v>
      </c>
      <c r="E123" s="3"/>
      <c r="F123" s="78" t="n">
        <v>1</v>
      </c>
      <c r="G123" s="79" t="s">
        <v>98</v>
      </c>
      <c r="H123" s="80" t="n">
        <f aca="false">+J94*4.2</f>
        <v>958.86</v>
      </c>
      <c r="I123" s="3"/>
      <c r="J123" s="3"/>
    </row>
    <row r="124" customFormat="false" ht="22.05" hidden="false" customHeight="false" outlineLevel="0" collapsed="false">
      <c r="B124" s="78" t="n">
        <v>2</v>
      </c>
      <c r="C124" s="79" t="s">
        <v>99</v>
      </c>
      <c r="D124" s="80" t="n">
        <f aca="false">+H106/3650</f>
        <v>1651.11375342466</v>
      </c>
      <c r="E124" s="3"/>
      <c r="F124" s="78" t="n">
        <v>2</v>
      </c>
      <c r="G124" s="79" t="s">
        <v>99</v>
      </c>
      <c r="H124" s="80" t="n">
        <f aca="false">+H118/3700</f>
        <v>1672.58518918919</v>
      </c>
      <c r="I124" s="3"/>
      <c r="J124" s="3"/>
    </row>
    <row r="125" customFormat="false" ht="22.05" hidden="false" customHeight="false" outlineLevel="0" collapsed="false">
      <c r="B125" s="78" t="n">
        <v>3</v>
      </c>
      <c r="C125" s="79" t="s">
        <v>100</v>
      </c>
      <c r="D125" s="80" t="n">
        <f aca="false">+J84*15</f>
        <v>1580.265</v>
      </c>
      <c r="E125" s="3"/>
      <c r="F125" s="78" t="n">
        <v>3</v>
      </c>
      <c r="G125" s="79" t="s">
        <v>100</v>
      </c>
      <c r="H125" s="80" t="n">
        <f aca="false">+J84*15</f>
        <v>1580.265</v>
      </c>
      <c r="I125" s="3"/>
      <c r="J125" s="3"/>
    </row>
    <row r="126" customFormat="false" ht="22.05" hidden="false" customHeight="false" outlineLevel="0" collapsed="false">
      <c r="B126" s="78" t="n">
        <v>4</v>
      </c>
      <c r="C126" s="79" t="s">
        <v>101</v>
      </c>
      <c r="D126" s="80" t="n">
        <v>0</v>
      </c>
      <c r="E126" s="3"/>
      <c r="F126" s="78" t="n">
        <v>4</v>
      </c>
      <c r="G126" s="79" t="s">
        <v>101</v>
      </c>
      <c r="H126" s="80" t="n">
        <v>0</v>
      </c>
      <c r="I126" s="3"/>
      <c r="J126" s="3"/>
    </row>
    <row r="127" customFormat="false" ht="22.05" hidden="false" customHeight="false" outlineLevel="0" collapsed="false">
      <c r="B127" s="3"/>
      <c r="C127" s="81" t="s">
        <v>19</v>
      </c>
      <c r="D127" s="80" t="n">
        <f aca="false">SUM(D123:D126)</f>
        <v>4190.23875342466</v>
      </c>
      <c r="E127" s="3"/>
      <c r="F127" s="3"/>
      <c r="G127" s="81" t="s">
        <v>19</v>
      </c>
      <c r="H127" s="80" t="n">
        <f aca="false">SUM(H123:H126)</f>
        <v>4211.71018918919</v>
      </c>
      <c r="I127" s="3"/>
      <c r="J127" s="3"/>
    </row>
    <row r="128" customFormat="false" ht="22.05" hidden="false" customHeight="false" outlineLevel="0" collapsed="false">
      <c r="B128" s="3"/>
      <c r="C128" s="81" t="s">
        <v>160</v>
      </c>
      <c r="D128" s="82" t="n">
        <f aca="false">+D127*30%</f>
        <v>1257.0716260274</v>
      </c>
      <c r="E128" s="3"/>
      <c r="F128" s="3"/>
      <c r="G128" s="81" t="s">
        <v>160</v>
      </c>
      <c r="H128" s="82" t="n">
        <f aca="false">+H127*30%</f>
        <v>1263.51305675676</v>
      </c>
      <c r="I128" s="3"/>
      <c r="J128" s="3"/>
    </row>
    <row r="129" customFormat="false" ht="22.05" hidden="false" customHeight="false" outlineLevel="0" collapsed="false">
      <c r="B129" s="3"/>
      <c r="C129" s="83" t="s">
        <v>103</v>
      </c>
      <c r="D129" s="84" t="n">
        <f aca="false">+D127+D128</f>
        <v>5447.31037945205</v>
      </c>
      <c r="E129" s="3"/>
      <c r="F129" s="3"/>
      <c r="G129" s="83" t="s">
        <v>103</v>
      </c>
      <c r="H129" s="84" t="n">
        <f aca="false">+H127+H128</f>
        <v>5475.22324594595</v>
      </c>
      <c r="I129" s="3"/>
      <c r="J129" s="3"/>
    </row>
    <row r="130" customFormat="false" ht="22.05" hidden="false" customHeight="false" outlineLevel="0" collapsed="false">
      <c r="B130" s="3"/>
      <c r="C130" s="87" t="s">
        <v>104</v>
      </c>
      <c r="D130" s="88" t="n">
        <f aca="false">+D127/J84</f>
        <v>39.774076690536</v>
      </c>
      <c r="E130" s="3"/>
      <c r="F130" s="3"/>
      <c r="G130" s="87" t="s">
        <v>104</v>
      </c>
      <c r="H130" s="88" t="n">
        <f aca="false">+H127/J84</f>
        <v>39.9778852520545</v>
      </c>
      <c r="I130" s="3"/>
      <c r="J130" s="3"/>
    </row>
    <row r="131" customFormat="false" ht="37.3" hidden="false" customHeight="false" outlineLevel="0" collapsed="false">
      <c r="B131" s="3"/>
      <c r="C131" s="89" t="s">
        <v>105</v>
      </c>
      <c r="D131" s="90" t="n">
        <f aca="false">+D129/J84</f>
        <v>51.7062996976968</v>
      </c>
      <c r="E131" s="3"/>
      <c r="F131" s="3"/>
      <c r="G131" s="89" t="s">
        <v>105</v>
      </c>
      <c r="H131" s="90" t="n">
        <f aca="false">+H129/J84</f>
        <v>51.9712508276708</v>
      </c>
      <c r="I131" s="3"/>
      <c r="J131" s="3"/>
    </row>
    <row r="132" customFormat="false" ht="17.35" hidden="false" customHeight="false" outlineLevel="0" collapsed="false">
      <c r="B132" s="3"/>
      <c r="C132" s="3"/>
      <c r="D132" s="3"/>
      <c r="E132" s="3"/>
      <c r="F132" s="3"/>
      <c r="G132" s="3"/>
      <c r="H132" s="3"/>
      <c r="I132" s="3"/>
      <c r="J132" s="3"/>
    </row>
    <row r="133" customFormat="false" ht="17.35" hidden="false" customHeight="false" outlineLevel="0" collapsed="false">
      <c r="B133" s="3"/>
      <c r="C133" s="3"/>
      <c r="D133" s="3"/>
      <c r="E133" s="3"/>
      <c r="F133" s="3"/>
      <c r="G133" s="3"/>
      <c r="H133" s="3"/>
      <c r="I133" s="3"/>
      <c r="J133" s="3"/>
    </row>
    <row r="134" customFormat="false" ht="17.35" hidden="false" customHeight="false" outlineLevel="0" collapsed="false">
      <c r="B134" s="3"/>
      <c r="C134" s="3"/>
      <c r="D134" s="3"/>
      <c r="E134" s="3"/>
      <c r="F134" s="3"/>
      <c r="G134" s="3"/>
      <c r="H134" s="3"/>
      <c r="I134" s="3"/>
      <c r="J134" s="3"/>
    </row>
    <row r="135" customFormat="false" ht="17.35" hidden="false" customHeight="false" outlineLevel="0" collapsed="false">
      <c r="B135" s="3"/>
      <c r="C135" s="3"/>
      <c r="D135" s="3"/>
      <c r="E135" s="3"/>
      <c r="F135" s="3"/>
      <c r="G135" s="3"/>
      <c r="H135" s="3"/>
      <c r="I135" s="3"/>
      <c r="J135" s="3"/>
    </row>
    <row r="136" customFormat="false" ht="17.35" hidden="false" customHeight="false" outlineLevel="0" collapsed="false">
      <c r="B136" s="3"/>
      <c r="C136" s="3"/>
      <c r="D136" s="3"/>
      <c r="E136" s="3"/>
      <c r="F136" s="3"/>
      <c r="G136" s="3"/>
      <c r="H136" s="3"/>
      <c r="I136" s="3"/>
      <c r="J136" s="3"/>
    </row>
    <row r="137" customFormat="false" ht="17.35" hidden="false" customHeight="false" outlineLevel="0" collapsed="false">
      <c r="B137" s="3"/>
      <c r="C137" s="3"/>
      <c r="D137" s="3"/>
      <c r="E137" s="3"/>
      <c r="F137" s="3"/>
      <c r="G137" s="3"/>
      <c r="H137" s="3"/>
      <c r="I137" s="3"/>
      <c r="J137" s="3"/>
    </row>
    <row r="138" customFormat="false" ht="17.35" hidden="false" customHeight="false" outlineLevel="0" collapsed="false">
      <c r="I138" s="3"/>
      <c r="J138" s="3"/>
    </row>
    <row r="139" customFormat="false" ht="17.35" hidden="false" customHeight="false" outlineLevel="0" collapsed="false">
      <c r="J139" s="3"/>
    </row>
    <row r="140" customFormat="false" ht="17.35" hidden="false" customHeight="false" outlineLevel="0" collapsed="false">
      <c r="J140" s="3"/>
    </row>
  </sheetData>
  <mergeCells count="7">
    <mergeCell ref="B4:J4"/>
    <mergeCell ref="B84:C84"/>
    <mergeCell ref="B86:J86"/>
    <mergeCell ref="B96:H96"/>
    <mergeCell ref="B108:H108"/>
    <mergeCell ref="B121:D121"/>
    <mergeCell ref="F121:H1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9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4" activeCellId="0" sqref="B4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30.67"/>
    <col collapsed="false" customWidth="true" hidden="false" outlineLevel="0" max="4" min="4" style="0" width="20.33"/>
    <col collapsed="false" customWidth="true" hidden="false" outlineLevel="0" max="5" min="5" style="0" width="22.81"/>
    <col collapsed="false" customWidth="true" hidden="false" outlineLevel="0" max="6" min="6" style="0" width="16.84"/>
    <col collapsed="false" customWidth="true" hidden="false" outlineLevel="0" max="7" min="7" style="0" width="22.5"/>
    <col collapsed="false" customWidth="true" hidden="false" outlineLevel="0" max="8" min="8" style="0" width="17.15"/>
    <col collapsed="false" customWidth="true" hidden="false" outlineLevel="0" max="9" min="9" style="0" width="15.16"/>
    <col collapsed="false" customWidth="true" hidden="false" outlineLevel="0" max="10" min="10" style="0" width="13.67"/>
    <col collapsed="false" customWidth="true" hidden="false" outlineLevel="0" max="13" min="11" style="0" width="15.16"/>
    <col collapsed="false" customWidth="true" hidden="false" outlineLevel="0" max="18" min="18" style="0" width="11"/>
    <col collapsed="false" customWidth="true" hidden="false" outlineLevel="0" max="21" min="21" style="0" width="20.83"/>
    <col collapsed="false" customWidth="true" hidden="false" outlineLevel="0" max="23" min="22" style="0" width="11"/>
    <col collapsed="false" customWidth="true" hidden="false" outlineLevel="0" max="24" min="24" style="0" width="11.17"/>
    <col collapsed="false" customWidth="true" hidden="false" outlineLevel="0" max="28" min="25" style="0" width="11"/>
  </cols>
  <sheetData>
    <row r="2" customFormat="false" ht="22.05" hidden="false" customHeight="false" outlineLevel="0" collapsed="false">
      <c r="B2" s="127" t="s">
        <v>162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customFormat="false" ht="29.85" hidden="false" customHeight="false" outlineLevel="0" collapsed="false">
      <c r="B3" s="9" t="s">
        <v>5</v>
      </c>
      <c r="C3" s="9" t="s">
        <v>6</v>
      </c>
      <c r="D3" s="9" t="s">
        <v>114</v>
      </c>
      <c r="E3" s="10" t="s">
        <v>8</v>
      </c>
      <c r="F3" s="10" t="s">
        <v>9</v>
      </c>
      <c r="G3" s="9" t="s">
        <v>10</v>
      </c>
      <c r="H3" s="9" t="s">
        <v>23</v>
      </c>
      <c r="I3" s="10" t="s">
        <v>12</v>
      </c>
      <c r="J3" s="9" t="s">
        <v>13</v>
      </c>
      <c r="K3" s="9" t="s">
        <v>14</v>
      </c>
      <c r="L3" s="10" t="s">
        <v>15</v>
      </c>
      <c r="M3" s="10" t="s">
        <v>16</v>
      </c>
      <c r="N3" s="10" t="s">
        <v>17</v>
      </c>
      <c r="O3" s="8"/>
    </row>
    <row r="4" customFormat="false" ht="17.35" hidden="false" customHeight="false" outlineLevel="0" collapsed="false">
      <c r="B4" s="13" t="n">
        <v>1</v>
      </c>
      <c r="C4" s="14" t="s">
        <v>18</v>
      </c>
      <c r="D4" s="15" t="n">
        <v>4100</v>
      </c>
      <c r="E4" s="15" t="n">
        <f aca="false">F4-300</f>
        <v>2100</v>
      </c>
      <c r="F4" s="15" t="n">
        <v>2400</v>
      </c>
      <c r="G4" s="13" t="n">
        <v>9</v>
      </c>
      <c r="H4" s="13" t="n">
        <f aca="false">+D4*G4</f>
        <v>36900</v>
      </c>
      <c r="I4" s="15" t="n">
        <f aca="false">+F4*G4</f>
        <v>21600</v>
      </c>
      <c r="J4" s="13" t="n">
        <f aca="false">+E4*G4</f>
        <v>18900</v>
      </c>
      <c r="K4" s="16" t="n">
        <f aca="false">+D4*E4/1000000</f>
        <v>8.61</v>
      </c>
      <c r="L4" s="16" t="n">
        <f aca="false">+D4*F4/1000000</f>
        <v>9.84</v>
      </c>
      <c r="M4" s="16" t="n">
        <f aca="false">+G4*K4</f>
        <v>77.49</v>
      </c>
      <c r="N4" s="17" t="n">
        <f aca="false">+G4*L4</f>
        <v>88.56</v>
      </c>
      <c r="O4" s="3"/>
      <c r="S4" s="94" t="s">
        <v>107</v>
      </c>
      <c r="T4" s="94"/>
      <c r="U4" s="94"/>
      <c r="V4" s="94"/>
      <c r="W4" s="94"/>
      <c r="X4" s="6"/>
      <c r="Y4" s="3"/>
      <c r="Z4" s="3"/>
      <c r="AA4" s="3"/>
      <c r="AB4" s="3"/>
      <c r="AC4" s="3"/>
    </row>
    <row r="5" customFormat="false" ht="17.35" hidden="false" customHeight="false" outlineLevel="0" collapsed="false">
      <c r="B5" s="13" t="n">
        <v>2</v>
      </c>
      <c r="C5" s="14" t="s">
        <v>18</v>
      </c>
      <c r="D5" s="19" t="n">
        <v>3300</v>
      </c>
      <c r="E5" s="19" t="n">
        <f aca="false">F5-300</f>
        <v>2400</v>
      </c>
      <c r="F5" s="19" t="n">
        <v>2700</v>
      </c>
      <c r="G5" s="13" t="n">
        <v>2</v>
      </c>
      <c r="H5" s="19" t="n">
        <f aca="false">+D5*G5</f>
        <v>6600</v>
      </c>
      <c r="I5" s="19" t="n">
        <f aca="false">+F5*G5</f>
        <v>5400</v>
      </c>
      <c r="J5" s="19" t="n">
        <f aca="false">+E5*G5</f>
        <v>4800</v>
      </c>
      <c r="K5" s="16" t="n">
        <f aca="false">+D5*E5/1000000</f>
        <v>7.92</v>
      </c>
      <c r="L5" s="16" t="n">
        <f aca="false">+D5*F5/1000000</f>
        <v>8.91</v>
      </c>
      <c r="M5" s="16" t="n">
        <f aca="false">+G5*K5</f>
        <v>15.84</v>
      </c>
      <c r="N5" s="17" t="n">
        <f aca="false">+G5*L5</f>
        <v>17.82</v>
      </c>
      <c r="O5" s="3"/>
      <c r="S5" s="94"/>
      <c r="T5" s="94"/>
      <c r="U5" s="94"/>
      <c r="V5" s="94"/>
      <c r="W5" s="94"/>
      <c r="X5" s="6"/>
      <c r="Y5" s="3"/>
      <c r="Z5" s="3"/>
      <c r="AA5" s="3"/>
      <c r="AB5" s="3"/>
      <c r="AC5" s="3"/>
    </row>
    <row r="6" customFormat="false" ht="17.35" hidden="false" customHeight="false" outlineLevel="0" collapsed="false">
      <c r="B6" s="20" t="n">
        <v>3</v>
      </c>
      <c r="C6" s="14" t="s">
        <v>18</v>
      </c>
      <c r="D6" s="19" t="n">
        <v>3300</v>
      </c>
      <c r="E6" s="19" t="n">
        <f aca="false">F6-300</f>
        <v>2100</v>
      </c>
      <c r="F6" s="19" t="n">
        <v>2400</v>
      </c>
      <c r="G6" s="13" t="n">
        <v>2</v>
      </c>
      <c r="H6" s="19" t="n">
        <f aca="false">+D6*G6</f>
        <v>6600</v>
      </c>
      <c r="I6" s="19" t="n">
        <f aca="false">+F6*G6</f>
        <v>4800</v>
      </c>
      <c r="J6" s="19" t="n">
        <f aca="false">+E6*G6</f>
        <v>4200</v>
      </c>
      <c r="K6" s="16" t="n">
        <f aca="false">+D6*E6/1000000</f>
        <v>6.93</v>
      </c>
      <c r="L6" s="16" t="n">
        <f aca="false">+D6*F6/1000000</f>
        <v>7.92</v>
      </c>
      <c r="M6" s="16" t="n">
        <f aca="false">+G6*K6</f>
        <v>13.86</v>
      </c>
      <c r="N6" s="17" t="n">
        <f aca="false">+G6*L6</f>
        <v>15.84</v>
      </c>
      <c r="O6" s="3"/>
      <c r="S6" s="8"/>
      <c r="T6" s="95" t="s">
        <v>112</v>
      </c>
      <c r="U6" s="95" t="s">
        <v>113</v>
      </c>
      <c r="V6" s="95"/>
      <c r="W6" s="95" t="s">
        <v>114</v>
      </c>
      <c r="X6" s="95" t="s">
        <v>115</v>
      </c>
      <c r="Y6" s="95" t="s">
        <v>109</v>
      </c>
      <c r="Z6" s="95" t="s">
        <v>116</v>
      </c>
      <c r="AA6" s="8"/>
      <c r="AB6" s="8"/>
      <c r="AC6" s="8"/>
    </row>
    <row r="7" customFormat="false" ht="17.35" hidden="false" customHeight="false" outlineLevel="0" collapsed="false">
      <c r="B7" s="20" t="n">
        <f aca="false">+B6+1</f>
        <v>4</v>
      </c>
      <c r="C7" s="14" t="s">
        <v>18</v>
      </c>
      <c r="D7" s="19" t="n">
        <v>1500</v>
      </c>
      <c r="E7" s="19" t="n">
        <f aca="false">F7-300</f>
        <v>2400</v>
      </c>
      <c r="F7" s="19" t="n">
        <v>2700</v>
      </c>
      <c r="G7" s="13" t="n">
        <v>2</v>
      </c>
      <c r="H7" s="19" t="n">
        <f aca="false">+D7*G7</f>
        <v>3000</v>
      </c>
      <c r="I7" s="19" t="n">
        <f aca="false">+F7*G7</f>
        <v>5400</v>
      </c>
      <c r="J7" s="19" t="n">
        <f aca="false">+E7*G7</f>
        <v>4800</v>
      </c>
      <c r="K7" s="16" t="n">
        <f aca="false">+D7*E7/1000000</f>
        <v>3.6</v>
      </c>
      <c r="L7" s="16" t="n">
        <f aca="false">+D7*F7/1000000</f>
        <v>4.05</v>
      </c>
      <c r="M7" s="16" t="n">
        <f aca="false">+G7*K7</f>
        <v>7.2</v>
      </c>
      <c r="N7" s="17" t="n">
        <f aca="false">+G7*L7</f>
        <v>8.1</v>
      </c>
      <c r="O7" s="3"/>
      <c r="S7" s="3"/>
      <c r="T7" s="97" t="n">
        <v>1</v>
      </c>
      <c r="U7" s="98" t="s">
        <v>18</v>
      </c>
      <c r="V7" s="98"/>
      <c r="W7" s="97" t="n">
        <v>1500</v>
      </c>
      <c r="X7" s="97" t="n">
        <f aca="false">Y7-300</f>
        <v>1200</v>
      </c>
      <c r="Y7" s="97" t="n">
        <v>1500</v>
      </c>
      <c r="Z7" s="97" t="n">
        <f aca="false">Y7*W7/1000000</f>
        <v>2.25</v>
      </c>
      <c r="AA7" s="3"/>
      <c r="AB7" s="3"/>
      <c r="AC7" s="3"/>
    </row>
    <row r="8" customFormat="false" ht="17.35" hidden="false" customHeight="false" outlineLevel="0" collapsed="false">
      <c r="B8" s="13" t="n">
        <v>23</v>
      </c>
      <c r="C8" s="14"/>
      <c r="D8" s="15"/>
      <c r="E8" s="15" t="n">
        <f aca="false">F8-300</f>
        <v>-300</v>
      </c>
      <c r="F8" s="15"/>
      <c r="G8" s="13"/>
      <c r="H8" s="13" t="n">
        <f aca="false">+D8*G8</f>
        <v>0</v>
      </c>
      <c r="I8" s="15" t="n">
        <f aca="false">+F8*G8</f>
        <v>0</v>
      </c>
      <c r="J8" s="13" t="n">
        <f aca="false">+E8*G8</f>
        <v>-0</v>
      </c>
      <c r="K8" s="16" t="n">
        <f aca="false">+D8*E8/1000000</f>
        <v>-0</v>
      </c>
      <c r="L8" s="16" t="n">
        <f aca="false">+D8*F8/1000000</f>
        <v>0</v>
      </c>
      <c r="M8" s="16" t="n">
        <f aca="false">+G8*K8</f>
        <v>-0</v>
      </c>
      <c r="N8" s="17" t="n">
        <f aca="false">+G8*L8</f>
        <v>0</v>
      </c>
      <c r="Q8" s="3"/>
      <c r="R8" s="97" t="n">
        <v>20</v>
      </c>
      <c r="S8" s="98" t="s">
        <v>18</v>
      </c>
      <c r="T8" s="98"/>
      <c r="U8" s="97" t="n">
        <v>0</v>
      </c>
      <c r="V8" s="97" t="n">
        <v>0</v>
      </c>
      <c r="W8" s="97" t="n">
        <v>0</v>
      </c>
      <c r="X8" s="97" t="n">
        <f aca="false">W8*U8/1000000</f>
        <v>0</v>
      </c>
      <c r="Y8" s="3"/>
      <c r="Z8" s="3"/>
      <c r="AA8" s="3"/>
    </row>
    <row r="9" customFormat="false" ht="17.35" hidden="false" customHeight="false" outlineLevel="0" collapsed="false">
      <c r="B9" s="13" t="n">
        <v>24</v>
      </c>
      <c r="C9" s="14"/>
      <c r="D9" s="15"/>
      <c r="E9" s="15" t="n">
        <f aca="false">F9-300</f>
        <v>-300</v>
      </c>
      <c r="F9" s="15"/>
      <c r="G9" s="13"/>
      <c r="H9" s="13" t="n">
        <f aca="false">+D9*G9</f>
        <v>0</v>
      </c>
      <c r="I9" s="15" t="n">
        <f aca="false">+F9*G9</f>
        <v>0</v>
      </c>
      <c r="J9" s="13" t="n">
        <f aca="false">+E9*G9</f>
        <v>-0</v>
      </c>
      <c r="K9" s="16" t="n">
        <f aca="false">+D9*E9/1000000</f>
        <v>-0</v>
      </c>
      <c r="L9" s="16" t="n">
        <f aca="false">+D9*F9/1000000</f>
        <v>0</v>
      </c>
      <c r="M9" s="16" t="n">
        <f aca="false">+G9*K9</f>
        <v>-0</v>
      </c>
      <c r="N9" s="17" t="n">
        <f aca="false">+G9*L9</f>
        <v>0</v>
      </c>
      <c r="Q9" s="3"/>
      <c r="R9" s="3"/>
      <c r="S9" s="3"/>
      <c r="T9" s="3"/>
      <c r="U9" s="3"/>
      <c r="V9" s="97" t="s">
        <v>117</v>
      </c>
      <c r="W9" s="97"/>
      <c r="X9" s="97" t="n">
        <f aca="false">SUM(X7:X8)</f>
        <v>1200</v>
      </c>
      <c r="Y9" s="3"/>
      <c r="Z9" s="3"/>
      <c r="AA9" s="3"/>
    </row>
    <row r="10" customFormat="false" ht="17.35" hidden="false" customHeight="false" outlineLevel="0" collapsed="false">
      <c r="B10" s="13" t="n">
        <v>25</v>
      </c>
      <c r="C10" s="14"/>
      <c r="D10" s="15"/>
      <c r="E10" s="15" t="n">
        <f aca="false">F10-300</f>
        <v>-300</v>
      </c>
      <c r="F10" s="15"/>
      <c r="G10" s="13"/>
      <c r="H10" s="13" t="n">
        <f aca="false">+D10*G10</f>
        <v>0</v>
      </c>
      <c r="I10" s="15" t="n">
        <f aca="false">+F10*G10</f>
        <v>0</v>
      </c>
      <c r="J10" s="13" t="n">
        <f aca="false">+E10*G10</f>
        <v>-0</v>
      </c>
      <c r="K10" s="16" t="n">
        <f aca="false">+D10*E10/1000000</f>
        <v>-0</v>
      </c>
      <c r="L10" s="16" t="n">
        <f aca="false">+D10*F10/1000000</f>
        <v>0</v>
      </c>
      <c r="M10" s="16" t="n">
        <f aca="false">+G10*K10</f>
        <v>-0</v>
      </c>
      <c r="N10" s="17" t="n">
        <f aca="false">+G10*L10</f>
        <v>0</v>
      </c>
      <c r="Q10" s="3"/>
      <c r="R10" s="3"/>
      <c r="S10" s="3"/>
      <c r="T10" s="95" t="s">
        <v>21</v>
      </c>
      <c r="U10" s="95" t="s">
        <v>23</v>
      </c>
      <c r="V10" s="95" t="s">
        <v>24</v>
      </c>
      <c r="W10" s="95" t="s">
        <v>25</v>
      </c>
      <c r="X10" s="99" t="s">
        <v>26</v>
      </c>
      <c r="Y10" s="99" t="s">
        <v>37</v>
      </c>
      <c r="Z10" s="12"/>
      <c r="AA10" s="3"/>
      <c r="AB10" s="3"/>
    </row>
    <row r="11" customFormat="false" ht="17.35" hidden="false" customHeight="false" outlineLevel="0" collapsed="false">
      <c r="B11" s="13" t="n">
        <v>26</v>
      </c>
      <c r="C11" s="14"/>
      <c r="D11" s="15"/>
      <c r="E11" s="15" t="n">
        <f aca="false">F11-300</f>
        <v>-300</v>
      </c>
      <c r="F11" s="15"/>
      <c r="G11" s="13"/>
      <c r="H11" s="13" t="n">
        <f aca="false">+D11*G11</f>
        <v>0</v>
      </c>
      <c r="I11" s="15" t="n">
        <f aca="false">+F11*G11</f>
        <v>0</v>
      </c>
      <c r="J11" s="13" t="n">
        <f aca="false">+E11*G11</f>
        <v>-0</v>
      </c>
      <c r="K11" s="16" t="n">
        <f aca="false">+D11*E11/1000000</f>
        <v>-0</v>
      </c>
      <c r="L11" s="16" t="n">
        <f aca="false">+D11*F11/1000000</f>
        <v>0</v>
      </c>
      <c r="M11" s="16" t="n">
        <f aca="false">+G11*K11</f>
        <v>-0</v>
      </c>
      <c r="N11" s="17" t="n">
        <f aca="false">+G11*L11</f>
        <v>0</v>
      </c>
      <c r="S11" s="3"/>
      <c r="T11" s="97" t="s">
        <v>118</v>
      </c>
      <c r="U11" s="97" t="n">
        <v>1005</v>
      </c>
      <c r="V11" s="97" t="e">
        <f aca="false">(W7*1)+(#REF!*1)+(#REF!*1)+(#REF!*1)+(#REF!*1)+(#REF!*1)+(#REF!*1)+(#REF!*1)+(#REF!*1)+(#REF!*1)+(#REF!*1)+(#REF!*1)+(#REF!*1)+(#REF!*1)+(#REF!*1)+(#REF!*1)+(#REF!*1)+(#REF!*1)+(#REF!*1)+(U8*1)</f>
        <v>#REF!</v>
      </c>
      <c r="W11" s="100" t="e">
        <f aca="false">V11+(V11*10%)</f>
        <v>#REF!</v>
      </c>
      <c r="X11" s="101" t="e">
        <f aca="false">V11/6400</f>
        <v>#REF!</v>
      </c>
      <c r="Y11" s="101" t="e">
        <f aca="false">ROUNDUP(X11,0)</f>
        <v>#REF!</v>
      </c>
      <c r="Z11" s="102" t="e">
        <f aca="false">Y11*7.2</f>
        <v>#REF!</v>
      </c>
      <c r="AA11" s="22"/>
      <c r="AB11" s="3"/>
      <c r="AC11" s="3"/>
    </row>
    <row r="12" customFormat="false" ht="17.35" hidden="false" customHeight="false" outlineLevel="0" collapsed="false">
      <c r="B12" s="13" t="n">
        <v>27</v>
      </c>
      <c r="C12" s="14"/>
      <c r="D12" s="15"/>
      <c r="E12" s="15" t="n">
        <f aca="false">F12-300</f>
        <v>-300</v>
      </c>
      <c r="F12" s="15"/>
      <c r="G12" s="13"/>
      <c r="H12" s="13" t="n">
        <f aca="false">+D12*G12</f>
        <v>0</v>
      </c>
      <c r="I12" s="15" t="n">
        <f aca="false">+F12*G12</f>
        <v>0</v>
      </c>
      <c r="J12" s="13" t="n">
        <f aca="false">+E12*G12</f>
        <v>-0</v>
      </c>
      <c r="K12" s="16" t="n">
        <f aca="false">+D12*E12/1000000</f>
        <v>-0</v>
      </c>
      <c r="L12" s="16" t="n">
        <f aca="false">+D12*F12/1000000</f>
        <v>0</v>
      </c>
      <c r="M12" s="16" t="n">
        <f aca="false">+G12*K12</f>
        <v>-0</v>
      </c>
      <c r="N12" s="17" t="n">
        <f aca="false">+G12*L12</f>
        <v>0</v>
      </c>
      <c r="Q12" s="3"/>
      <c r="R12" s="3"/>
      <c r="S12" s="3"/>
      <c r="T12" s="97" t="s">
        <v>120</v>
      </c>
      <c r="U12" s="97" t="n">
        <v>1007</v>
      </c>
      <c r="V12" s="97" t="e">
        <f aca="false">(X7*2)+(#REF!*2)+(#REF!*2)+(#REF!*2)+(#REF!*2)+(#REF!*2)+(#REF!*2)+(#REF!*2)+(#REF!*2)+(#REF!*2)+(#REF!*2)+(#REF!*2)+(#REF!*2)+(#REF!*2)+(#REF!*2)+(#REF!*2)+(#REF!*2)+(#REF!*2)+(#REF!*2)+(V8*2)</f>
        <v>#REF!</v>
      </c>
      <c r="W12" s="100" t="e">
        <f aca="false">V12+(V12*10%)</f>
        <v>#REF!</v>
      </c>
      <c r="X12" s="101" t="e">
        <f aca="false">V12/6400</f>
        <v>#REF!</v>
      </c>
      <c r="Y12" s="101" t="e">
        <f aca="false">ROUNDUP(X12,0)</f>
        <v>#REF!</v>
      </c>
      <c r="Z12" s="102" t="e">
        <f aca="false">Y12*7.2</f>
        <v>#REF!</v>
      </c>
      <c r="AA12" s="22"/>
    </row>
    <row r="13" customFormat="false" ht="17.35" hidden="false" customHeight="false" outlineLevel="0" collapsed="false">
      <c r="B13" s="13" t="n">
        <v>28</v>
      </c>
      <c r="C13" s="14"/>
      <c r="D13" s="15"/>
      <c r="E13" s="15" t="n">
        <f aca="false">F13-300</f>
        <v>-300</v>
      </c>
      <c r="F13" s="15"/>
      <c r="G13" s="13"/>
      <c r="H13" s="13" t="n">
        <f aca="false">+D13*G13</f>
        <v>0</v>
      </c>
      <c r="I13" s="15" t="n">
        <f aca="false">+F13*G13</f>
        <v>0</v>
      </c>
      <c r="J13" s="13" t="n">
        <f aca="false">+E13*G13</f>
        <v>-0</v>
      </c>
      <c r="K13" s="16" t="n">
        <f aca="false">+D13*E13/1000000</f>
        <v>-0</v>
      </c>
      <c r="L13" s="16" t="n">
        <f aca="false">+D13*F13/1000000</f>
        <v>0</v>
      </c>
      <c r="M13" s="16" t="n">
        <f aca="false">+G13*K13</f>
        <v>-0</v>
      </c>
      <c r="N13" s="17" t="n">
        <f aca="false">+G13*L13</f>
        <v>0</v>
      </c>
      <c r="O13" s="0" t="n">
        <v>4</v>
      </c>
      <c r="P13" s="0" t="s">
        <v>187</v>
      </c>
      <c r="Q13" s="3"/>
      <c r="R13" s="3"/>
      <c r="S13" s="3"/>
      <c r="T13" s="97" t="s">
        <v>122</v>
      </c>
      <c r="U13" s="3" t="n">
        <v>1001</v>
      </c>
      <c r="V13" s="3" t="e">
        <f aca="false">(W7*1)+(#REF!*1)+(#REF!*1)+(#REF!*1)+(#REF!*1)+(#REF!*1)+(#REF!*1)+(#REF!*1)+(#REF!*1)+(#REF!*1)+(#REF!*1)+(#REF!*1)+(#REF!*1)+(#REF!*1)+(#REF!*1)+(#REF!*1)+(#REF!*1)+(#REF!*1)+(#REF!*1)+(U8*1)</f>
        <v>#REF!</v>
      </c>
      <c r="W13" s="100" t="e">
        <f aca="false">V13+(V13*10%)</f>
        <v>#REF!</v>
      </c>
      <c r="X13" s="101" t="e">
        <f aca="false">V13/6400</f>
        <v>#REF!</v>
      </c>
      <c r="Y13" s="101" t="e">
        <f aca="false">ROUNDUP(X13,0)</f>
        <v>#REF!</v>
      </c>
      <c r="Z13" s="102" t="e">
        <f aca="false">Y13*7.2</f>
        <v>#REF!</v>
      </c>
      <c r="AA13" s="22"/>
    </row>
    <row r="14" customFormat="false" ht="17.35" hidden="false" customHeight="false" outlineLevel="0" collapsed="false">
      <c r="B14" s="13" t="n">
        <v>29</v>
      </c>
      <c r="C14" s="14"/>
      <c r="D14" s="15"/>
      <c r="E14" s="15" t="n">
        <f aca="false">F14-300</f>
        <v>-300</v>
      </c>
      <c r="F14" s="15"/>
      <c r="G14" s="13"/>
      <c r="H14" s="13" t="n">
        <f aca="false">+D14*G14</f>
        <v>0</v>
      </c>
      <c r="I14" s="15" t="n">
        <f aca="false">+F14*G14</f>
        <v>0</v>
      </c>
      <c r="J14" s="13" t="n">
        <f aca="false">+E14*G14</f>
        <v>-0</v>
      </c>
      <c r="K14" s="16" t="n">
        <f aca="false">+D14*E14/1000000</f>
        <v>-0</v>
      </c>
      <c r="L14" s="16" t="n">
        <f aca="false">+D14*F14/1000000</f>
        <v>0</v>
      </c>
      <c r="M14" s="16" t="n">
        <f aca="false">+G14*K14</f>
        <v>-0</v>
      </c>
      <c r="N14" s="17" t="n">
        <f aca="false">+G14*L14</f>
        <v>0</v>
      </c>
      <c r="Q14" s="3"/>
      <c r="R14" s="3"/>
      <c r="S14" s="3"/>
      <c r="T14" s="97" t="s">
        <v>121</v>
      </c>
      <c r="U14" s="97" t="n">
        <v>1009</v>
      </c>
      <c r="V14" s="97" t="e">
        <f aca="false">(W7*1)+(#REF!*1)+(#REF!*1)+(#REF!*1)+(#REF!*1)+(#REF!*1)+(#REF!*1)+(#REF!*1)+(#REF!*1)+(#REF!*1)+(#REF!*1)+(#REF!*1)+(#REF!*1)+(#REF!*1)+(#REF!*1)+(#REF!*1)+(#REF!*1)+(#REF!*1)+(#REF!*1)+(U8*1)</f>
        <v>#REF!</v>
      </c>
      <c r="W14" s="100" t="e">
        <f aca="false">V14+(V14*10%)</f>
        <v>#REF!</v>
      </c>
      <c r="X14" s="101" t="e">
        <f aca="false">V14/6400</f>
        <v>#REF!</v>
      </c>
      <c r="Y14" s="101" t="e">
        <f aca="false">ROUNDUP(X14,0)</f>
        <v>#REF!</v>
      </c>
      <c r="Z14" s="102" t="e">
        <f aca="false">Y14*7.2</f>
        <v>#REF!</v>
      </c>
      <c r="AA14" s="21"/>
    </row>
    <row r="15" customFormat="false" ht="17.35" hidden="false" customHeight="false" outlineLevel="0" collapsed="false">
      <c r="B15" s="13" t="n">
        <v>30</v>
      </c>
      <c r="C15" s="14"/>
      <c r="D15" s="15"/>
      <c r="E15" s="15" t="n">
        <f aca="false">F15-300</f>
        <v>-300</v>
      </c>
      <c r="F15" s="15"/>
      <c r="G15" s="13"/>
      <c r="H15" s="13" t="n">
        <f aca="false">+D15*G15</f>
        <v>0</v>
      </c>
      <c r="I15" s="15" t="n">
        <f aca="false">+F15*G15</f>
        <v>0</v>
      </c>
      <c r="J15" s="13" t="n">
        <f aca="false">+E15*G15</f>
        <v>-0</v>
      </c>
      <c r="K15" s="16" t="n">
        <f aca="false">+D15*E15/1000000</f>
        <v>-0</v>
      </c>
      <c r="L15" s="16" t="n">
        <f aca="false">+D15*F15/1000000</f>
        <v>0</v>
      </c>
      <c r="M15" s="16" t="n">
        <f aca="false">+G15*K15</f>
        <v>-0</v>
      </c>
      <c r="N15" s="17" t="n">
        <f aca="false">+G15*L15</f>
        <v>0</v>
      </c>
      <c r="Q15" s="3"/>
      <c r="R15" s="3"/>
      <c r="S15" s="3"/>
      <c r="T15" s="97" t="s">
        <v>123</v>
      </c>
      <c r="U15" s="97" t="n">
        <v>1011</v>
      </c>
      <c r="V15" s="103" t="e">
        <f aca="false">(W7*1)+(#REF!*1)+(#REF!*1)+(#REF!*1)+(#REF!*1)+(#REF!*1)+(#REF!*1)+(#REF!*1)+(#REF!*1)+(#REF!*1)+(#REF!*1)+(#REF!*1)+(#REF!*1)+(#REF!*1)+(#REF!*1)+(#REF!*1)+(#REF!*1)+(#REF!*1)+(#REF!*1)+(U8*1)</f>
        <v>#REF!</v>
      </c>
      <c r="W15" s="100" t="e">
        <f aca="false">V15+(V15*10%)</f>
        <v>#REF!</v>
      </c>
      <c r="X15" s="101" t="e">
        <f aca="false">V15/6400</f>
        <v>#REF!</v>
      </c>
      <c r="Y15" s="101" t="e">
        <f aca="false">ROUNDUP(X15,0)</f>
        <v>#REF!</v>
      </c>
      <c r="Z15" s="102" t="e">
        <f aca="false">Y15*7.2</f>
        <v>#REF!</v>
      </c>
      <c r="AA15" s="21"/>
    </row>
    <row r="16" customFormat="false" ht="17.35" hidden="false" customHeight="false" outlineLevel="0" collapsed="false">
      <c r="B16" s="13" t="n">
        <v>31</v>
      </c>
      <c r="C16" s="14"/>
      <c r="D16" s="15"/>
      <c r="E16" s="15" t="n">
        <f aca="false">F16-300</f>
        <v>-300</v>
      </c>
      <c r="F16" s="15"/>
      <c r="G16" s="13"/>
      <c r="H16" s="13" t="n">
        <f aca="false">+D16*G16</f>
        <v>0</v>
      </c>
      <c r="I16" s="15" t="n">
        <f aca="false">+F16*G16</f>
        <v>0</v>
      </c>
      <c r="J16" s="13" t="n">
        <f aca="false">+E16*G16</f>
        <v>-0</v>
      </c>
      <c r="K16" s="16" t="n">
        <f aca="false">+D16*E16/1000000</f>
        <v>-0</v>
      </c>
      <c r="L16" s="16" t="n">
        <f aca="false">+D16*F16/1000000</f>
        <v>0</v>
      </c>
      <c r="M16" s="16" t="n">
        <f aca="false">+G16*K16</f>
        <v>-0</v>
      </c>
      <c r="N16" s="17" t="n">
        <f aca="false">+G16*L16</f>
        <v>0</v>
      </c>
      <c r="Q16" s="3"/>
      <c r="R16" s="3"/>
      <c r="S16" s="3"/>
      <c r="T16" s="97" t="s">
        <v>124</v>
      </c>
      <c r="U16" s="97" t="n">
        <v>1013</v>
      </c>
      <c r="V16" s="97" t="e">
        <f aca="false">(X7*2)+(#REF!*2)+(#REF!*2)+(#REF!*2)+(#REF!*2)+(#REF!*2)+(#REF!*2)+(#REF!*2)+(#REF!*2)+(#REF!*2)+(#REF!*2)+(#REF!*2)+(#REF!*2)+(#REF!*2)+(#REF!*2)+(#REF!*2)+(#REF!*2)+(#REF!*2)+(#REF!*2)+(V8*2)</f>
        <v>#REF!</v>
      </c>
      <c r="W16" s="100" t="e">
        <f aca="false">V16+(V16*10%)</f>
        <v>#REF!</v>
      </c>
      <c r="X16" s="101" t="e">
        <f aca="false">V16/6400</f>
        <v>#REF!</v>
      </c>
      <c r="Y16" s="101" t="e">
        <f aca="false">ROUNDUP(X16,0)</f>
        <v>#REF!</v>
      </c>
      <c r="Z16" s="102" t="e">
        <f aca="false">Y16*7.2</f>
        <v>#REF!</v>
      </c>
      <c r="AA16" s="21"/>
    </row>
    <row r="17" customFormat="false" ht="17.35" hidden="false" customHeight="false" outlineLevel="0" collapsed="false">
      <c r="B17" s="13" t="n">
        <v>32</v>
      </c>
      <c r="C17" s="14"/>
      <c r="D17" s="15"/>
      <c r="E17" s="15" t="n">
        <f aca="false">F17-300</f>
        <v>-300</v>
      </c>
      <c r="F17" s="15"/>
      <c r="G17" s="13"/>
      <c r="H17" s="13" t="n">
        <f aca="false">+D17*G17</f>
        <v>0</v>
      </c>
      <c r="I17" s="15" t="n">
        <f aca="false">+F17*G17</f>
        <v>0</v>
      </c>
      <c r="J17" s="13" t="n">
        <f aca="false">+E17*G17</f>
        <v>-0</v>
      </c>
      <c r="K17" s="16" t="n">
        <f aca="false">+D17*E17/1000000</f>
        <v>-0</v>
      </c>
      <c r="L17" s="16" t="n">
        <f aca="false">+D17*F17/1000000</f>
        <v>0</v>
      </c>
      <c r="M17" s="16" t="n">
        <f aca="false">+G17*K17</f>
        <v>-0</v>
      </c>
      <c r="N17" s="17" t="n">
        <f aca="false">+G17*L17</f>
        <v>0</v>
      </c>
      <c r="S17" s="3"/>
      <c r="T17" s="97" t="s">
        <v>125</v>
      </c>
      <c r="U17" s="97" t="n">
        <v>1017</v>
      </c>
      <c r="V17" s="97" t="e">
        <f aca="false">(X7*2)+(#REF!*2)+(#REF!*2)+(#REF!*2)+(#REF!*2)+(#REF!*2)+(#REF!*2)+(#REF!*2)+(#REF!*2)+(#REF!*2)+(#REF!*2)+(#REF!*2)+(#REF!*2)+(#REF!*2)+(#REF!*2)+(#REF!*2)+(#REF!*2)+(#REF!*2)+(#REF!*2)+(V8*2)</f>
        <v>#REF!</v>
      </c>
      <c r="W17" s="100" t="e">
        <f aca="false">V17+(V17*10%)</f>
        <v>#REF!</v>
      </c>
      <c r="X17" s="101" t="e">
        <f aca="false">V17/6400</f>
        <v>#REF!</v>
      </c>
      <c r="Y17" s="101" t="e">
        <f aca="false">ROUNDUP(X17,0)</f>
        <v>#REF!</v>
      </c>
      <c r="Z17" s="102" t="e">
        <f aca="false">Y17*7.2</f>
        <v>#REF!</v>
      </c>
      <c r="AA17" s="23"/>
      <c r="AB17" s="3"/>
      <c r="AC17" s="3"/>
    </row>
    <row r="18" customFormat="false" ht="17.35" hidden="false" customHeight="false" outlineLevel="0" collapsed="false">
      <c r="B18" s="13" t="n">
        <v>33</v>
      </c>
      <c r="C18" s="14"/>
      <c r="D18" s="15"/>
      <c r="E18" s="15" t="n">
        <f aca="false">F18-300</f>
        <v>-300</v>
      </c>
      <c r="F18" s="15"/>
      <c r="G18" s="13"/>
      <c r="H18" s="13" t="n">
        <f aca="false">+D18*G18</f>
        <v>0</v>
      </c>
      <c r="I18" s="15" t="n">
        <f aca="false">+F18*G18</f>
        <v>0</v>
      </c>
      <c r="J18" s="13" t="n">
        <f aca="false">+E18*G18</f>
        <v>-0</v>
      </c>
      <c r="K18" s="16" t="n">
        <f aca="false">+D18*E18/1000000</f>
        <v>-0</v>
      </c>
      <c r="L18" s="16" t="n">
        <f aca="false">+D18*F18/1000000</f>
        <v>0</v>
      </c>
      <c r="M18" s="16" t="n">
        <f aca="false">+G18*K18</f>
        <v>-0</v>
      </c>
      <c r="N18" s="17" t="n">
        <f aca="false">+G18*L18</f>
        <v>0</v>
      </c>
      <c r="S18" s="3"/>
      <c r="T18" s="97" t="s">
        <v>128</v>
      </c>
      <c r="U18" s="97" t="n">
        <v>1019</v>
      </c>
      <c r="V18" s="97" t="e">
        <f aca="false">(W7*1)+(#REF!*1)+(#REF!*1)+(#REF!*1)+(#REF!*1)+(#REF!*1)+(#REF!*1)+(#REF!*1)+(#REF!*1)+(#REF!*1)+(#REF!*1)+(#REF!*1)+(#REF!*1)+(#REF!*1)+(#REF!*1)+(#REF!*1)+(#REF!*1)+(#REF!*1)+(#REF!*1)+(U8*1)+(X7*2)+(#REF!*2)+(#REF!*2)+(#REF!*2)+(#REF!*2)+(#REF!*2)+(#REF!*2)+(#REF!*2)+(#REF!*2)+(#REF!*2)+(#REF!*2)+(#REF!*2)+(#REF!*2)+(#REF!*2)+(#REF!*2)+(#REF!*2)+(#REF!*2)+(#REF!*2)+(#REF!*2)+(V8*2)</f>
        <v>#REF!</v>
      </c>
      <c r="W18" s="100" t="e">
        <f aca="false">V18+(V18*10%)</f>
        <v>#REF!</v>
      </c>
      <c r="X18" s="101" t="e">
        <f aca="false">V18/6400</f>
        <v>#REF!</v>
      </c>
      <c r="Y18" s="101" t="e">
        <f aca="false">ROUNDUP(X18,0)</f>
        <v>#REF!</v>
      </c>
      <c r="Z18" s="102" t="e">
        <f aca="false">Y18*7.2</f>
        <v>#REF!</v>
      </c>
      <c r="AA18" s="3"/>
      <c r="AB18" s="3"/>
      <c r="AC18" s="3"/>
    </row>
    <row r="19" customFormat="false" ht="17.35" hidden="false" customHeight="false" outlineLevel="0" collapsed="false">
      <c r="B19" s="13" t="n">
        <v>34</v>
      </c>
      <c r="C19" s="14"/>
      <c r="D19" s="15"/>
      <c r="E19" s="15" t="n">
        <f aca="false">F19-300</f>
        <v>-300</v>
      </c>
      <c r="F19" s="15"/>
      <c r="G19" s="13"/>
      <c r="H19" s="13" t="n">
        <f aca="false">+D19*G19</f>
        <v>0</v>
      </c>
      <c r="I19" s="15" t="n">
        <f aca="false">+F19*G19</f>
        <v>0</v>
      </c>
      <c r="J19" s="13" t="n">
        <f aca="false">+E19*G19</f>
        <v>-0</v>
      </c>
      <c r="K19" s="16" t="n">
        <f aca="false">+D19*E19/1000000</f>
        <v>-0</v>
      </c>
      <c r="L19" s="16" t="n">
        <f aca="false">+D19*F19/1000000</f>
        <v>0</v>
      </c>
      <c r="M19" s="16" t="n">
        <f aca="false">+G19*K19</f>
        <v>-0</v>
      </c>
      <c r="N19" s="17" t="n">
        <f aca="false">+G19*L19</f>
        <v>0</v>
      </c>
      <c r="Q19" s="3"/>
      <c r="R19" s="3"/>
      <c r="S19" s="3"/>
      <c r="T19" s="106" t="s">
        <v>127</v>
      </c>
      <c r="U19" s="106"/>
      <c r="V19" s="3"/>
      <c r="W19" s="3"/>
      <c r="X19" s="3"/>
      <c r="Y19" s="101"/>
      <c r="Z19" s="23"/>
      <c r="AA19" s="3"/>
    </row>
    <row r="20" customFormat="false" ht="17.35" hidden="false" customHeight="false" outlineLevel="0" collapsed="false">
      <c r="B20" s="13" t="n">
        <v>35</v>
      </c>
      <c r="C20" s="14"/>
      <c r="D20" s="15"/>
      <c r="E20" s="15" t="n">
        <f aca="false">F20-300</f>
        <v>-300</v>
      </c>
      <c r="F20" s="15"/>
      <c r="G20" s="13"/>
      <c r="H20" s="13" t="n">
        <f aca="false">+D20*G20</f>
        <v>0</v>
      </c>
      <c r="I20" s="15" t="n">
        <f aca="false">+F20*G20</f>
        <v>0</v>
      </c>
      <c r="J20" s="13" t="n">
        <f aca="false">+E20*G20</f>
        <v>-0</v>
      </c>
      <c r="K20" s="16" t="n">
        <f aca="false">+D20*E20/1000000</f>
        <v>-0</v>
      </c>
      <c r="L20" s="16" t="n">
        <f aca="false">+D20*F20/1000000</f>
        <v>0</v>
      </c>
      <c r="M20" s="16" t="n">
        <f aca="false">+G20*K20</f>
        <v>-0</v>
      </c>
      <c r="N20" s="17" t="n">
        <f aca="false">+G20*L20</f>
        <v>0</v>
      </c>
      <c r="Q20" s="3"/>
      <c r="R20" s="3"/>
      <c r="S20" s="3"/>
      <c r="T20" s="97" t="s">
        <v>120</v>
      </c>
      <c r="U20" s="105" t="s">
        <v>129</v>
      </c>
      <c r="V20" s="97" t="n">
        <v>1021</v>
      </c>
      <c r="W20" s="97" t="n">
        <f aca="false">300*8</f>
        <v>2400</v>
      </c>
      <c r="X20" s="100" t="n">
        <f aca="false">W20+(W20*10%)</f>
        <v>2640</v>
      </c>
      <c r="Y20" s="101" t="n">
        <f aca="false">W20/6400</f>
        <v>0.375</v>
      </c>
      <c r="Z20" s="101" t="n">
        <f aca="false">ROUNDUP(Y20,0)</f>
        <v>1</v>
      </c>
      <c r="AA20" s="102" t="n">
        <f aca="false">Z20*7.2</f>
        <v>7.2</v>
      </c>
    </row>
    <row r="21" customFormat="false" ht="17.35" hidden="false" customHeight="false" outlineLevel="0" collapsed="false">
      <c r="B21" s="13" t="n">
        <v>36</v>
      </c>
      <c r="C21" s="14"/>
      <c r="D21" s="15"/>
      <c r="E21" s="15" t="n">
        <f aca="false">F21-300</f>
        <v>-300</v>
      </c>
      <c r="F21" s="15"/>
      <c r="G21" s="13"/>
      <c r="H21" s="13" t="n">
        <f aca="false">+D21*G21</f>
        <v>0</v>
      </c>
      <c r="I21" s="15" t="n">
        <f aca="false">+F21*G21</f>
        <v>0</v>
      </c>
      <c r="J21" s="13" t="n">
        <f aca="false">+E21*G21</f>
        <v>-0</v>
      </c>
      <c r="K21" s="16" t="n">
        <f aca="false">+D21*E21/1000000</f>
        <v>-0</v>
      </c>
      <c r="L21" s="16" t="n">
        <f aca="false">+D21*F21/1000000</f>
        <v>0</v>
      </c>
      <c r="M21" s="16" t="n">
        <f aca="false">+G21*K21</f>
        <v>-0</v>
      </c>
      <c r="N21" s="17" t="n">
        <f aca="false">+G21*L21</f>
        <v>0</v>
      </c>
      <c r="Q21" s="3"/>
      <c r="R21" s="3"/>
      <c r="S21" s="3"/>
      <c r="T21" s="97" t="s">
        <v>131</v>
      </c>
      <c r="U21" s="105" t="s">
        <v>132</v>
      </c>
      <c r="V21" s="97" t="n">
        <v>1027</v>
      </c>
      <c r="W21" s="97" t="e">
        <f aca="false">(W7*1)+(#REF!*1)+(#REF!*1)+(#REF!*1)+(#REF!*1)+(#REF!*1)+(#REF!*1)+(#REF!*1)+(#REF!*1)+(#REF!*1)+(#REF!*1)+(#REF!*1)+(#REF!*1)+(#REF!*1)+(#REF!*1)+(#REF!*1)+(#REF!*1)+(#REF!*1)+(#REF!*1)+(U8*1)</f>
        <v>#REF!</v>
      </c>
      <c r="X21" s="100" t="e">
        <f aca="false">W21+(W21*10%)</f>
        <v>#REF!</v>
      </c>
      <c r="Y21" s="101" t="e">
        <f aca="false">W21/6400</f>
        <v>#REF!</v>
      </c>
      <c r="Z21" s="101" t="e">
        <f aca="false">ROUNDUP(Y21,0)</f>
        <v>#REF!</v>
      </c>
      <c r="AA21" s="102" t="e">
        <f aca="false">Z21*7.2</f>
        <v>#REF!</v>
      </c>
    </row>
    <row r="22" customFormat="false" ht="17.35" hidden="false" customHeight="false" outlineLevel="0" collapsed="false">
      <c r="B22" s="13" t="n">
        <v>37</v>
      </c>
      <c r="C22" s="14"/>
      <c r="D22" s="15"/>
      <c r="E22" s="15" t="n">
        <f aca="false">F22-300</f>
        <v>-300</v>
      </c>
      <c r="F22" s="15"/>
      <c r="G22" s="13"/>
      <c r="H22" s="13" t="n">
        <f aca="false">+D22*G22</f>
        <v>0</v>
      </c>
      <c r="I22" s="15" t="n">
        <f aca="false">+F22*G22</f>
        <v>0</v>
      </c>
      <c r="J22" s="13" t="n">
        <f aca="false">+E22*G22</f>
        <v>-0</v>
      </c>
      <c r="K22" s="16" t="n">
        <f aca="false">+D22*E22/1000000</f>
        <v>-0</v>
      </c>
      <c r="L22" s="16" t="n">
        <f aca="false">+D22*F22/1000000</f>
        <v>0</v>
      </c>
      <c r="M22" s="16" t="n">
        <f aca="false">+G22*K22</f>
        <v>-0</v>
      </c>
      <c r="N22" s="17" t="n">
        <f aca="false">+G22*L22</f>
        <v>0</v>
      </c>
      <c r="Q22" s="3"/>
      <c r="R22" s="3"/>
      <c r="S22" s="3"/>
      <c r="T22" s="97" t="s">
        <v>134</v>
      </c>
      <c r="U22" s="105" t="s">
        <v>132</v>
      </c>
      <c r="V22" s="97" t="n">
        <v>1029</v>
      </c>
      <c r="W22" s="97" t="n">
        <f aca="false">300*4</f>
        <v>1200</v>
      </c>
      <c r="X22" s="100" t="n">
        <f aca="false">W22+(W22*10%)</f>
        <v>1320</v>
      </c>
      <c r="Y22" s="101" t="n">
        <f aca="false">W22/6400</f>
        <v>0.1875</v>
      </c>
      <c r="Z22" s="101" t="n">
        <f aca="false">ROUNDUP(Y22,0)</f>
        <v>1</v>
      </c>
      <c r="AA22" s="102" t="n">
        <f aca="false">Z22*7.2</f>
        <v>7.2</v>
      </c>
    </row>
    <row r="23" customFormat="false" ht="17.35" hidden="false" customHeight="false" outlineLevel="0" collapsed="false">
      <c r="B23" s="13" t="n">
        <v>38</v>
      </c>
      <c r="C23" s="14"/>
      <c r="D23" s="15"/>
      <c r="E23" s="15" t="n">
        <f aca="false">F23-300</f>
        <v>-300</v>
      </c>
      <c r="F23" s="15"/>
      <c r="G23" s="13"/>
      <c r="H23" s="13" t="n">
        <f aca="false">+D23*G23</f>
        <v>0</v>
      </c>
      <c r="I23" s="15" t="n">
        <f aca="false">+F23*G23</f>
        <v>0</v>
      </c>
      <c r="J23" s="13" t="n">
        <f aca="false">+E23*G23</f>
        <v>-0</v>
      </c>
      <c r="K23" s="16" t="n">
        <f aca="false">+D23*E23/1000000</f>
        <v>-0</v>
      </c>
      <c r="L23" s="16" t="n">
        <f aca="false">+D23*F23/1000000</f>
        <v>0</v>
      </c>
      <c r="M23" s="16" t="n">
        <f aca="false">+G23*K23</f>
        <v>-0</v>
      </c>
      <c r="N23" s="17" t="n">
        <f aca="false">+G23*L23</f>
        <v>0</v>
      </c>
      <c r="Q23" s="3"/>
      <c r="R23" s="3"/>
      <c r="S23" s="3"/>
      <c r="T23" s="3"/>
      <c r="U23" s="105" t="s">
        <v>133</v>
      </c>
      <c r="V23" s="97" t="n">
        <v>3035</v>
      </c>
      <c r="W23" s="97" t="e">
        <f aca="false">(U8*2)+(W7*2)+(#REF!*2)+(#REF!*2)+(#REF!*2)+(#REF!*2)+(#REF!*2)+(#REF!*2)+(#REF!*2)+(#REF!*2)+(#REF!*2)+(#REF!*2)+(#REF!*2)+(#REF!*2)+(#REF!*2)+(#REF!*2)+(#REF!*2)+(#REF!*2)+(#REF!*2)+(#REF!*2)+(300*16)</f>
        <v>#REF!</v>
      </c>
      <c r="X23" s="100" t="e">
        <f aca="false">W23+(W23*10%)</f>
        <v>#REF!</v>
      </c>
      <c r="Y23" s="101" t="e">
        <f aca="false">W23/6400</f>
        <v>#REF!</v>
      </c>
      <c r="Z23" s="101" t="e">
        <f aca="false">ROUNDUP(Y23,0)</f>
        <v>#REF!</v>
      </c>
      <c r="AA23" s="102" t="e">
        <f aca="false">Z23*7.2</f>
        <v>#REF!</v>
      </c>
    </row>
    <row r="24" customFormat="false" ht="17.35" hidden="false" customHeight="false" outlineLevel="0" collapsed="false">
      <c r="B24" s="13" t="n">
        <v>39</v>
      </c>
      <c r="C24" s="14"/>
      <c r="D24" s="15"/>
      <c r="E24" s="15" t="n">
        <f aca="false">F24-300</f>
        <v>-300</v>
      </c>
      <c r="F24" s="15"/>
      <c r="G24" s="13"/>
      <c r="H24" s="13" t="n">
        <f aca="false">+D24*G24</f>
        <v>0</v>
      </c>
      <c r="I24" s="15" t="n">
        <f aca="false">+F24*G24</f>
        <v>0</v>
      </c>
      <c r="J24" s="13" t="n">
        <f aca="false">+E24*G24</f>
        <v>-0</v>
      </c>
      <c r="K24" s="16" t="n">
        <f aca="false">+D24*E24/1000000</f>
        <v>-0</v>
      </c>
      <c r="L24" s="16" t="n">
        <f aca="false">+D24*F24/1000000</f>
        <v>0</v>
      </c>
      <c r="M24" s="16" t="n">
        <f aca="false">+G24*K24</f>
        <v>-0</v>
      </c>
      <c r="N24" s="17" t="n">
        <f aca="false">+G24*L24</f>
        <v>0</v>
      </c>
      <c r="Q24" s="3"/>
      <c r="R24" s="3"/>
      <c r="S24" s="3"/>
      <c r="T24" s="3"/>
      <c r="U24" s="105" t="s">
        <v>132</v>
      </c>
      <c r="V24" s="97" t="n">
        <v>1544</v>
      </c>
      <c r="W24" s="97" t="n">
        <f aca="false">300*4</f>
        <v>1200</v>
      </c>
      <c r="X24" s="100" t="n">
        <f aca="false">W24+(W24*10%)</f>
        <v>1320</v>
      </c>
      <c r="Y24" s="101" t="n">
        <f aca="false">X24/6400</f>
        <v>0.20625</v>
      </c>
      <c r="Z24" s="101" t="n">
        <f aca="false">X24/6400</f>
        <v>0.20625</v>
      </c>
      <c r="AA24" s="101" t="n">
        <f aca="false">ROUNDUP(Z24,0)</f>
        <v>1</v>
      </c>
      <c r="AB24" s="102" t="n">
        <f aca="false">AA24*7.2</f>
        <v>7.2</v>
      </c>
    </row>
    <row r="25" customFormat="false" ht="17.35" hidden="false" customHeight="false" outlineLevel="0" collapsed="false">
      <c r="B25" s="13" t="n">
        <v>40</v>
      </c>
      <c r="C25" s="14"/>
      <c r="D25" s="15"/>
      <c r="E25" s="15" t="n">
        <f aca="false">F25-300</f>
        <v>-300</v>
      </c>
      <c r="F25" s="15"/>
      <c r="G25" s="13"/>
      <c r="H25" s="13" t="n">
        <f aca="false">+D25*G25</f>
        <v>0</v>
      </c>
      <c r="I25" s="15" t="n">
        <f aca="false">+F25*G25</f>
        <v>0</v>
      </c>
      <c r="J25" s="13" t="n">
        <f aca="false">+E25*G25</f>
        <v>-0</v>
      </c>
      <c r="K25" s="16" t="n">
        <f aca="false">+D25*E25/1000000</f>
        <v>-0</v>
      </c>
      <c r="L25" s="16" t="n">
        <f aca="false">+D25*F25/1000000</f>
        <v>0</v>
      </c>
      <c r="M25" s="16" t="n">
        <f aca="false">+G25*K25</f>
        <v>-0</v>
      </c>
      <c r="N25" s="17" t="n">
        <f aca="false">+G25*L25</f>
        <v>0</v>
      </c>
      <c r="T25" s="3"/>
      <c r="U25" s="105" t="s">
        <v>133</v>
      </c>
      <c r="V25" s="97" t="n">
        <v>6515</v>
      </c>
      <c r="W25" s="97" t="e">
        <f aca="false">(#REF!*5)+(#REF!*5)+(#REF!*5)+(#REF!*5)+(#REF!*5)+(#REF!*5)+(#REF!*5)+(#REF!*5)+(#REF!*5)+(#REF!*5)+(#REF!*5)+(#REF!*5)+(#REF!*5)+(#REF!*5)+(#REF!*5)+(U8*5)+(W7*5)+(#REF!*5)+(#REF!*5)+(#REF!*5)</f>
        <v>#REF!</v>
      </c>
      <c r="X25" s="100" t="e">
        <f aca="false">W25+(W25*10%)</f>
        <v>#REF!</v>
      </c>
      <c r="Y25" s="101" t="e">
        <f aca="false">X25/6400</f>
        <v>#REF!</v>
      </c>
      <c r="Z25" s="101" t="e">
        <f aca="false">X25/6400</f>
        <v>#REF!</v>
      </c>
      <c r="AA25" s="101" t="e">
        <f aca="false">ROUNDUP(Z25,0)</f>
        <v>#REF!</v>
      </c>
      <c r="AB25" s="102" t="e">
        <f aca="false">AA25*7.2</f>
        <v>#REF!</v>
      </c>
      <c r="AC25" s="3"/>
      <c r="AD25" s="3"/>
    </row>
    <row r="26" customFormat="false" ht="17.35" hidden="false" customHeight="false" outlineLevel="0" collapsed="false">
      <c r="B26" s="13" t="n">
        <v>41</v>
      </c>
      <c r="C26" s="14" t="s">
        <v>18</v>
      </c>
      <c r="D26" s="15" t="n">
        <v>0</v>
      </c>
      <c r="E26" s="15" t="n">
        <f aca="false">F26-300</f>
        <v>-300</v>
      </c>
      <c r="F26" s="15" t="n">
        <v>0</v>
      </c>
      <c r="G26" s="13"/>
      <c r="H26" s="13" t="n">
        <f aca="false">+D26*G26</f>
        <v>0</v>
      </c>
      <c r="I26" s="15" t="n">
        <f aca="false">+F26*G26</f>
        <v>0</v>
      </c>
      <c r="J26" s="13" t="n">
        <f aca="false">+E26*G26</f>
        <v>-0</v>
      </c>
      <c r="K26" s="16" t="n">
        <f aca="false">+D26*E26/1000000</f>
        <v>-0</v>
      </c>
      <c r="L26" s="16" t="n">
        <f aca="false">+D26*F26/1000000</f>
        <v>0</v>
      </c>
      <c r="M26" s="16" t="n">
        <f aca="false">+G26*K26</f>
        <v>-0</v>
      </c>
      <c r="N26" s="17" t="n">
        <f aca="false">+G26*L26</f>
        <v>0</v>
      </c>
      <c r="Q26" s="3"/>
      <c r="R26" s="3"/>
      <c r="S26" s="3"/>
      <c r="T26" s="3"/>
      <c r="U26" s="108" t="e">
        <f aca="false">SUM(V11:V25)</f>
        <v>#REF!</v>
      </c>
      <c r="V26" s="3"/>
      <c r="W26" s="101"/>
      <c r="X26" s="110" t="e">
        <f aca="false">SUM(X11:X25)</f>
        <v>#REF!</v>
      </c>
      <c r="Y26" s="3"/>
      <c r="Z26" s="3"/>
      <c r="AA26" s="3"/>
    </row>
    <row r="27" customFormat="false" ht="17.35" hidden="false" customHeight="false" outlineLevel="0" collapsed="false">
      <c r="B27" s="31" t="s">
        <v>19</v>
      </c>
      <c r="C27" s="31"/>
      <c r="D27" s="32" t="n">
        <f aca="false">SUM(D4:D26)</f>
        <v>12200</v>
      </c>
      <c r="E27" s="33" t="n">
        <f aca="false">SUM(E4:E26)</f>
        <v>3300</v>
      </c>
      <c r="F27" s="33" t="n">
        <f aca="false">SUM(F4:F26)</f>
        <v>10200</v>
      </c>
      <c r="G27" s="34" t="n">
        <f aca="false">SUM(G4:G26)</f>
        <v>15</v>
      </c>
      <c r="H27" s="32" t="n">
        <f aca="false">SUM(H4:H26)</f>
        <v>53100</v>
      </c>
      <c r="I27" s="32" t="n">
        <f aca="false">SUM(I4:I26)</f>
        <v>37200</v>
      </c>
      <c r="J27" s="32" t="n">
        <f aca="false">SUM(J4:J26)</f>
        <v>32700</v>
      </c>
      <c r="K27" s="35" t="n">
        <f aca="false">SUM(K4:K26)</f>
        <v>27.06</v>
      </c>
      <c r="L27" s="35" t="n">
        <f aca="false">SUM(L4:L26)</f>
        <v>30.72</v>
      </c>
      <c r="M27" s="36" t="n">
        <f aca="false">SUM(M4:M26)</f>
        <v>114.39</v>
      </c>
      <c r="N27" s="37" t="n">
        <f aca="false">SUM(N4:N26)</f>
        <v>130.32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7.35" hidden="false" customHeight="false" outlineLevel="0" collapsed="false">
      <c r="B28" s="4"/>
      <c r="C28" s="4"/>
      <c r="D28" s="4"/>
      <c r="E28" s="38"/>
      <c r="F28" s="39"/>
      <c r="G28" s="39"/>
      <c r="H28" s="4"/>
      <c r="I28" s="12"/>
      <c r="J28" s="12"/>
      <c r="K28" s="12"/>
      <c r="L28" s="3"/>
      <c r="M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7.35" hidden="false" customHeight="false" outlineLevel="0" collapsed="false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22"/>
      <c r="L29" s="3"/>
      <c r="M29" s="3"/>
      <c r="P29" s="0" t="s">
        <v>25</v>
      </c>
      <c r="Q29" s="3" t="s">
        <v>116</v>
      </c>
      <c r="R29" s="3"/>
      <c r="S29" s="3"/>
      <c r="T29" s="3"/>
      <c r="U29" s="95" t="s">
        <v>135</v>
      </c>
      <c r="V29" s="111"/>
      <c r="W29" s="111"/>
      <c r="X29" s="112" t="e">
        <f aca="false">X26*3.7</f>
        <v>#REF!</v>
      </c>
      <c r="Y29" s="3"/>
      <c r="Z29" s="3"/>
      <c r="AA29" s="3"/>
    </row>
    <row r="30" customFormat="false" ht="17.35" hidden="false" customHeight="false" outlineLevel="0" collapsed="false">
      <c r="B30" s="9" t="s">
        <v>5</v>
      </c>
      <c r="C30" s="42" t="s">
        <v>21</v>
      </c>
      <c r="D30" s="42" t="s">
        <v>22</v>
      </c>
      <c r="E30" s="42" t="s">
        <v>23</v>
      </c>
      <c r="F30" s="42" t="s">
        <v>24</v>
      </c>
      <c r="G30" s="42" t="s">
        <v>25</v>
      </c>
      <c r="H30" s="42" t="s">
        <v>26</v>
      </c>
      <c r="I30" s="42" t="s">
        <v>37</v>
      </c>
      <c r="J30" s="42" t="s">
        <v>164</v>
      </c>
      <c r="K30" s="22"/>
      <c r="L30" s="22"/>
      <c r="M30" s="22"/>
      <c r="O30" s="0" t="n">
        <v>900</v>
      </c>
      <c r="P30" s="0" t="n">
        <f aca="false">170+12</f>
        <v>182</v>
      </c>
      <c r="Q30" s="3" t="n">
        <f aca="false">+(N51*O30/1000000)*P30</f>
        <v>98.28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7.35" hidden="false" customHeight="false" outlineLevel="0" collapsed="false">
      <c r="B31" s="13" t="n">
        <v>1</v>
      </c>
      <c r="C31" s="13" t="n">
        <v>1005</v>
      </c>
      <c r="D31" s="13" t="s">
        <v>165</v>
      </c>
      <c r="E31" s="15" t="n">
        <f aca="false">+H27*1</f>
        <v>53100</v>
      </c>
      <c r="F31" s="15" t="n">
        <f aca="false">E31+(E31*10%)</f>
        <v>58410</v>
      </c>
      <c r="G31" s="43" t="n">
        <f aca="false">F31/6400</f>
        <v>9.1265625</v>
      </c>
      <c r="H31" s="43" t="n">
        <f aca="false">ROUNDUP(G31,0)</f>
        <v>10</v>
      </c>
      <c r="I31" s="44" t="n">
        <v>6</v>
      </c>
      <c r="J31" s="44" t="n">
        <f aca="false">+H31*I31</f>
        <v>60</v>
      </c>
      <c r="K31" s="22"/>
      <c r="L31" s="22"/>
      <c r="M31" s="22"/>
      <c r="O31" s="0" t="n">
        <v>2550</v>
      </c>
      <c r="P31" s="0" t="n">
        <f aca="false">30+4</f>
        <v>34</v>
      </c>
      <c r="Q31" s="3" t="n">
        <f aca="false">+(N52*O31/1000000)*P31</f>
        <v>95.37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7.35" hidden="false" customHeight="false" outlineLevel="0" collapsed="false">
      <c r="B32" s="13" t="n">
        <v>2</v>
      </c>
      <c r="C32" s="13" t="n">
        <v>1007</v>
      </c>
      <c r="D32" s="13" t="s">
        <v>188</v>
      </c>
      <c r="E32" s="15" t="n">
        <f aca="false">I27*2</f>
        <v>74400</v>
      </c>
      <c r="F32" s="15" t="n">
        <f aca="false">E32+(E32*10%)</f>
        <v>81840</v>
      </c>
      <c r="G32" s="43" t="n">
        <f aca="false">F32/6400</f>
        <v>12.7875</v>
      </c>
      <c r="H32" s="43" t="n">
        <f aca="false">ROUNDUP(G32,0)</f>
        <v>13</v>
      </c>
      <c r="I32" s="44" t="n">
        <v>3.8</v>
      </c>
      <c r="J32" s="44" t="n">
        <f aca="false">+H32*I32</f>
        <v>49.4</v>
      </c>
      <c r="K32" s="22"/>
      <c r="L32" s="22"/>
      <c r="M32" s="22"/>
      <c r="O32" s="0" t="n">
        <v>2550</v>
      </c>
      <c r="P32" s="0" t="n">
        <v>30</v>
      </c>
      <c r="Q32" s="3" t="n">
        <f aca="false">+(N53*O32/1000000)*P32</f>
        <v>117.81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7.35" hidden="false" customHeight="false" outlineLevel="0" collapsed="false">
      <c r="B33" s="13" t="n">
        <v>3</v>
      </c>
      <c r="C33" s="13" t="n">
        <v>1001</v>
      </c>
      <c r="D33" s="13" t="s">
        <v>189</v>
      </c>
      <c r="E33" s="15" t="n">
        <f aca="false">+H27*1</f>
        <v>53100</v>
      </c>
      <c r="F33" s="15" t="n">
        <f aca="false">E33+(E33*10%)</f>
        <v>58410</v>
      </c>
      <c r="G33" s="43" t="n">
        <f aca="false">F33/6400</f>
        <v>9.1265625</v>
      </c>
      <c r="H33" s="43" t="n">
        <f aca="false">ROUNDUP(G33,0)</f>
        <v>10</v>
      </c>
      <c r="I33" s="44" t="n">
        <v>7</v>
      </c>
      <c r="J33" s="44" t="n">
        <f aca="false">+H33*I33</f>
        <v>70</v>
      </c>
      <c r="K33" s="23"/>
      <c r="L33" s="23"/>
      <c r="M33" s="23"/>
      <c r="O33" s="0" t="n">
        <v>2550</v>
      </c>
      <c r="P33" s="0" t="n">
        <v>13</v>
      </c>
      <c r="Q33" s="3" t="n">
        <f aca="false">+(N54*O33/1000000)*P33</f>
        <v>44.0895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7.35" hidden="false" customHeight="false" outlineLevel="0" collapsed="false">
      <c r="B34" s="13" t="n">
        <v>4</v>
      </c>
      <c r="C34" s="13" t="n">
        <v>1009</v>
      </c>
      <c r="D34" s="13" t="s">
        <v>167</v>
      </c>
      <c r="E34" s="15" t="n">
        <f aca="false">+H27*1</f>
        <v>53100</v>
      </c>
      <c r="F34" s="15" t="n">
        <f aca="false">E34+(E34*10%)</f>
        <v>58410</v>
      </c>
      <c r="G34" s="43" t="n">
        <f aca="false">F34/6400</f>
        <v>9.1265625</v>
      </c>
      <c r="H34" s="43" t="n">
        <f aca="false">ROUNDUP(G34,0)</f>
        <v>10</v>
      </c>
      <c r="I34" s="44" t="n">
        <v>3.5</v>
      </c>
      <c r="J34" s="44" t="n">
        <f aca="false">+H34*I34</f>
        <v>35</v>
      </c>
      <c r="K34" s="23"/>
      <c r="L34" s="23"/>
      <c r="M34" s="23" t="n">
        <v>1338</v>
      </c>
      <c r="N34" s="0" t="s">
        <v>190</v>
      </c>
      <c r="O34" s="0" t="n">
        <v>2550</v>
      </c>
      <c r="P34" s="0" t="n">
        <v>13</v>
      </c>
      <c r="Q34" s="3" t="n">
        <f aca="false">+(N55*O34/1000000)*P34</f>
        <v>44.7525</v>
      </c>
    </row>
    <row r="35" customFormat="false" ht="17.35" hidden="false" customHeight="false" outlineLevel="0" collapsed="false">
      <c r="B35" s="13" t="n">
        <v>5</v>
      </c>
      <c r="C35" s="13" t="n">
        <v>1011</v>
      </c>
      <c r="D35" s="13" t="s">
        <v>168</v>
      </c>
      <c r="E35" s="15" t="n">
        <f aca="false">+H27*1</f>
        <v>53100</v>
      </c>
      <c r="F35" s="15" t="n">
        <f aca="false">E35+(E35*10%)</f>
        <v>58410</v>
      </c>
      <c r="G35" s="43" t="n">
        <f aca="false">F35/6400</f>
        <v>9.1265625</v>
      </c>
      <c r="H35" s="43" t="n">
        <f aca="false">ROUNDUP(G35,0)</f>
        <v>10</v>
      </c>
      <c r="I35" s="44" t="n">
        <v>3.4</v>
      </c>
      <c r="J35" s="44" t="n">
        <f aca="false">+H35*I35</f>
        <v>34</v>
      </c>
      <c r="K35" s="23"/>
      <c r="L35" s="23"/>
      <c r="M35" s="23"/>
      <c r="O35" s="0" t="n">
        <v>1350</v>
      </c>
      <c r="P35" s="0" t="n">
        <v>6</v>
      </c>
      <c r="Q35" s="3" t="n">
        <f aca="false">+(N56*O35/1000000)*P35</f>
        <v>9.72</v>
      </c>
    </row>
    <row r="36" customFormat="false" ht="17.35" hidden="false" customHeight="false" outlineLevel="0" collapsed="false">
      <c r="B36" s="13" t="n">
        <v>6</v>
      </c>
      <c r="C36" s="13" t="n">
        <v>1013</v>
      </c>
      <c r="D36" s="13" t="s">
        <v>191</v>
      </c>
      <c r="E36" s="15" t="n">
        <f aca="false">+J27*2</f>
        <v>65400</v>
      </c>
      <c r="F36" s="15" t="n">
        <f aca="false">E36+(E36*10%)</f>
        <v>71940</v>
      </c>
      <c r="G36" s="43" t="n">
        <f aca="false">F36/6400</f>
        <v>11.240625</v>
      </c>
      <c r="H36" s="43" t="n">
        <f aca="false">ROUNDUP(G36,0)</f>
        <v>12</v>
      </c>
      <c r="I36" s="44" t="n">
        <v>4.2</v>
      </c>
      <c r="J36" s="44" t="n">
        <f aca="false">+H36*I36</f>
        <v>50.4</v>
      </c>
      <c r="K36" s="23"/>
      <c r="L36" s="23"/>
      <c r="M36" s="23"/>
      <c r="O36" s="0" t="n">
        <v>2550</v>
      </c>
      <c r="P36" s="0" t="n">
        <f aca="false">1+2+3+4+1</f>
        <v>11</v>
      </c>
      <c r="Q36" s="3" t="n">
        <f aca="false">+(N57*O36/1000000)*P36</f>
        <v>28.05</v>
      </c>
    </row>
    <row r="37" customFormat="false" ht="17.35" hidden="false" customHeight="false" outlineLevel="0" collapsed="false">
      <c r="B37" s="13" t="n">
        <v>7</v>
      </c>
      <c r="C37" s="13" t="n">
        <v>1017</v>
      </c>
      <c r="D37" s="13" t="s">
        <v>31</v>
      </c>
      <c r="E37" s="15" t="n">
        <f aca="false">+J27*2</f>
        <v>65400</v>
      </c>
      <c r="F37" s="15" t="n">
        <f aca="false">E37+(E37*10%)</f>
        <v>71940</v>
      </c>
      <c r="G37" s="43" t="n">
        <f aca="false">F37/6400</f>
        <v>11.240625</v>
      </c>
      <c r="H37" s="43" t="n">
        <f aca="false">ROUNDUP(G37,0)</f>
        <v>12</v>
      </c>
      <c r="I37" s="44" t="n">
        <v>4.2</v>
      </c>
      <c r="J37" s="44" t="n">
        <f aca="false">+H37*I37</f>
        <v>50.4</v>
      </c>
      <c r="K37" s="23"/>
      <c r="L37" s="23"/>
      <c r="M37" s="23"/>
      <c r="O37" s="0" t="n">
        <v>2740</v>
      </c>
      <c r="P37" s="0" t="n">
        <v>1</v>
      </c>
      <c r="Q37" s="3" t="n">
        <f aca="false">+(N58*O37/1000000)*P37</f>
        <v>2.74</v>
      </c>
    </row>
    <row r="38" customFormat="false" ht="17.35" hidden="false" customHeight="false" outlineLevel="0" collapsed="false">
      <c r="B38" s="13" t="n">
        <v>8</v>
      </c>
      <c r="C38" s="13" t="n">
        <v>1019</v>
      </c>
      <c r="D38" s="13" t="s">
        <v>47</v>
      </c>
      <c r="E38" s="15" t="n">
        <f aca="false">+H27*1+J27*2</f>
        <v>118500</v>
      </c>
      <c r="F38" s="15" t="n">
        <f aca="false">E38+(E38*10%)</f>
        <v>130350</v>
      </c>
      <c r="G38" s="43" t="n">
        <f aca="false">F38/6400</f>
        <v>20.3671875</v>
      </c>
      <c r="H38" s="43" t="n">
        <f aca="false">ROUNDUP(G38,0)</f>
        <v>21</v>
      </c>
      <c r="I38" s="44" t="n">
        <v>1.9</v>
      </c>
      <c r="J38" s="44" t="n">
        <f aca="false">+H38*I38</f>
        <v>39.9</v>
      </c>
      <c r="K38" s="3"/>
      <c r="L38" s="3"/>
      <c r="M38" s="3"/>
      <c r="Q38" s="3" t="n">
        <f aca="false">SUM(Q30:Q37)</f>
        <v>440.812</v>
      </c>
    </row>
    <row r="39" customFormat="false" ht="17.35" hidden="false" customHeight="false" outlineLevel="0" collapsed="false">
      <c r="B39" s="3"/>
      <c r="C39" s="3"/>
      <c r="D39" s="3"/>
      <c r="E39" s="3"/>
      <c r="F39" s="3"/>
      <c r="G39" s="3"/>
      <c r="H39" s="23"/>
      <c r="I39" s="57" t="s">
        <v>19</v>
      </c>
      <c r="J39" s="57" t="n">
        <f aca="false">SUM(J31:J38)</f>
        <v>389.1</v>
      </c>
      <c r="K39" s="22"/>
      <c r="L39" s="3"/>
      <c r="M39" s="25"/>
    </row>
    <row r="40" customFormat="false" ht="17.35" hidden="false" customHeight="false" outlineLevel="0" collapsed="false">
      <c r="B40" s="9" t="s">
        <v>35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25"/>
      <c r="Q40" s="0" t="n">
        <f aca="false">Q38-Q30</f>
        <v>342.532</v>
      </c>
    </row>
    <row r="41" customFormat="false" ht="17.35" hidden="false" customHeight="false" outlineLevel="0" collapsed="false">
      <c r="B41" s="9" t="s">
        <v>5</v>
      </c>
      <c r="C41" s="42" t="s">
        <v>21</v>
      </c>
      <c r="D41" s="42" t="s">
        <v>22</v>
      </c>
      <c r="E41" s="42" t="s">
        <v>23</v>
      </c>
      <c r="F41" s="42" t="s">
        <v>36</v>
      </c>
      <c r="G41" s="42" t="s">
        <v>25</v>
      </c>
      <c r="H41" s="42" t="s">
        <v>26</v>
      </c>
      <c r="I41" s="42" t="s">
        <v>37</v>
      </c>
      <c r="J41" s="42" t="s">
        <v>37</v>
      </c>
      <c r="K41" s="132" t="s">
        <v>38</v>
      </c>
      <c r="L41" s="132"/>
      <c r="M41" s="132"/>
    </row>
    <row r="42" customFormat="false" ht="17.35" hidden="false" customHeight="false" outlineLevel="0" collapsed="false">
      <c r="B42" s="13" t="n">
        <v>1</v>
      </c>
      <c r="C42" s="13" t="n">
        <v>1021</v>
      </c>
      <c r="D42" s="13" t="s">
        <v>192</v>
      </c>
      <c r="E42" s="15" t="n">
        <f aca="false">300*2*G27</f>
        <v>9000</v>
      </c>
      <c r="F42" s="15" t="n">
        <f aca="false">E42+(E42*10%)</f>
        <v>9900</v>
      </c>
      <c r="G42" s="43" t="n">
        <f aca="false">F42/6400</f>
        <v>1.546875</v>
      </c>
      <c r="H42" s="43" t="n">
        <f aca="false">ROUNDUP(G42,0)</f>
        <v>2</v>
      </c>
      <c r="I42" s="43" t="n">
        <v>2.3</v>
      </c>
      <c r="J42" s="44" t="n">
        <f aca="false">+H42*I42</f>
        <v>4.6</v>
      </c>
      <c r="K42" s="133" t="s">
        <v>193</v>
      </c>
      <c r="L42" s="133"/>
      <c r="M42" s="133"/>
    </row>
    <row r="43" customFormat="false" ht="17.35" hidden="false" customHeight="false" outlineLevel="0" collapsed="false">
      <c r="B43" s="13" t="n">
        <v>2</v>
      </c>
      <c r="C43" s="13" t="n">
        <v>1027</v>
      </c>
      <c r="D43" s="13" t="s">
        <v>194</v>
      </c>
      <c r="E43" s="15" t="n">
        <f aca="false">H27*1</f>
        <v>53100</v>
      </c>
      <c r="F43" s="15" t="n">
        <f aca="false">E43+(E43*10%)</f>
        <v>58410</v>
      </c>
      <c r="G43" s="43" t="n">
        <f aca="false">F43/6400</f>
        <v>9.1265625</v>
      </c>
      <c r="H43" s="43" t="n">
        <f aca="false">ROUNDUP(G43,0)</f>
        <v>10</v>
      </c>
      <c r="I43" s="43" t="n">
        <v>3.7</v>
      </c>
      <c r="J43" s="44" t="n">
        <f aca="false">+H43*I43</f>
        <v>37</v>
      </c>
      <c r="K43" s="133" t="s">
        <v>195</v>
      </c>
      <c r="L43" s="133"/>
      <c r="M43" s="133"/>
    </row>
    <row r="44" customFormat="false" ht="17.35" hidden="false" customHeight="false" outlineLevel="0" collapsed="false">
      <c r="B44" s="13" t="n">
        <v>3</v>
      </c>
      <c r="C44" s="13" t="n">
        <v>1029</v>
      </c>
      <c r="D44" s="13" t="s">
        <v>196</v>
      </c>
      <c r="E44" s="15" t="n">
        <f aca="false">+G27*300</f>
        <v>4500</v>
      </c>
      <c r="F44" s="15" t="n">
        <f aca="false">E44+(E44*10%)</f>
        <v>4950</v>
      </c>
      <c r="G44" s="43" t="n">
        <f aca="false">F44/6400</f>
        <v>0.7734375</v>
      </c>
      <c r="H44" s="43" t="n">
        <f aca="false">ROUNDUP(G44,0)</f>
        <v>1</v>
      </c>
      <c r="I44" s="43" t="n">
        <v>5.3</v>
      </c>
      <c r="J44" s="44" t="n">
        <f aca="false">+H44*I44</f>
        <v>5.3</v>
      </c>
      <c r="K44" s="133" t="s">
        <v>197</v>
      </c>
      <c r="L44" s="133"/>
      <c r="M44" s="133"/>
    </row>
    <row r="45" customFormat="false" ht="17.35" hidden="false" customHeight="false" outlineLevel="0" collapsed="false">
      <c r="B45" s="13" t="n">
        <v>4</v>
      </c>
      <c r="C45" s="13" t="n">
        <v>3035</v>
      </c>
      <c r="D45" s="13" t="s">
        <v>47</v>
      </c>
      <c r="E45" s="15" t="n">
        <f aca="false">+H27*2+300*4*G27</f>
        <v>124200</v>
      </c>
      <c r="F45" s="15" t="n">
        <f aca="false">E45+(E45*10%)</f>
        <v>136620</v>
      </c>
      <c r="G45" s="43" t="n">
        <f aca="false">F45/6400</f>
        <v>21.346875</v>
      </c>
      <c r="H45" s="43" t="n">
        <f aca="false">ROUNDUP(G45,0)</f>
        <v>22</v>
      </c>
      <c r="I45" s="43" t="n">
        <v>1.35</v>
      </c>
      <c r="J45" s="44" t="n">
        <f aca="false">+H45*I45</f>
        <v>29.7</v>
      </c>
      <c r="K45" s="133" t="s">
        <v>48</v>
      </c>
      <c r="L45" s="133"/>
      <c r="M45" s="133"/>
    </row>
    <row r="46" customFormat="false" ht="17.35" hidden="false" customHeight="false" outlineLevel="0" collapsed="false">
      <c r="B46" s="13" t="n">
        <v>5</v>
      </c>
      <c r="C46" s="13" t="n">
        <v>2027</v>
      </c>
      <c r="D46" s="13" t="s">
        <v>43</v>
      </c>
      <c r="E46" s="15" t="n">
        <f aca="false">300*4*G27</f>
        <v>18000</v>
      </c>
      <c r="F46" s="15" t="n">
        <f aca="false">E46+(E46*10%)</f>
        <v>19800</v>
      </c>
      <c r="G46" s="43" t="n">
        <f aca="false">F46/6400</f>
        <v>3.09375</v>
      </c>
      <c r="H46" s="43" t="n">
        <f aca="false">ROUNDUP(G46,0)</f>
        <v>4</v>
      </c>
      <c r="I46" s="43" t="n">
        <v>1.3</v>
      </c>
      <c r="J46" s="44" t="n">
        <f aca="false">+H46*I46</f>
        <v>5.2</v>
      </c>
      <c r="K46" s="133" t="s">
        <v>44</v>
      </c>
      <c r="L46" s="133"/>
      <c r="M46" s="133"/>
    </row>
    <row r="47" customFormat="false" ht="17.35" hidden="false" customHeight="false" outlineLevel="0" collapsed="false">
      <c r="B47" s="13" t="n">
        <v>6</v>
      </c>
      <c r="C47" s="13" t="n">
        <v>6515</v>
      </c>
      <c r="D47" s="13" t="s">
        <v>45</v>
      </c>
      <c r="E47" s="15" t="n">
        <f aca="false">+H27*5</f>
        <v>265500</v>
      </c>
      <c r="F47" s="15" t="n">
        <f aca="false">E47+(E47*10%)</f>
        <v>292050</v>
      </c>
      <c r="G47" s="43" t="n">
        <f aca="false">F47/6400</f>
        <v>45.6328125</v>
      </c>
      <c r="H47" s="43" t="n">
        <f aca="false">ROUNDUP(G47,0)</f>
        <v>46</v>
      </c>
      <c r="I47" s="43" t="n">
        <v>1.9</v>
      </c>
      <c r="J47" s="44" t="n">
        <f aca="false">+H47*I47</f>
        <v>87.4</v>
      </c>
      <c r="K47" s="133" t="s">
        <v>46</v>
      </c>
      <c r="L47" s="133"/>
      <c r="M47" s="133"/>
    </row>
    <row r="48" customFormat="false" ht="17.35" hidden="false" customHeight="false" outlineLevel="0" collapsed="false">
      <c r="B48" s="53"/>
      <c r="C48" s="34" t="s">
        <v>19</v>
      </c>
      <c r="D48" s="32" t="n">
        <f aca="false">SUM(E42:E47)</f>
        <v>474300</v>
      </c>
      <c r="E48" s="32" t="n">
        <f aca="false">SUM(F42:F47)</f>
        <v>521730</v>
      </c>
      <c r="F48" s="54" t="n">
        <f aca="false">E48/6400</f>
        <v>81.5203125</v>
      </c>
      <c r="G48" s="55" t="n">
        <f aca="false">SUM(G31:G47)</f>
        <v>173.6625</v>
      </c>
      <c r="H48" s="56" t="n">
        <f aca="false">SUM(H31:H38,H42:H47)</f>
        <v>183</v>
      </c>
      <c r="I48" s="56"/>
      <c r="J48" s="56" t="n">
        <f aca="false">SUM(J42:J47)</f>
        <v>169.2</v>
      </c>
      <c r="K48" s="134"/>
      <c r="L48" s="134"/>
      <c r="M48" s="134"/>
    </row>
    <row r="49" customFormat="false" ht="17.35" hidden="false" customHeight="false" outlineLevel="0" collapsed="false">
      <c r="B49" s="3"/>
      <c r="C49" s="3"/>
      <c r="D49" s="3"/>
      <c r="E49" s="3"/>
      <c r="F49" s="3"/>
      <c r="G49" s="3"/>
      <c r="H49" s="11"/>
      <c r="I49" s="57" t="s">
        <v>49</v>
      </c>
      <c r="J49" s="57" t="n">
        <f aca="false">+J39+J48</f>
        <v>558.3</v>
      </c>
      <c r="K49" s="3"/>
      <c r="L49" s="3"/>
      <c r="M49" s="3"/>
    </row>
    <row r="50" customFormat="false" ht="17.35" hidden="false" customHeight="fals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customFormat="false" ht="17.35" hidden="false" customHeight="false" outlineLevel="0" collapsed="false">
      <c r="B51" s="42" t="s">
        <v>50</v>
      </c>
      <c r="C51" s="42"/>
      <c r="D51" s="42"/>
      <c r="E51" s="42"/>
      <c r="F51" s="42"/>
      <c r="G51" s="42"/>
      <c r="H51" s="42"/>
      <c r="I51" s="3"/>
      <c r="J51" s="3"/>
      <c r="K51" s="3"/>
      <c r="L51" s="3"/>
      <c r="M51" s="3" t="s">
        <v>198</v>
      </c>
      <c r="N51" s="0" t="n">
        <v>600</v>
      </c>
    </row>
    <row r="52" customFormat="false" ht="17.35" hidden="false" customHeight="false" outlineLevel="0" collapsed="false">
      <c r="B52" s="9" t="s">
        <v>5</v>
      </c>
      <c r="C52" s="9" t="s">
        <v>22</v>
      </c>
      <c r="D52" s="9" t="s">
        <v>51</v>
      </c>
      <c r="E52" s="9" t="s">
        <v>52</v>
      </c>
      <c r="F52" s="9" t="s">
        <v>53</v>
      </c>
      <c r="G52" s="9" t="s">
        <v>54</v>
      </c>
      <c r="H52" s="9" t="s">
        <v>55</v>
      </c>
      <c r="I52" s="3"/>
      <c r="J52" s="3"/>
      <c r="K52" s="3"/>
      <c r="L52" s="3"/>
      <c r="M52" s="3" t="s">
        <v>199</v>
      </c>
      <c r="N52" s="0" t="n">
        <v>1100</v>
      </c>
    </row>
    <row r="53" customFormat="false" ht="17.35" hidden="false" customHeight="false" outlineLevel="0" collapsed="false">
      <c r="B53" s="13" t="n">
        <v>1</v>
      </c>
      <c r="C53" s="13" t="s">
        <v>200</v>
      </c>
      <c r="D53" s="58" t="s">
        <v>57</v>
      </c>
      <c r="E53" s="13" t="n">
        <v>2</v>
      </c>
      <c r="F53" s="13" t="n">
        <f aca="false">+E53*$G$27</f>
        <v>30</v>
      </c>
      <c r="G53" s="15" t="n">
        <v>6000</v>
      </c>
      <c r="H53" s="15" t="n">
        <f aca="false">+F53*G53</f>
        <v>180000</v>
      </c>
      <c r="I53" s="3"/>
      <c r="J53" s="3"/>
      <c r="K53" s="3"/>
      <c r="L53" s="3"/>
      <c r="M53" s="3" t="s">
        <v>199</v>
      </c>
      <c r="N53" s="0" t="n">
        <v>1540</v>
      </c>
    </row>
    <row r="54" customFormat="false" ht="17.35" hidden="false" customHeight="false" outlineLevel="0" collapsed="false">
      <c r="B54" s="13" t="n">
        <v>2</v>
      </c>
      <c r="C54" s="13" t="s">
        <v>201</v>
      </c>
      <c r="D54" s="58" t="s">
        <v>57</v>
      </c>
      <c r="E54" s="13" t="n">
        <v>2</v>
      </c>
      <c r="F54" s="13" t="n">
        <f aca="false">+E54*$G$27</f>
        <v>30</v>
      </c>
      <c r="G54" s="15" t="n">
        <v>700</v>
      </c>
      <c r="H54" s="15" t="n">
        <f aca="false">+F54*G54</f>
        <v>21000</v>
      </c>
      <c r="I54" s="3"/>
      <c r="J54" s="3"/>
      <c r="K54" s="3"/>
      <c r="L54" s="3"/>
      <c r="M54" s="3" t="s">
        <v>199</v>
      </c>
      <c r="N54" s="0" t="n">
        <v>1330</v>
      </c>
    </row>
    <row r="55" customFormat="false" ht="17.35" hidden="false" customHeight="false" outlineLevel="0" collapsed="false">
      <c r="B55" s="13" t="n">
        <v>2</v>
      </c>
      <c r="C55" s="13" t="s">
        <v>202</v>
      </c>
      <c r="D55" s="58" t="s">
        <v>57</v>
      </c>
      <c r="E55" s="13" t="n">
        <v>1</v>
      </c>
      <c r="F55" s="13" t="n">
        <f aca="false">+E55*$G$27</f>
        <v>15</v>
      </c>
      <c r="G55" s="15" t="n">
        <v>6000</v>
      </c>
      <c r="H55" s="15" t="n">
        <f aca="false">+F55*G55</f>
        <v>90000</v>
      </c>
      <c r="I55" s="3"/>
      <c r="J55" s="3"/>
      <c r="K55" s="3"/>
      <c r="L55" s="3"/>
      <c r="M55" s="3" t="s">
        <v>199</v>
      </c>
      <c r="N55" s="0" t="n">
        <v>1350</v>
      </c>
    </row>
    <row r="56" customFormat="false" ht="17.35" hidden="false" customHeight="false" outlineLevel="0" collapsed="false">
      <c r="B56" s="13" t="n">
        <v>5</v>
      </c>
      <c r="C56" s="13" t="s">
        <v>80</v>
      </c>
      <c r="D56" s="58" t="s">
        <v>62</v>
      </c>
      <c r="E56" s="20" t="s">
        <v>203</v>
      </c>
      <c r="F56" s="16" t="n">
        <f aca="false">+(J27*4)/1000</f>
        <v>130.8</v>
      </c>
      <c r="G56" s="15" t="n">
        <v>335</v>
      </c>
      <c r="H56" s="15" t="n">
        <f aca="false">+F56*G56</f>
        <v>43818</v>
      </c>
      <c r="I56" s="3"/>
      <c r="J56" s="3"/>
      <c r="K56" s="3"/>
      <c r="L56" s="3"/>
      <c r="M56" s="3" t="s">
        <v>199</v>
      </c>
      <c r="N56" s="0" t="n">
        <v>1200</v>
      </c>
    </row>
    <row r="57" customFormat="false" ht="29.85" hidden="false" customHeight="false" outlineLevel="0" collapsed="false">
      <c r="B57" s="46" t="n">
        <v>6</v>
      </c>
      <c r="C57" s="58" t="s">
        <v>204</v>
      </c>
      <c r="D57" s="58" t="s">
        <v>62</v>
      </c>
      <c r="E57" s="135" t="s">
        <v>205</v>
      </c>
      <c r="F57" s="60" t="n">
        <f aca="false">+(H27*4+I27*4)/1000</f>
        <v>361.2</v>
      </c>
      <c r="G57" s="61" t="n">
        <v>1000</v>
      </c>
      <c r="H57" s="15" t="n">
        <f aca="false">+F57*G57</f>
        <v>361200</v>
      </c>
      <c r="I57" s="3"/>
      <c r="J57" s="3"/>
      <c r="K57" s="3"/>
      <c r="L57" s="3"/>
      <c r="M57" s="3" t="s">
        <v>199</v>
      </c>
      <c r="N57" s="0" t="n">
        <v>1000</v>
      </c>
    </row>
    <row r="58" customFormat="false" ht="17.35" hidden="false" customHeight="false" outlineLevel="0" collapsed="false">
      <c r="B58" s="13" t="n">
        <v>7</v>
      </c>
      <c r="C58" s="13" t="s">
        <v>206</v>
      </c>
      <c r="D58" s="58" t="s">
        <v>57</v>
      </c>
      <c r="E58" s="13" t="n">
        <v>10</v>
      </c>
      <c r="F58" s="13" t="n">
        <f aca="false">+E58*$G$27</f>
        <v>150</v>
      </c>
      <c r="G58" s="15" t="n">
        <v>50</v>
      </c>
      <c r="H58" s="15" t="n">
        <f aca="false">+F58*G58</f>
        <v>7500</v>
      </c>
      <c r="I58" s="3"/>
      <c r="J58" s="3"/>
      <c r="K58" s="3"/>
      <c r="L58" s="3"/>
      <c r="M58" s="3" t="s">
        <v>199</v>
      </c>
      <c r="N58" s="0" t="n">
        <v>1000</v>
      </c>
    </row>
    <row r="59" customFormat="false" ht="17.35" hidden="false" customHeight="false" outlineLevel="0" collapsed="false">
      <c r="B59" s="13" t="n">
        <v>8</v>
      </c>
      <c r="C59" s="13" t="s">
        <v>84</v>
      </c>
      <c r="D59" s="58" t="s">
        <v>57</v>
      </c>
      <c r="E59" s="13" t="n">
        <v>10</v>
      </c>
      <c r="F59" s="13" t="n">
        <f aca="false">+E59*$G$27</f>
        <v>150</v>
      </c>
      <c r="G59" s="15" t="n">
        <v>40</v>
      </c>
      <c r="H59" s="15" t="n">
        <f aca="false">+F59*G59</f>
        <v>6000</v>
      </c>
      <c r="I59" s="3"/>
      <c r="J59" s="3"/>
      <c r="K59" s="3"/>
      <c r="L59" s="3"/>
      <c r="M59" s="3"/>
    </row>
    <row r="60" customFormat="false" ht="17.35" hidden="false" customHeight="false" outlineLevel="0" collapsed="false">
      <c r="B60" s="13" t="n">
        <v>9</v>
      </c>
      <c r="C60" s="13" t="s">
        <v>207</v>
      </c>
      <c r="D60" s="58" t="s">
        <v>57</v>
      </c>
      <c r="E60" s="13" t="n">
        <v>2</v>
      </c>
      <c r="F60" s="13" t="n">
        <f aca="false">+E60*$G$27</f>
        <v>30</v>
      </c>
      <c r="G60" s="15" t="n">
        <v>16000</v>
      </c>
      <c r="H60" s="15" t="n">
        <f aca="false">+F60*G60</f>
        <v>480000</v>
      </c>
      <c r="I60" s="3"/>
      <c r="J60" s="3"/>
      <c r="K60" s="3"/>
      <c r="L60" s="3"/>
      <c r="M60" s="3"/>
    </row>
    <row r="61" customFormat="false" ht="17.35" hidden="false" customHeight="false" outlineLevel="0" collapsed="false">
      <c r="B61" s="13" t="n">
        <v>10</v>
      </c>
      <c r="C61" s="13" t="s">
        <v>70</v>
      </c>
      <c r="D61" s="58" t="s">
        <v>14</v>
      </c>
      <c r="E61" s="13" t="s">
        <v>111</v>
      </c>
      <c r="F61" s="17" t="n">
        <f aca="false">+N27</f>
        <v>130.32</v>
      </c>
      <c r="G61" s="15" t="n">
        <v>55000</v>
      </c>
      <c r="H61" s="15" t="n">
        <f aca="false">+F61*G61</f>
        <v>7167600</v>
      </c>
      <c r="I61" s="3"/>
      <c r="J61" s="3"/>
      <c r="K61" s="3"/>
      <c r="L61" s="3"/>
      <c r="M61" s="3"/>
    </row>
    <row r="62" customFormat="false" ht="17.35" hidden="false" customHeight="false" outlineLevel="0" collapsed="false">
      <c r="B62" s="13" t="n">
        <v>11</v>
      </c>
      <c r="C62" s="13" t="s">
        <v>208</v>
      </c>
      <c r="D62" s="58" t="s">
        <v>209</v>
      </c>
      <c r="E62" s="13" t="n">
        <v>2</v>
      </c>
      <c r="F62" s="13" t="n">
        <f aca="false">+E62*$G$27</f>
        <v>30</v>
      </c>
      <c r="G62" s="15" t="n">
        <v>8000</v>
      </c>
      <c r="H62" s="15" t="n">
        <f aca="false">+F62*G62</f>
        <v>240000</v>
      </c>
      <c r="I62" s="3"/>
      <c r="J62" s="3"/>
      <c r="K62" s="3"/>
      <c r="L62" s="3"/>
      <c r="M62" s="3"/>
    </row>
    <row r="63" customFormat="false" ht="17.35" hidden="false" customHeight="false" outlineLevel="0" collapsed="false">
      <c r="B63" s="13" t="n">
        <v>12</v>
      </c>
      <c r="C63" s="13" t="s">
        <v>210</v>
      </c>
      <c r="D63" s="58" t="s">
        <v>209</v>
      </c>
      <c r="E63" s="13" t="n">
        <v>1</v>
      </c>
      <c r="F63" s="13" t="n">
        <f aca="false">+E63*$G$27</f>
        <v>15</v>
      </c>
      <c r="G63" s="15" t="n">
        <v>4000</v>
      </c>
      <c r="H63" s="15" t="n">
        <f aca="false">+F63*G63</f>
        <v>60000</v>
      </c>
      <c r="I63" s="3"/>
      <c r="J63" s="3"/>
      <c r="K63" s="3"/>
      <c r="L63" s="3"/>
      <c r="M63" s="3"/>
    </row>
    <row r="64" customFormat="false" ht="17.35" hidden="false" customHeight="false" outlineLevel="0" collapsed="false">
      <c r="B64" s="13" t="n">
        <v>13</v>
      </c>
      <c r="C64" s="13" t="s">
        <v>86</v>
      </c>
      <c r="D64" s="58" t="s">
        <v>14</v>
      </c>
      <c r="E64" s="117" t="s">
        <v>72</v>
      </c>
      <c r="F64" s="13" t="n">
        <f aca="false">+N27*70%</f>
        <v>91.224</v>
      </c>
      <c r="G64" s="63" t="n">
        <v>3060</v>
      </c>
      <c r="H64" s="15" t="n">
        <f aca="false">+F64*G64</f>
        <v>279145.44</v>
      </c>
      <c r="I64" s="3"/>
      <c r="J64" s="3"/>
      <c r="K64" s="3"/>
      <c r="L64" s="3"/>
      <c r="M64" s="3"/>
    </row>
    <row r="65" customFormat="false" ht="19.7" hidden="false" customHeight="false" outlineLevel="0" collapsed="false">
      <c r="B65" s="3"/>
      <c r="C65" s="3"/>
      <c r="D65" s="3"/>
      <c r="E65" s="3"/>
      <c r="F65" s="3"/>
      <c r="G65" s="64" t="s">
        <v>19</v>
      </c>
      <c r="H65" s="65" t="n">
        <f aca="false">SUM(H53:H64)</f>
        <v>8936263.44</v>
      </c>
      <c r="I65" s="3"/>
      <c r="J65" s="3"/>
      <c r="K65" s="3"/>
      <c r="L65" s="3"/>
      <c r="M65" s="3"/>
    </row>
    <row r="66" customFormat="false" ht="17.35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customFormat="false" ht="17.35" hidden="false" customHeight="false" outlineLevel="0" collapsed="false">
      <c r="B67" s="42" t="s">
        <v>73</v>
      </c>
      <c r="C67" s="42"/>
      <c r="D67" s="42"/>
      <c r="E67" s="42"/>
      <c r="F67" s="42"/>
      <c r="G67" s="42"/>
      <c r="H67" s="42"/>
      <c r="I67" s="3"/>
      <c r="J67" s="3"/>
      <c r="K67" s="3"/>
      <c r="L67" s="3"/>
      <c r="M67" s="3"/>
    </row>
    <row r="68" customFormat="false" ht="17.35" hidden="false" customHeight="false" outlineLevel="0" collapsed="false">
      <c r="B68" s="9" t="s">
        <v>5</v>
      </c>
      <c r="C68" s="9" t="s">
        <v>22</v>
      </c>
      <c r="D68" s="9" t="s">
        <v>51</v>
      </c>
      <c r="E68" s="9" t="s">
        <v>52</v>
      </c>
      <c r="F68" s="9" t="s">
        <v>53</v>
      </c>
      <c r="G68" s="9" t="s">
        <v>54</v>
      </c>
      <c r="H68" s="9" t="s">
        <v>55</v>
      </c>
      <c r="I68" s="3"/>
      <c r="J68" s="3"/>
      <c r="K68" s="3"/>
      <c r="L68" s="3"/>
      <c r="M68" s="3"/>
    </row>
    <row r="69" customFormat="false" ht="17.35" hidden="false" customHeight="false" outlineLevel="0" collapsed="false">
      <c r="B69" s="13" t="n">
        <v>1</v>
      </c>
      <c r="C69" s="13" t="s">
        <v>56</v>
      </c>
      <c r="D69" s="58" t="s">
        <v>57</v>
      </c>
      <c r="E69" s="13" t="n">
        <v>4</v>
      </c>
      <c r="F69" s="13" t="n">
        <f aca="false">+E69*$G$27</f>
        <v>60</v>
      </c>
      <c r="G69" s="15" t="n">
        <v>6000</v>
      </c>
      <c r="H69" s="15" t="n">
        <f aca="false">+F69*G69</f>
        <v>360000</v>
      </c>
      <c r="I69" s="3"/>
      <c r="J69" s="3"/>
      <c r="K69" s="3"/>
      <c r="L69" s="3"/>
      <c r="M69" s="3"/>
    </row>
    <row r="70" customFormat="false" ht="17.35" hidden="false" customHeight="false" outlineLevel="0" collapsed="false">
      <c r="B70" s="13" t="n">
        <v>2</v>
      </c>
      <c r="C70" s="13" t="s">
        <v>183</v>
      </c>
      <c r="D70" s="58" t="s">
        <v>57</v>
      </c>
      <c r="E70" s="13" t="n">
        <v>2</v>
      </c>
      <c r="F70" s="13" t="n">
        <f aca="false">+E70*$G$27</f>
        <v>30</v>
      </c>
      <c r="G70" s="15" t="n">
        <v>700</v>
      </c>
      <c r="H70" s="15" t="n">
        <f aca="false">+F70*G70</f>
        <v>21000</v>
      </c>
      <c r="I70" s="3"/>
      <c r="J70" s="3"/>
      <c r="K70" s="3"/>
      <c r="L70" s="3"/>
      <c r="M70" s="3"/>
    </row>
    <row r="71" customFormat="false" ht="17.35" hidden="false" customHeight="false" outlineLevel="0" collapsed="false">
      <c r="B71" s="13" t="n">
        <v>2</v>
      </c>
      <c r="C71" s="13" t="s">
        <v>211</v>
      </c>
      <c r="D71" s="58" t="s">
        <v>57</v>
      </c>
      <c r="E71" s="13" t="n">
        <v>1</v>
      </c>
      <c r="F71" s="13" t="n">
        <f aca="false">+E71*$G$27</f>
        <v>15</v>
      </c>
      <c r="G71" s="15" t="n">
        <v>6000</v>
      </c>
      <c r="H71" s="15" t="n">
        <f aca="false">+F71*G71</f>
        <v>90000</v>
      </c>
      <c r="I71" s="3"/>
      <c r="J71" s="3"/>
      <c r="K71" s="3"/>
      <c r="L71" s="3"/>
      <c r="M71" s="3"/>
    </row>
    <row r="72" customFormat="false" ht="17.35" hidden="false" customHeight="false" outlineLevel="0" collapsed="false">
      <c r="B72" s="13" t="n">
        <v>5</v>
      </c>
      <c r="C72" s="13" t="s">
        <v>61</v>
      </c>
      <c r="D72" s="58" t="s">
        <v>62</v>
      </c>
      <c r="E72" s="20" t="s">
        <v>203</v>
      </c>
      <c r="F72" s="16" t="n">
        <f aca="false">+(J27*4)/1000</f>
        <v>130.8</v>
      </c>
      <c r="G72" s="15" t="n">
        <v>335</v>
      </c>
      <c r="H72" s="15" t="n">
        <f aca="false">+F72*G72</f>
        <v>43818</v>
      </c>
      <c r="I72" s="3"/>
      <c r="J72" s="3"/>
      <c r="K72" s="3"/>
      <c r="L72" s="3"/>
      <c r="M72" s="3"/>
    </row>
    <row r="73" customFormat="false" ht="29.85" hidden="false" customHeight="false" outlineLevel="0" collapsed="false">
      <c r="B73" s="46" t="n">
        <v>6</v>
      </c>
      <c r="C73" s="58" t="s">
        <v>64</v>
      </c>
      <c r="D73" s="58" t="s">
        <v>62</v>
      </c>
      <c r="E73" s="59" t="s">
        <v>205</v>
      </c>
      <c r="F73" s="60" t="n">
        <f aca="false">+(H27*4+I27*4)/1000</f>
        <v>361.2</v>
      </c>
      <c r="G73" s="61" t="n">
        <v>1000</v>
      </c>
      <c r="H73" s="15" t="n">
        <f aca="false">+F73*G73</f>
        <v>361200</v>
      </c>
      <c r="I73" s="3"/>
      <c r="J73" s="3"/>
      <c r="K73" s="3"/>
      <c r="L73" s="3"/>
      <c r="M73" s="3"/>
    </row>
    <row r="74" customFormat="false" ht="17.35" hidden="false" customHeight="false" outlineLevel="0" collapsed="false">
      <c r="B74" s="13" t="n">
        <v>7</v>
      </c>
      <c r="C74" s="13" t="s">
        <v>66</v>
      </c>
      <c r="D74" s="58" t="s">
        <v>57</v>
      </c>
      <c r="E74" s="13" t="n">
        <v>10</v>
      </c>
      <c r="F74" s="13" t="n">
        <f aca="false">+E74*$G$27</f>
        <v>150</v>
      </c>
      <c r="G74" s="15" t="n">
        <v>50</v>
      </c>
      <c r="H74" s="15" t="n">
        <f aca="false">+F74*G74</f>
        <v>7500</v>
      </c>
      <c r="I74" s="3"/>
      <c r="J74" s="3"/>
      <c r="K74" s="3"/>
      <c r="L74" s="3"/>
      <c r="M74" s="3"/>
    </row>
    <row r="75" customFormat="false" ht="17.35" hidden="false" customHeight="false" outlineLevel="0" collapsed="false">
      <c r="B75" s="13" t="n">
        <v>8</v>
      </c>
      <c r="C75" s="13" t="s">
        <v>67</v>
      </c>
      <c r="D75" s="58" t="s">
        <v>57</v>
      </c>
      <c r="E75" s="13" t="n">
        <v>10</v>
      </c>
      <c r="F75" s="13" t="n">
        <f aca="false">+E75*$G$27</f>
        <v>150</v>
      </c>
      <c r="G75" s="15" t="n">
        <v>40</v>
      </c>
      <c r="H75" s="15" t="n">
        <f aca="false">+F75*G75</f>
        <v>6000</v>
      </c>
      <c r="I75" s="3"/>
      <c r="J75" s="3"/>
      <c r="K75" s="3"/>
      <c r="L75" s="3"/>
      <c r="M75" s="3"/>
    </row>
    <row r="76" customFormat="false" ht="17.35" hidden="false" customHeight="false" outlineLevel="0" collapsed="false">
      <c r="B76" s="13" t="n">
        <v>9</v>
      </c>
      <c r="C76" s="13" t="s">
        <v>68</v>
      </c>
      <c r="D76" s="58" t="s">
        <v>57</v>
      </c>
      <c r="E76" s="13" t="n">
        <v>2</v>
      </c>
      <c r="F76" s="13" t="n">
        <f aca="false">+E76*$G$27</f>
        <v>30</v>
      </c>
      <c r="G76" s="15" t="n">
        <v>16000</v>
      </c>
      <c r="H76" s="15" t="n">
        <f aca="false">+F76*G76</f>
        <v>480000</v>
      </c>
      <c r="I76" s="3"/>
      <c r="J76" s="3"/>
      <c r="K76" s="3"/>
      <c r="L76" s="3"/>
      <c r="M76" s="3"/>
    </row>
    <row r="77" customFormat="false" ht="17.35" hidden="false" customHeight="false" outlineLevel="0" collapsed="false">
      <c r="B77" s="13" t="n">
        <v>10</v>
      </c>
      <c r="C77" s="13" t="s">
        <v>70</v>
      </c>
      <c r="D77" s="58" t="s">
        <v>14</v>
      </c>
      <c r="E77" s="13" t="s">
        <v>111</v>
      </c>
      <c r="F77" s="17" t="n">
        <f aca="false">+N27</f>
        <v>130.32</v>
      </c>
      <c r="G77" s="15" t="n">
        <v>55000</v>
      </c>
      <c r="H77" s="15" t="n">
        <f aca="false">+F77*G77</f>
        <v>7167600</v>
      </c>
      <c r="I77" s="3"/>
      <c r="J77" s="3"/>
      <c r="K77" s="3"/>
      <c r="L77" s="3"/>
      <c r="M77" s="3"/>
    </row>
    <row r="78" customFormat="false" ht="17.35" hidden="false" customHeight="false" outlineLevel="0" collapsed="false">
      <c r="B78" s="13" t="n">
        <v>11</v>
      </c>
      <c r="C78" s="13" t="s">
        <v>212</v>
      </c>
      <c r="D78" s="58" t="s">
        <v>209</v>
      </c>
      <c r="E78" s="13" t="n">
        <v>2</v>
      </c>
      <c r="F78" s="13" t="n">
        <f aca="false">+E78*$G$27</f>
        <v>30</v>
      </c>
      <c r="G78" s="15" t="n">
        <v>8000</v>
      </c>
      <c r="H78" s="15" t="n">
        <f aca="false">+F78*G78</f>
        <v>240000</v>
      </c>
      <c r="I78" s="3"/>
      <c r="J78" s="3"/>
      <c r="K78" s="3"/>
      <c r="L78" s="3"/>
      <c r="M78" s="3"/>
    </row>
    <row r="79" customFormat="false" ht="17.35" hidden="false" customHeight="false" outlineLevel="0" collapsed="false">
      <c r="B79" s="13" t="n">
        <v>12</v>
      </c>
      <c r="C79" s="13" t="s">
        <v>213</v>
      </c>
      <c r="D79" s="58" t="s">
        <v>209</v>
      </c>
      <c r="E79" s="13" t="n">
        <v>1</v>
      </c>
      <c r="F79" s="13" t="n">
        <f aca="false">+E79*$G$27</f>
        <v>15</v>
      </c>
      <c r="G79" s="15" t="n">
        <v>4000</v>
      </c>
      <c r="H79" s="15" t="n">
        <f aca="false">+F79*G79</f>
        <v>60000</v>
      </c>
      <c r="I79" s="3"/>
      <c r="J79" s="3"/>
      <c r="K79" s="3"/>
      <c r="L79" s="3"/>
      <c r="M79" s="3"/>
    </row>
    <row r="80" customFormat="false" ht="17.35" hidden="false" customHeight="false" outlineLevel="0" collapsed="false">
      <c r="B80" s="13" t="n">
        <v>13</v>
      </c>
      <c r="C80" s="13" t="s">
        <v>47</v>
      </c>
      <c r="D80" s="58" t="s">
        <v>14</v>
      </c>
      <c r="E80" s="117" t="s">
        <v>72</v>
      </c>
      <c r="F80" s="13" t="n">
        <f aca="false">+N27*70%</f>
        <v>91.224</v>
      </c>
      <c r="G80" s="63" t="n">
        <v>3060</v>
      </c>
      <c r="H80" s="15" t="n">
        <f aca="false">+F80*G80</f>
        <v>279145.44</v>
      </c>
      <c r="I80" s="3"/>
      <c r="J80" s="3"/>
      <c r="K80" s="3"/>
      <c r="L80" s="3"/>
      <c r="M80" s="3"/>
    </row>
    <row r="81" customFormat="false" ht="19.7" hidden="false" customHeight="false" outlineLevel="0" collapsed="false">
      <c r="B81" s="3"/>
      <c r="C81" s="3"/>
      <c r="D81" s="3"/>
      <c r="E81" s="3"/>
      <c r="F81" s="3"/>
      <c r="G81" s="64" t="s">
        <v>19</v>
      </c>
      <c r="H81" s="65" t="n">
        <f aca="false">SUM(H69:H80)</f>
        <v>9116263.44</v>
      </c>
      <c r="I81" s="3"/>
      <c r="J81" s="3"/>
      <c r="K81" s="3"/>
      <c r="L81" s="3"/>
      <c r="M81" s="3"/>
    </row>
    <row r="82" customFormat="false" ht="19.7" hidden="false" customHeight="false" outlineLevel="0" collapsed="false">
      <c r="B82" s="72"/>
      <c r="C82" s="72"/>
      <c r="D82" s="72"/>
      <c r="E82" s="72"/>
      <c r="F82" s="72"/>
      <c r="G82" s="136"/>
      <c r="H82" s="137"/>
      <c r="I82" s="3"/>
      <c r="J82" s="3"/>
      <c r="K82" s="3"/>
      <c r="L82" s="3"/>
      <c r="M82" s="3"/>
    </row>
    <row r="83" customFormat="false" ht="17.35" hidden="false" customHeight="fals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customFormat="false" ht="24.45" hidden="false" customHeight="false" outlineLevel="0" collapsed="false">
      <c r="B84" s="75" t="s">
        <v>159</v>
      </c>
      <c r="C84" s="75"/>
      <c r="D84" s="75"/>
      <c r="E84" s="76"/>
      <c r="F84" s="75" t="s">
        <v>159</v>
      </c>
      <c r="G84" s="75"/>
      <c r="H84" s="75"/>
      <c r="I84" s="3"/>
      <c r="J84" s="3"/>
      <c r="K84" s="3"/>
      <c r="L84" s="3"/>
      <c r="M84" s="3"/>
    </row>
    <row r="85" customFormat="false" ht="37.3" hidden="false" customHeight="false" outlineLevel="0" collapsed="false">
      <c r="B85" s="77" t="s">
        <v>95</v>
      </c>
      <c r="C85" s="77" t="s">
        <v>96</v>
      </c>
      <c r="D85" s="77" t="s">
        <v>97</v>
      </c>
      <c r="E85" s="3"/>
      <c r="F85" s="77" t="s">
        <v>95</v>
      </c>
      <c r="G85" s="77" t="s">
        <v>96</v>
      </c>
      <c r="H85" s="77" t="s">
        <v>97</v>
      </c>
      <c r="I85" s="3"/>
      <c r="J85" s="3"/>
      <c r="K85" s="3"/>
      <c r="L85" s="3"/>
      <c r="M85" s="3"/>
    </row>
    <row r="86" customFormat="false" ht="22.05" hidden="false" customHeight="false" outlineLevel="0" collapsed="false">
      <c r="B86" s="78" t="n">
        <v>1</v>
      </c>
      <c r="C86" s="79" t="s">
        <v>98</v>
      </c>
      <c r="D86" s="80" t="n">
        <f aca="false">+J49*4</f>
        <v>2233.2</v>
      </c>
      <c r="E86" s="3"/>
      <c r="F86" s="78" t="n">
        <v>1</v>
      </c>
      <c r="G86" s="79" t="s">
        <v>98</v>
      </c>
      <c r="H86" s="80" t="n">
        <f aca="false">+J49*4</f>
        <v>2233.2</v>
      </c>
      <c r="I86" s="3"/>
      <c r="J86" s="3"/>
      <c r="K86" s="3"/>
      <c r="L86" s="3"/>
      <c r="M86" s="3"/>
    </row>
    <row r="87" customFormat="false" ht="22.05" hidden="false" customHeight="false" outlineLevel="0" collapsed="false">
      <c r="B87" s="78" t="n">
        <v>2</v>
      </c>
      <c r="C87" s="79" t="s">
        <v>99</v>
      </c>
      <c r="D87" s="80" t="n">
        <f aca="false">+H65/3650</f>
        <v>2448.29135342466</v>
      </c>
      <c r="E87" s="3"/>
      <c r="F87" s="78" t="n">
        <v>2</v>
      </c>
      <c r="G87" s="79" t="s">
        <v>99</v>
      </c>
      <c r="H87" s="80" t="n">
        <f aca="false">+H81/3650</f>
        <v>2497.60642191781</v>
      </c>
      <c r="I87" s="3"/>
      <c r="J87" s="3"/>
      <c r="K87" s="3"/>
      <c r="L87" s="3"/>
      <c r="M87" s="3"/>
    </row>
    <row r="88" customFormat="false" ht="22.05" hidden="false" customHeight="false" outlineLevel="0" collapsed="false">
      <c r="B88" s="78" t="n">
        <v>3</v>
      </c>
      <c r="C88" s="79" t="s">
        <v>100</v>
      </c>
      <c r="D88" s="80" t="n">
        <f aca="false">+N27*15</f>
        <v>1954.8</v>
      </c>
      <c r="E88" s="3"/>
      <c r="F88" s="78" t="n">
        <v>3</v>
      </c>
      <c r="G88" s="79" t="s">
        <v>100</v>
      </c>
      <c r="H88" s="80" t="n">
        <f aca="false">+N27*15</f>
        <v>1954.8</v>
      </c>
      <c r="I88" s="3"/>
      <c r="J88" s="3"/>
      <c r="K88" s="3"/>
      <c r="L88" s="3"/>
      <c r="M88" s="3"/>
    </row>
    <row r="89" customFormat="false" ht="22.05" hidden="false" customHeight="false" outlineLevel="0" collapsed="false">
      <c r="B89" s="78" t="n">
        <v>4</v>
      </c>
      <c r="C89" s="79" t="s">
        <v>101</v>
      </c>
      <c r="D89" s="80" t="n">
        <f aca="false">+N27*0</f>
        <v>0</v>
      </c>
      <c r="E89" s="3"/>
      <c r="F89" s="78" t="n">
        <v>4</v>
      </c>
      <c r="G89" s="79" t="s">
        <v>101</v>
      </c>
      <c r="H89" s="80" t="n">
        <f aca="false">+N27*0</f>
        <v>0</v>
      </c>
      <c r="I89" s="3"/>
      <c r="J89" s="3"/>
      <c r="K89" s="3"/>
      <c r="L89" s="3"/>
      <c r="M89" s="3"/>
    </row>
    <row r="90" customFormat="false" ht="22.05" hidden="false" customHeight="false" outlineLevel="0" collapsed="false">
      <c r="B90" s="3"/>
      <c r="C90" s="81" t="s">
        <v>19</v>
      </c>
      <c r="D90" s="80" t="n">
        <f aca="false">SUM(D86:D89)</f>
        <v>6636.29135342466</v>
      </c>
      <c r="E90" s="3"/>
      <c r="F90" s="3"/>
      <c r="G90" s="81" t="s">
        <v>19</v>
      </c>
      <c r="H90" s="80" t="n">
        <f aca="false">SUM(H86:H89)</f>
        <v>6685.60642191781</v>
      </c>
      <c r="I90" s="3"/>
      <c r="J90" s="3"/>
      <c r="K90" s="3"/>
      <c r="L90" s="3"/>
      <c r="M90" s="3"/>
    </row>
    <row r="91" customFormat="false" ht="22.05" hidden="false" customHeight="false" outlineLevel="0" collapsed="false">
      <c r="B91" s="3"/>
      <c r="C91" s="81" t="s">
        <v>102</v>
      </c>
      <c r="D91" s="82" t="n">
        <f aca="false">+D90*30%</f>
        <v>1990.8874060274</v>
      </c>
      <c r="E91" s="3"/>
      <c r="F91" s="3"/>
      <c r="G91" s="81" t="s">
        <v>160</v>
      </c>
      <c r="H91" s="82" t="n">
        <f aca="false">+H90*30%</f>
        <v>2005.68192657534</v>
      </c>
      <c r="I91" s="3"/>
      <c r="J91" s="3"/>
      <c r="K91" s="3"/>
      <c r="L91" s="3"/>
      <c r="M91" s="3"/>
    </row>
    <row r="92" customFormat="false" ht="22.05" hidden="false" customHeight="false" outlineLevel="0" collapsed="false">
      <c r="B92" s="3"/>
      <c r="C92" s="83" t="s">
        <v>103</v>
      </c>
      <c r="D92" s="84" t="n">
        <f aca="false">+D90+D91</f>
        <v>8627.17875945205</v>
      </c>
      <c r="E92" s="3"/>
      <c r="F92" s="3"/>
      <c r="G92" s="83" t="s">
        <v>103</v>
      </c>
      <c r="H92" s="84" t="n">
        <f aca="false">+H90+H91</f>
        <v>8691.28834849315</v>
      </c>
    </row>
    <row r="93" customFormat="false" ht="22.05" hidden="false" customHeight="false" outlineLevel="0" collapsed="false">
      <c r="B93" s="3"/>
      <c r="C93" s="87" t="s">
        <v>104</v>
      </c>
      <c r="D93" s="88" t="n">
        <f aca="false">+D90/N27</f>
        <v>50.9230459900603</v>
      </c>
      <c r="E93" s="3"/>
      <c r="F93" s="3"/>
      <c r="G93" s="87" t="s">
        <v>104</v>
      </c>
      <c r="H93" s="88" t="n">
        <f aca="false">+H90/N27</f>
        <v>51.3014611872146</v>
      </c>
    </row>
    <row r="94" customFormat="false" ht="37.3" hidden="false" customHeight="false" outlineLevel="0" collapsed="false">
      <c r="B94" s="3"/>
      <c r="C94" s="89" t="s">
        <v>105</v>
      </c>
      <c r="D94" s="90" t="n">
        <f aca="false">+D92/N27</f>
        <v>66.1999597870784</v>
      </c>
      <c r="E94" s="3"/>
      <c r="F94" s="3"/>
      <c r="G94" s="89" t="s">
        <v>105</v>
      </c>
      <c r="H94" s="90" t="n">
        <f aca="false">+H92/N27</f>
        <v>66.691899543379</v>
      </c>
    </row>
    <row r="99" customFormat="false" ht="15" hidden="false" customHeight="false" outlineLevel="0" collapsed="false">
      <c r="E99" s="138" t="n">
        <f aca="false">+D93*3700</f>
        <v>188415.270163223</v>
      </c>
    </row>
  </sheetData>
  <mergeCells count="20">
    <mergeCell ref="B2:N2"/>
    <mergeCell ref="S4:W5"/>
    <mergeCell ref="U6:V6"/>
    <mergeCell ref="U7:V7"/>
    <mergeCell ref="S8:T8"/>
    <mergeCell ref="B27:C27"/>
    <mergeCell ref="B29:J29"/>
    <mergeCell ref="B40:L40"/>
    <mergeCell ref="K41:M41"/>
    <mergeCell ref="K42:M42"/>
    <mergeCell ref="K43:M43"/>
    <mergeCell ref="K44:M44"/>
    <mergeCell ref="K45:M45"/>
    <mergeCell ref="K46:M46"/>
    <mergeCell ref="K47:M47"/>
    <mergeCell ref="K48:M48"/>
    <mergeCell ref="B51:H51"/>
    <mergeCell ref="B67:H67"/>
    <mergeCell ref="B84:D84"/>
    <mergeCell ref="F84:H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2020-06-24T07:26:46Z</dcterms:created>
  <dc:creator>Microsoft Office User</dc:creator>
  <dc:description/>
  <dc:language>en-IN</dc:language>
  <cp:lastModifiedBy/>
  <cp:lastPrinted>2020-07-02T13:24:06Z</cp:lastPrinted>
  <dcterms:modified xsi:type="dcterms:W3CDTF">2021-03-14T23:35:02Z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