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natha\OneDrive\Documents\Personal\Personal Projects\Current Projects\Project Redemptio\Transfer Function Analysis\"/>
    </mc:Choice>
  </mc:AlternateContent>
  <xr:revisionPtr revIDLastSave="0" documentId="13_ncr:1_{4FC9B939-8318-45E6-9237-6E25FF1AB098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RF Step Tests" sheetId="2" r:id="rId1"/>
    <sheet name="CF Step Tests" sheetId="1" r:id="rId2"/>
    <sheet name="RIT Step Tests" sheetId="4" r:id="rId3"/>
    <sheet name="CIT Step Test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6" l="1"/>
  <c r="I26" i="6"/>
  <c r="T9" i="6" s="1"/>
  <c r="I19" i="6"/>
  <c r="I22" i="6"/>
  <c r="T8" i="6" s="1"/>
  <c r="I15" i="6"/>
  <c r="I18" i="6"/>
  <c r="T7" i="6" s="1"/>
  <c r="I11" i="6"/>
  <c r="I7" i="6"/>
  <c r="I10" i="6" s="1"/>
  <c r="T5" i="6" s="1"/>
  <c r="I3" i="6"/>
  <c r="H26" i="4"/>
  <c r="G26" i="4"/>
  <c r="I23" i="4"/>
  <c r="I26" i="4" s="1"/>
  <c r="H22" i="4"/>
  <c r="G22" i="4"/>
  <c r="I19" i="4"/>
  <c r="I22" i="4" s="1"/>
  <c r="I18" i="4"/>
  <c r="H18" i="4"/>
  <c r="G18" i="4"/>
  <c r="H14" i="4"/>
  <c r="G14" i="4"/>
  <c r="I11" i="4"/>
  <c r="I14" i="4" s="1"/>
  <c r="I10" i="4"/>
  <c r="H10" i="4"/>
  <c r="G10" i="4"/>
  <c r="I7" i="4"/>
  <c r="H6" i="4"/>
  <c r="G6" i="4"/>
  <c r="I4" i="4"/>
  <c r="I3" i="4"/>
  <c r="I6" i="4" s="1"/>
  <c r="K31" i="6"/>
  <c r="H26" i="6"/>
  <c r="S9" i="6" s="1"/>
  <c r="G26" i="6"/>
  <c r="F26" i="6"/>
  <c r="E26" i="6"/>
  <c r="M9" i="6" s="1"/>
  <c r="D26" i="6"/>
  <c r="L9" i="6" s="1"/>
  <c r="H22" i="6"/>
  <c r="S8" i="6" s="1"/>
  <c r="G22" i="6"/>
  <c r="F22" i="6"/>
  <c r="E22" i="6"/>
  <c r="D22" i="6"/>
  <c r="L8" i="6" s="1"/>
  <c r="H18" i="6"/>
  <c r="S7" i="6" s="1"/>
  <c r="G18" i="6"/>
  <c r="F18" i="6"/>
  <c r="E18" i="6"/>
  <c r="D18" i="6"/>
  <c r="I14" i="6"/>
  <c r="T6" i="6" s="1"/>
  <c r="H14" i="6"/>
  <c r="S6" i="6" s="1"/>
  <c r="G14" i="6"/>
  <c r="F14" i="6"/>
  <c r="N6" i="6" s="1"/>
  <c r="E14" i="6"/>
  <c r="D14" i="6"/>
  <c r="H10" i="6"/>
  <c r="S5" i="6" s="1"/>
  <c r="G10" i="6"/>
  <c r="F10" i="6"/>
  <c r="E10" i="6"/>
  <c r="D10" i="6"/>
  <c r="L5" i="6" s="1"/>
  <c r="N9" i="6"/>
  <c r="N8" i="6"/>
  <c r="M8" i="6"/>
  <c r="N7" i="6"/>
  <c r="M7" i="6"/>
  <c r="L7" i="6"/>
  <c r="M6" i="6"/>
  <c r="L6" i="6"/>
  <c r="H6" i="6"/>
  <c r="S4" i="6" s="1"/>
  <c r="G6" i="6"/>
  <c r="R4" i="6" s="1"/>
  <c r="R10" i="6" s="1"/>
  <c r="F6" i="6"/>
  <c r="N4" i="6" s="1"/>
  <c r="N10" i="6" s="1"/>
  <c r="E6" i="6"/>
  <c r="M4" i="6" s="1"/>
  <c r="M10" i="6" s="1"/>
  <c r="D6" i="6"/>
  <c r="R5" i="6"/>
  <c r="N5" i="6"/>
  <c r="M5" i="6"/>
  <c r="L4" i="6"/>
  <c r="L10" i="6" s="1"/>
  <c r="I6" i="6"/>
  <c r="T4" i="6" s="1"/>
  <c r="T10" i="6" l="1"/>
  <c r="S10" i="6"/>
  <c r="T6" i="4"/>
  <c r="R4" i="4"/>
  <c r="T4" i="4"/>
  <c r="S9" i="4"/>
  <c r="F26" i="4"/>
  <c r="N9" i="4" s="1"/>
  <c r="E26" i="4"/>
  <c r="M9" i="4" s="1"/>
  <c r="D26" i="4"/>
  <c r="L9" i="4" s="1"/>
  <c r="E22" i="4"/>
  <c r="M8" i="4" s="1"/>
  <c r="S8" i="4"/>
  <c r="D22" i="4"/>
  <c r="L8" i="4" s="1"/>
  <c r="D18" i="4"/>
  <c r="L7" i="4" s="1"/>
  <c r="E18" i="4"/>
  <c r="M7" i="4" s="1"/>
  <c r="S7" i="4"/>
  <c r="D14" i="4"/>
  <c r="L6" i="4" s="1"/>
  <c r="E14" i="4"/>
  <c r="M6" i="4" s="1"/>
  <c r="S6" i="4"/>
  <c r="R5" i="4"/>
  <c r="F10" i="4"/>
  <c r="N5" i="4" s="1"/>
  <c r="D10" i="4"/>
  <c r="L5" i="4" s="1"/>
  <c r="E10" i="4"/>
  <c r="M5" i="4" s="1"/>
  <c r="S5" i="4"/>
  <c r="F6" i="4"/>
  <c r="N4" i="4" s="1"/>
  <c r="D6" i="4"/>
  <c r="L4" i="4" s="1"/>
  <c r="S4" i="4"/>
  <c r="E6" i="4"/>
  <c r="M4" i="4" s="1"/>
  <c r="M10" i="4" l="1"/>
  <c r="S10" i="4"/>
  <c r="F18" i="4"/>
  <c r="N7" i="4" s="1"/>
  <c r="R10" i="4"/>
  <c r="L10" i="4"/>
  <c r="F14" i="4"/>
  <c r="N6" i="4" s="1"/>
  <c r="T8" i="4"/>
  <c r="T9" i="4"/>
  <c r="T7" i="4"/>
  <c r="T5" i="4"/>
  <c r="H25" i="1"/>
  <c r="G25" i="1"/>
  <c r="I25" i="1"/>
  <c r="I24" i="1"/>
  <c r="H24" i="1"/>
  <c r="G24" i="1"/>
  <c r="I23" i="1"/>
  <c r="H23" i="1"/>
  <c r="G23" i="1"/>
  <c r="I21" i="1"/>
  <c r="H21" i="1"/>
  <c r="G21" i="1"/>
  <c r="G22" i="1" s="1"/>
  <c r="R8" i="1" s="1"/>
  <c r="I20" i="1"/>
  <c r="I22" i="1" s="1"/>
  <c r="T8" i="1" s="1"/>
  <c r="H20" i="1"/>
  <c r="G20" i="1"/>
  <c r="H19" i="1"/>
  <c r="G19" i="1"/>
  <c r="I19" i="1"/>
  <c r="G17" i="1"/>
  <c r="G18" i="1" s="1"/>
  <c r="R7" i="1" s="1"/>
  <c r="H16" i="1"/>
  <c r="H18" i="1" s="1"/>
  <c r="S7" i="1" s="1"/>
  <c r="G16" i="1"/>
  <c r="H15" i="1"/>
  <c r="G15" i="1"/>
  <c r="I12" i="1"/>
  <c r="I13" i="1"/>
  <c r="H13" i="1"/>
  <c r="G13" i="1"/>
  <c r="H12" i="1"/>
  <c r="G12" i="1"/>
  <c r="G14" i="1" s="1"/>
  <c r="R6" i="1" s="1"/>
  <c r="I11" i="1"/>
  <c r="H11" i="1"/>
  <c r="G11" i="1"/>
  <c r="H9" i="1"/>
  <c r="G9" i="1"/>
  <c r="H8" i="1"/>
  <c r="G8" i="1"/>
  <c r="H7" i="1"/>
  <c r="G7" i="1"/>
  <c r="I9" i="1"/>
  <c r="I8" i="1"/>
  <c r="D5" i="1"/>
  <c r="I5" i="1"/>
  <c r="H5" i="1"/>
  <c r="G5" i="1"/>
  <c r="I4" i="1"/>
  <c r="I3" i="1"/>
  <c r="H4" i="1"/>
  <c r="G4" i="1"/>
  <c r="H3" i="1"/>
  <c r="G3" i="1"/>
  <c r="F22" i="1"/>
  <c r="N8" i="1" s="1"/>
  <c r="F14" i="1"/>
  <c r="N6" i="1" s="1"/>
  <c r="H25" i="2"/>
  <c r="G25" i="2"/>
  <c r="E25" i="2"/>
  <c r="D25" i="2"/>
  <c r="I24" i="2"/>
  <c r="I25" i="2" s="1"/>
  <c r="H24" i="2"/>
  <c r="G24" i="2"/>
  <c r="E24" i="2"/>
  <c r="D24" i="2"/>
  <c r="I23" i="2"/>
  <c r="I26" i="2" s="1"/>
  <c r="T9" i="2" s="1"/>
  <c r="H23" i="2"/>
  <c r="H26" i="2" s="1"/>
  <c r="S9" i="2" s="1"/>
  <c r="F23" i="2"/>
  <c r="F26" i="2" s="1"/>
  <c r="N9" i="2" s="1"/>
  <c r="E23" i="2"/>
  <c r="E26" i="2" s="1"/>
  <c r="M9" i="2" s="1"/>
  <c r="D23" i="2"/>
  <c r="G23" i="2" s="1"/>
  <c r="G26" i="2" s="1"/>
  <c r="R9" i="2" s="1"/>
  <c r="H21" i="2"/>
  <c r="G21" i="2"/>
  <c r="E21" i="2"/>
  <c r="D21" i="2"/>
  <c r="H20" i="2"/>
  <c r="E20" i="2"/>
  <c r="E22" i="2" s="1"/>
  <c r="M8" i="2" s="1"/>
  <c r="D20" i="2"/>
  <c r="D22" i="2" s="1"/>
  <c r="L8" i="2" s="1"/>
  <c r="I19" i="2"/>
  <c r="I20" i="2" s="1"/>
  <c r="I21" i="2" s="1"/>
  <c r="H19" i="2"/>
  <c r="H22" i="2" s="1"/>
  <c r="S8" i="2" s="1"/>
  <c r="G19" i="2"/>
  <c r="G22" i="2" s="1"/>
  <c r="R8" i="2" s="1"/>
  <c r="F19" i="2"/>
  <c r="E19" i="2"/>
  <c r="D19" i="2"/>
  <c r="H18" i="2"/>
  <c r="S7" i="2" s="1"/>
  <c r="G18" i="2"/>
  <c r="R7" i="2" s="1"/>
  <c r="H17" i="2"/>
  <c r="G17" i="2"/>
  <c r="E17" i="2"/>
  <c r="D17" i="2"/>
  <c r="H16" i="2"/>
  <c r="G16" i="2"/>
  <c r="E16" i="2"/>
  <c r="D16" i="2"/>
  <c r="D18" i="2" s="1"/>
  <c r="L7" i="2" s="1"/>
  <c r="I15" i="2"/>
  <c r="I16" i="2" s="1"/>
  <c r="I17" i="2" s="1"/>
  <c r="H15" i="2"/>
  <c r="G15" i="2"/>
  <c r="F15" i="2"/>
  <c r="E15" i="2"/>
  <c r="E18" i="2" s="1"/>
  <c r="M7" i="2" s="1"/>
  <c r="D15" i="2"/>
  <c r="H14" i="2"/>
  <c r="S6" i="2" s="1"/>
  <c r="G14" i="2"/>
  <c r="R6" i="2" s="1"/>
  <c r="I13" i="2"/>
  <c r="H13" i="2"/>
  <c r="G13" i="2"/>
  <c r="E13" i="2"/>
  <c r="D13" i="2"/>
  <c r="I12" i="2"/>
  <c r="H12" i="2"/>
  <c r="G12" i="2"/>
  <c r="E12" i="2"/>
  <c r="D12" i="2"/>
  <c r="D14" i="2" s="1"/>
  <c r="L6" i="2" s="1"/>
  <c r="I11" i="2"/>
  <c r="I14" i="2" s="1"/>
  <c r="T6" i="2" s="1"/>
  <c r="H11" i="2"/>
  <c r="G11" i="2"/>
  <c r="F11" i="2"/>
  <c r="E11" i="2"/>
  <c r="E14" i="2" s="1"/>
  <c r="M6" i="2" s="1"/>
  <c r="D11" i="2"/>
  <c r="G10" i="2"/>
  <c r="R5" i="2" s="1"/>
  <c r="F10" i="2"/>
  <c r="N5" i="2" s="1"/>
  <c r="E10" i="2"/>
  <c r="M5" i="2" s="1"/>
  <c r="H9" i="2"/>
  <c r="G9" i="2"/>
  <c r="E9" i="2"/>
  <c r="D9" i="2"/>
  <c r="D10" i="2" s="1"/>
  <c r="L5" i="2" s="1"/>
  <c r="H8" i="2"/>
  <c r="I7" i="2"/>
  <c r="I8" i="2" s="1"/>
  <c r="H7" i="2"/>
  <c r="H10" i="2" s="1"/>
  <c r="S5" i="2" s="1"/>
  <c r="F6" i="2"/>
  <c r="N4" i="2" s="1"/>
  <c r="E6" i="2"/>
  <c r="M4" i="2" s="1"/>
  <c r="D6" i="2"/>
  <c r="L4" i="2" s="1"/>
  <c r="H5" i="2"/>
  <c r="G5" i="2"/>
  <c r="E5" i="2"/>
  <c r="D5" i="2"/>
  <c r="I4" i="2"/>
  <c r="H4" i="2"/>
  <c r="G4" i="2"/>
  <c r="E4" i="2"/>
  <c r="D4" i="2"/>
  <c r="I3" i="2"/>
  <c r="I6" i="2" s="1"/>
  <c r="T4" i="2" s="1"/>
  <c r="H3" i="2"/>
  <c r="H6" i="2" s="1"/>
  <c r="S4" i="2" s="1"/>
  <c r="G3" i="2"/>
  <c r="G6" i="2" s="1"/>
  <c r="R4" i="2" s="1"/>
  <c r="R10" i="2" s="1"/>
  <c r="E3" i="2"/>
  <c r="D3" i="2"/>
  <c r="M6" i="1"/>
  <c r="H26" i="1"/>
  <c r="S9" i="1" s="1"/>
  <c r="G26" i="1"/>
  <c r="R9" i="1" s="1"/>
  <c r="E18" i="1"/>
  <c r="M7" i="1" s="1"/>
  <c r="D18" i="1"/>
  <c r="L7" i="1" s="1"/>
  <c r="E26" i="1"/>
  <c r="M9" i="1" s="1"/>
  <c r="F26" i="1"/>
  <c r="N9" i="1" s="1"/>
  <c r="D22" i="1"/>
  <c r="L8" i="1" s="1"/>
  <c r="F18" i="1"/>
  <c r="N7" i="1" s="1"/>
  <c r="E6" i="1"/>
  <c r="M4" i="1" s="1"/>
  <c r="E10" i="1"/>
  <c r="M5" i="1" s="1"/>
  <c r="D10" i="1"/>
  <c r="L5" i="1" s="1"/>
  <c r="H10" i="1"/>
  <c r="S5" i="1" s="1"/>
  <c r="I14" i="1"/>
  <c r="T6" i="1" s="1"/>
  <c r="E14" i="1"/>
  <c r="D14" i="1"/>
  <c r="L6" i="1" s="1"/>
  <c r="G10" i="1"/>
  <c r="R5" i="1" s="1"/>
  <c r="F10" i="1"/>
  <c r="N5" i="1" s="1"/>
  <c r="F6" i="1"/>
  <c r="N4" i="1" s="1"/>
  <c r="D6" i="1"/>
  <c r="L4" i="1" s="1"/>
  <c r="T10" i="4" l="1"/>
  <c r="F22" i="4"/>
  <c r="N8" i="4" s="1"/>
  <c r="N10" i="4" s="1"/>
  <c r="H14" i="1"/>
  <c r="S6" i="1" s="1"/>
  <c r="G6" i="1"/>
  <c r="R4" i="1" s="1"/>
  <c r="R10" i="1" s="1"/>
  <c r="L10" i="1"/>
  <c r="M10" i="1"/>
  <c r="N10" i="1"/>
  <c r="F14" i="2"/>
  <c r="N6" i="2" s="1"/>
  <c r="L10" i="2"/>
  <c r="M10" i="2"/>
  <c r="I9" i="2"/>
  <c r="I10" i="2"/>
  <c r="T5" i="2" s="1"/>
  <c r="S10" i="2"/>
  <c r="T10" i="2"/>
  <c r="I18" i="2"/>
  <c r="T7" i="2" s="1"/>
  <c r="D26" i="2"/>
  <c r="L9" i="2" s="1"/>
  <c r="F12" i="2"/>
  <c r="F13" i="2" s="1"/>
  <c r="F16" i="2"/>
  <c r="F17" i="2" s="1"/>
  <c r="F20" i="2"/>
  <c r="F21" i="2" s="1"/>
  <c r="I22" i="2"/>
  <c r="T8" i="2" s="1"/>
  <c r="D26" i="1"/>
  <c r="L9" i="1" s="1"/>
  <c r="I26" i="1"/>
  <c r="T9" i="1" s="1"/>
  <c r="H22" i="1"/>
  <c r="S8" i="1" s="1"/>
  <c r="E22" i="1"/>
  <c r="M8" i="1" s="1"/>
  <c r="I18" i="1"/>
  <c r="T7" i="1" s="1"/>
  <c r="H6" i="1"/>
  <c r="S4" i="1" s="1"/>
  <c r="I10" i="1"/>
  <c r="T5" i="1" s="1"/>
  <c r="I6" i="1"/>
  <c r="T4" i="1" s="1"/>
  <c r="S10" i="1" l="1"/>
  <c r="T10" i="1"/>
  <c r="N10" i="2"/>
  <c r="F22" i="2"/>
  <c r="N8" i="2" s="1"/>
  <c r="F18" i="2"/>
  <c r="N7" i="2" s="1"/>
</calcChain>
</file>

<file path=xl/sharedStrings.xml><?xml version="1.0" encoding="utf-8"?>
<sst xmlns="http://schemas.openxmlformats.org/spreadsheetml/2006/main" count="120" uniqueCount="17">
  <si>
    <t>Trial</t>
  </si>
  <si>
    <t>Time Delay (s)</t>
  </si>
  <si>
    <t>time constant (s)</t>
  </si>
  <si>
    <t>Gain(s)</t>
  </si>
  <si>
    <t>Step Change in RF</t>
  </si>
  <si>
    <t>g11</t>
  </si>
  <si>
    <t>g21</t>
  </si>
  <si>
    <t>av</t>
  </si>
  <si>
    <t>1*</t>
  </si>
  <si>
    <t>* Repeated</t>
  </si>
  <si>
    <t>Step Change</t>
  </si>
  <si>
    <t>overall average</t>
  </si>
  <si>
    <t>g12</t>
  </si>
  <si>
    <t>g22</t>
  </si>
  <si>
    <t>Step Change in RIT</t>
  </si>
  <si>
    <t>gd11</t>
  </si>
  <si>
    <t>gd21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</si>
</sst>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0" xfId="0" applyNumberFormat="1" applyBorder="1"/>
    <xf numFmtId="2" fontId="0" fillId="0" borderId="6" xfId="0" applyNumberFormat="1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0" xfId="0" applyNumberFormat="1" applyFill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5" xfId="0" applyNumberFormat="1" applyFill="1" applyBorder="1"/>
    <xf numFmtId="164" fontId="0" fillId="0" borderId="6" xfId="0" applyNumberFormat="1" applyBorder="1"/>
    <xf numFmtId="0" fontId="1" fillId="0" borderId="13" xfId="0" applyFont="1" applyBorder="1" applyAlignment="1">
      <alignment horizontal="right"/>
    </xf>
    <xf numFmtId="164" fontId="1" fillId="0" borderId="14" xfId="0" applyNumberFormat="1" applyFont="1" applyBorder="1"/>
    <xf numFmtId="164" fontId="1" fillId="0" borderId="13" xfId="0" applyNumberFormat="1" applyFont="1" applyBorder="1"/>
    <xf numFmtId="164" fontId="1" fillId="0" borderId="12" xfId="0" applyNumberFormat="1" applyFont="1" applyBorder="1"/>
    <xf numFmtId="0" fontId="1" fillId="0" borderId="12" xfId="0" applyFont="1" applyBorder="1"/>
    <xf numFmtId="0" fontId="0" fillId="0" borderId="15" xfId="0" applyBorder="1"/>
    <xf numFmtId="0" fontId="0" fillId="0" borderId="16" xfId="0" applyBorder="1"/>
    <xf numFmtId="0" fontId="0" fillId="0" borderId="1" xfId="0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'RF Step Tests'!$L$3</c:f>
              <c:strCache>
                <c:ptCount val="1"/>
                <c:pt idx="0">
                  <c:v>Time Delay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1485498687664042"/>
                  <c:y val="8.28022018081073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'RF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'RF Step Tests'!$L$4:$L$9</c:f>
              <c:numCache>
                <c:formatCode>0.000</c:formatCode>
                <c:ptCount val="6"/>
                <c:pt idx="0">
                  <c:v>4.3313725490196076</c:v>
                </c:pt>
                <c:pt idx="1">
                  <c:v>4.4760674157303368</c:v>
                </c:pt>
                <c:pt idx="2">
                  <c:v>4.1769293924466337</c:v>
                </c:pt>
                <c:pt idx="3">
                  <c:v>3.8710837900656174</c:v>
                </c:pt>
                <c:pt idx="4">
                  <c:v>3.9316624625180023</c:v>
                </c:pt>
                <c:pt idx="5">
                  <c:v>5.8064516129032251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39-4F4A-B6FE-496D3403DEAF}"/>
            </c:ext>
          </c:extLst>
        </c:ser>
        <c:ser>
          <c:idx val="1"/>
          <c:order val="1"/>
          <c:tx>
            <c:strRef>
              <c:f>'RF Step Tests'!$M$3</c:f>
              <c:strCache>
                <c:ptCount val="1"/>
                <c:pt idx="0">
                  <c:v>time constant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1.8841207349081363E-2"/>
                  <c:y val="-0.43842082239720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'RF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'RF Step Tests'!$M$4:$M$9</c:f>
              <c:numCache>
                <c:formatCode>0.000</c:formatCode>
                <c:ptCount val="6"/>
                <c:pt idx="0">
                  <c:v>4.3352941176470594</c:v>
                </c:pt>
                <c:pt idx="1">
                  <c:v>3.748801498127341</c:v>
                </c:pt>
                <c:pt idx="2">
                  <c:v>4.231663929939792</c:v>
                </c:pt>
                <c:pt idx="3">
                  <c:v>8.2768427614149918</c:v>
                </c:pt>
                <c:pt idx="4">
                  <c:v>9.8704270250553563</c:v>
                </c:pt>
                <c:pt idx="5">
                  <c:v>6.4283154121863797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39-4F4A-B6FE-496D3403DEAF}"/>
            </c:ext>
          </c:extLst>
        </c:ser>
        <c:ser>
          <c:idx val="2"/>
          <c:order val="2"/>
          <c:tx>
            <c:strRef>
              <c:f>'RF Step Tests'!$N$3</c:f>
              <c:strCache>
                <c:ptCount val="1"/>
                <c:pt idx="0">
                  <c:v>Gain(s)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'RF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'RF Step Tests'!$N$4:$N$9</c:f>
              <c:numCache>
                <c:formatCode>0.000</c:formatCode>
                <c:ptCount val="6"/>
                <c:pt idx="0">
                  <c:v>0.93333333333333324</c:v>
                </c:pt>
                <c:pt idx="1">
                  <c:v>0.94999999999999984</c:v>
                </c:pt>
                <c:pt idx="2">
                  <c:v>0.96666666666666667</c:v>
                </c:pt>
                <c:pt idx="3">
                  <c:v>1.05</c:v>
                </c:pt>
                <c:pt idx="4">
                  <c:v>1.05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39-4F4A-B6FE-496D3403D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34848"/>
        <c:axId val="575534192"/>
      </c:scatterChart>
      <c:valAx>
        <c:axId val="5755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192"/>
        <c:crosses val="autoZero"/>
        <c:crossBetween val="midCat"/>
      </c:valAx>
      <c:valAx>
        <c:axId val="5755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'RF Step Tests'!$R$3</c:f>
              <c:strCache>
                <c:ptCount val="1"/>
                <c:pt idx="0">
                  <c:v>Time Delay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'RF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'RF Step Tests'!$R$4:$R$9</c:f>
              <c:numCache>
                <c:formatCode>0.000</c:formatCode>
                <c:ptCount val="6"/>
                <c:pt idx="0">
                  <c:v>3.7705215419501137</c:v>
                </c:pt>
                <c:pt idx="1">
                  <c:v>3.7855149812734079</c:v>
                </c:pt>
                <c:pt idx="2">
                  <c:v>3.6863830803639281</c:v>
                </c:pt>
                <c:pt idx="3">
                  <c:v>4.4564789270259118</c:v>
                </c:pt>
                <c:pt idx="4">
                  <c:v>5.1087084958052698</c:v>
                </c:pt>
                <c:pt idx="5">
                  <c:v>5.7694145758661888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E-4A3B-AFE2-D4187811AC46}"/>
            </c:ext>
          </c:extLst>
        </c:ser>
        <c:ser>
          <c:idx val="1"/>
          <c:order val="1"/>
          <c:tx>
            <c:strRef>
              <c:f>'RF Step Tests'!$S$3</c:f>
              <c:strCache>
                <c:ptCount val="1"/>
                <c:pt idx="0">
                  <c:v>time constant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'RF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'RF Step Tests'!$S$4:$S$9</c:f>
              <c:numCache>
                <c:formatCode>0.000</c:formatCode>
                <c:ptCount val="6"/>
                <c:pt idx="0">
                  <c:v>7.201360544217688</c:v>
                </c:pt>
                <c:pt idx="1">
                  <c:v>5.3810479247878931</c:v>
                </c:pt>
                <c:pt idx="2">
                  <c:v>5.1358923414326974</c:v>
                </c:pt>
                <c:pt idx="3">
                  <c:v>6.4328590608394256</c:v>
                </c:pt>
                <c:pt idx="4">
                  <c:v>5.4959693830661562</c:v>
                </c:pt>
                <c:pt idx="5">
                  <c:v>5.8052568697729994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CE-4A3B-AFE2-D4187811AC46}"/>
            </c:ext>
          </c:extLst>
        </c:ser>
        <c:ser>
          <c:idx val="2"/>
          <c:order val="2"/>
          <c:tx>
            <c:strRef>
              <c:f>'RF Step Tests'!$T$3</c:f>
              <c:strCache>
                <c:ptCount val="1"/>
                <c:pt idx="0">
                  <c:v>Gain(s)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'RF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'RF Step Tests'!$T$4:$T$9</c:f>
              <c:numCache>
                <c:formatCode>0.000</c:formatCode>
                <c:ptCount val="6"/>
                <c:pt idx="0">
                  <c:v>0.6</c:v>
                </c:pt>
                <c:pt idx="1">
                  <c:v>0.625</c:v>
                </c:pt>
                <c:pt idx="2">
                  <c:v>0.6166666666666667</c:v>
                </c:pt>
                <c:pt idx="3">
                  <c:v>0.69999999999999984</c:v>
                </c:pt>
                <c:pt idx="4">
                  <c:v>0.72499999999999998</c:v>
                </c:pt>
                <c:pt idx="5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CE-4A3B-AFE2-D4187811A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34848"/>
        <c:axId val="575534192"/>
      </c:scatterChart>
      <c:valAx>
        <c:axId val="5755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192"/>
        <c:crosses val="autoZero"/>
        <c:crossBetween val="midCat"/>
      </c:valAx>
      <c:valAx>
        <c:axId val="5755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'CF Step Tests'!$L$3</c:f>
              <c:strCache>
                <c:ptCount val="1"/>
                <c:pt idx="0">
                  <c:v>Time Delay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1485498687664042"/>
                  <c:y val="8.28022018081073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'CF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'CF Step Tests'!$L$4:$L$9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1-4F66-8BEC-3AF4630CDA4D}"/>
            </c:ext>
          </c:extLst>
        </c:ser>
        <c:ser>
          <c:idx val="1"/>
          <c:order val="1"/>
          <c:tx>
            <c:strRef>
              <c:f>'CF Step Tests'!$M$3</c:f>
              <c:strCache>
                <c:ptCount val="1"/>
                <c:pt idx="0">
                  <c:v>time constant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1.8841207349081363E-2"/>
                  <c:y val="-0.43842082239720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'CF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'CF Step Tests'!$M$4:$M$9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1-4F66-8BEC-3AF4630CDA4D}"/>
            </c:ext>
          </c:extLst>
        </c:ser>
        <c:ser>
          <c:idx val="2"/>
          <c:order val="2"/>
          <c:tx>
            <c:strRef>
              <c:f>'CF Step Tests'!$N$3</c:f>
              <c:strCache>
                <c:ptCount val="1"/>
                <c:pt idx="0">
                  <c:v>Gain(s)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'CF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'CF Step Tests'!$N$4:$N$9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31-4F66-8BEC-3AF4630CD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34848"/>
        <c:axId val="575534192"/>
      </c:scatterChart>
      <c:valAx>
        <c:axId val="5755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192"/>
        <c:crosses val="autoZero"/>
        <c:crossBetween val="midCat"/>
      </c:valAx>
      <c:valAx>
        <c:axId val="5755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'CF Step Tests'!$R$3</c:f>
              <c:strCache>
                <c:ptCount val="1"/>
                <c:pt idx="0">
                  <c:v>Time Delay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'CF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'CF Step Tests'!$R$4:$R$9</c:f>
              <c:numCache>
                <c:formatCode>0.000</c:formatCode>
                <c:ptCount val="6"/>
                <c:pt idx="0">
                  <c:v>3.8931623931623935</c:v>
                </c:pt>
                <c:pt idx="1">
                  <c:v>4.2153784219001613</c:v>
                </c:pt>
                <c:pt idx="2">
                  <c:v>4.2028985507246377</c:v>
                </c:pt>
                <c:pt idx="3">
                  <c:v>4.3478260869565224</c:v>
                </c:pt>
                <c:pt idx="4">
                  <c:v>4.11231884057971</c:v>
                </c:pt>
                <c:pt idx="5">
                  <c:v>4.2210144927536231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1-4F66-8BEC-3AF4630CDA4D}"/>
            </c:ext>
          </c:extLst>
        </c:ser>
        <c:ser>
          <c:idx val="1"/>
          <c:order val="1"/>
          <c:tx>
            <c:strRef>
              <c:f>'CF Step Tests'!$S$3</c:f>
              <c:strCache>
                <c:ptCount val="1"/>
                <c:pt idx="0">
                  <c:v>time constant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'CF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'CF Step Tests'!$S$4:$S$9</c:f>
              <c:numCache>
                <c:formatCode>0.000</c:formatCode>
                <c:ptCount val="6"/>
                <c:pt idx="0">
                  <c:v>3.1532356532356531</c:v>
                </c:pt>
                <c:pt idx="1">
                  <c:v>2.7226247987117556</c:v>
                </c:pt>
                <c:pt idx="2">
                  <c:v>2.2101449275362319</c:v>
                </c:pt>
                <c:pt idx="3">
                  <c:v>3.5054347826086958</c:v>
                </c:pt>
                <c:pt idx="4">
                  <c:v>3.3876811594202905</c:v>
                </c:pt>
                <c:pt idx="5">
                  <c:v>2.7173913043478262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1-4F66-8BEC-3AF4630CDA4D}"/>
            </c:ext>
          </c:extLst>
        </c:ser>
        <c:ser>
          <c:idx val="2"/>
          <c:order val="2"/>
          <c:tx>
            <c:strRef>
              <c:f>'CF Step Tests'!$T$3</c:f>
              <c:strCache>
                <c:ptCount val="1"/>
                <c:pt idx="0">
                  <c:v>Gain(s)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'CF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'CF Step Tests'!$T$4:$T$9</c:f>
              <c:numCache>
                <c:formatCode>0.000</c:formatCode>
                <c:ptCount val="6"/>
                <c:pt idx="0">
                  <c:v>-0.15</c:v>
                </c:pt>
                <c:pt idx="1">
                  <c:v>-0.15</c:v>
                </c:pt>
                <c:pt idx="2">
                  <c:v>-0.13333333333333333</c:v>
                </c:pt>
                <c:pt idx="3">
                  <c:v>-0.13833333333333334</c:v>
                </c:pt>
                <c:pt idx="4">
                  <c:v>-0.125</c:v>
                </c:pt>
                <c:pt idx="5">
                  <c:v>-0.13333333333333333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31-4F66-8BEC-3AF4630CD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34848"/>
        <c:axId val="575534192"/>
      </c:scatterChart>
      <c:valAx>
        <c:axId val="5755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192"/>
        <c:crosses val="autoZero"/>
        <c:crossBetween val="midCat"/>
      </c:valAx>
      <c:valAx>
        <c:axId val="5755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'RIT Step Tests'!$L$3</c:f>
              <c:strCache>
                <c:ptCount val="1"/>
                <c:pt idx="0">
                  <c:v>Time Delay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1485498687664042"/>
                  <c:y val="8.28022018081073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'RIT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'RIT Step Tests'!$L$4:$L$9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54-4F4A-A531-14EF44FAA456}"/>
            </c:ext>
          </c:extLst>
        </c:ser>
        <c:ser>
          <c:idx val="1"/>
          <c:order val="1"/>
          <c:tx>
            <c:strRef>
              <c:f>'RIT Step Tests'!$M$3</c:f>
              <c:strCache>
                <c:ptCount val="1"/>
                <c:pt idx="0">
                  <c:v>time constant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1.8841207349081363E-2"/>
                  <c:y val="-0.43842082239720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'RIT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'RIT Step Tests'!$M$4:$M$9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54-4F4A-A531-14EF44FAA456}"/>
            </c:ext>
          </c:extLst>
        </c:ser>
        <c:ser>
          <c:idx val="2"/>
          <c:order val="2"/>
          <c:tx>
            <c:strRef>
              <c:f>'RIT Step Tests'!$N$3</c:f>
              <c:strCache>
                <c:ptCount val="1"/>
                <c:pt idx="0">
                  <c:v>Gain(s)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'RIT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'RIT Step Tests'!$N$4:$N$9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54-4F4A-A531-14EF44FAA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34848"/>
        <c:axId val="575534192"/>
      </c:scatterChart>
      <c:valAx>
        <c:axId val="5755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192"/>
        <c:crosses val="autoZero"/>
        <c:crossBetween val="midCat"/>
      </c:valAx>
      <c:valAx>
        <c:axId val="5755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'RIT Step Tests'!$R$3</c:f>
              <c:strCache>
                <c:ptCount val="1"/>
                <c:pt idx="0">
                  <c:v>Time Delay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'RIT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'RIT Step Tests'!$R$4:$R$9</c:f>
              <c:numCache>
                <c:formatCode>0.000</c:formatCode>
                <c:ptCount val="6"/>
                <c:pt idx="0">
                  <c:v>4.2125000000000004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F9-4708-A4D4-F4ED7F6A0F5F}"/>
            </c:ext>
          </c:extLst>
        </c:ser>
        <c:ser>
          <c:idx val="1"/>
          <c:order val="1"/>
          <c:tx>
            <c:strRef>
              <c:f>'RIT Step Tests'!$S$3</c:f>
              <c:strCache>
                <c:ptCount val="1"/>
                <c:pt idx="0">
                  <c:v>time constant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'RIT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'RIT Step Tests'!$S$4:$S$9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F9-4708-A4D4-F4ED7F6A0F5F}"/>
            </c:ext>
          </c:extLst>
        </c:ser>
        <c:ser>
          <c:idx val="2"/>
          <c:order val="2"/>
          <c:tx>
            <c:strRef>
              <c:f>'RIT Step Tests'!$T$3</c:f>
              <c:strCache>
                <c:ptCount val="1"/>
                <c:pt idx="0">
                  <c:v>Gain(s)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'RIT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'RIT Step Tests'!$T$4:$T$9</c:f>
              <c:numCache>
                <c:formatCode>0.000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0.26666666666666666</c:v>
                </c:pt>
                <c:pt idx="3">
                  <c:v>0.25</c:v>
                </c:pt>
                <c:pt idx="4">
                  <c:v>0.22500000000000001</c:v>
                </c:pt>
                <c:pt idx="5">
                  <c:v>0.21666666666666667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F9-4708-A4D4-F4ED7F6A0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34848"/>
        <c:axId val="575534192"/>
      </c:scatterChart>
      <c:valAx>
        <c:axId val="5755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192"/>
        <c:crosses val="autoZero"/>
        <c:crossBetween val="midCat"/>
      </c:valAx>
      <c:valAx>
        <c:axId val="5755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'CIT Step Tests'!$L$3</c:f>
              <c:strCache>
                <c:ptCount val="1"/>
                <c:pt idx="0">
                  <c:v>Time Delay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1485498687664042"/>
                  <c:y val="8.28022018081073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'CIT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'CIT Step Tests'!$L$4:$L$9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7D-42A7-94FB-DC58F54FF124}"/>
            </c:ext>
          </c:extLst>
        </c:ser>
        <c:ser>
          <c:idx val="1"/>
          <c:order val="1"/>
          <c:tx>
            <c:strRef>
              <c:f>'CIT Step Tests'!$M$3</c:f>
              <c:strCache>
                <c:ptCount val="1"/>
                <c:pt idx="0">
                  <c:v>time constant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1.8841207349081363E-2"/>
                  <c:y val="-0.43842082239720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'CIT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'CIT Step Tests'!$M$4:$M$9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7D-42A7-94FB-DC58F54FF124}"/>
            </c:ext>
          </c:extLst>
        </c:ser>
        <c:ser>
          <c:idx val="2"/>
          <c:order val="2"/>
          <c:tx>
            <c:strRef>
              <c:f>'CIT Step Tests'!$N$3</c:f>
              <c:strCache>
                <c:ptCount val="1"/>
                <c:pt idx="0">
                  <c:v>Gain(s)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'CIT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'CIT Step Tests'!$N$4:$N$9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7D-42A7-94FB-DC58F54FF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34848"/>
        <c:axId val="575534192"/>
      </c:scatterChart>
      <c:valAx>
        <c:axId val="5755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192"/>
        <c:crosses val="autoZero"/>
        <c:crossBetween val="midCat"/>
      </c:valAx>
      <c:valAx>
        <c:axId val="5755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'CIT Step Tests'!$R$3</c:f>
              <c:strCache>
                <c:ptCount val="1"/>
                <c:pt idx="0">
                  <c:v>Time Delay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'CIT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'CIT Step Tests'!$R$4:$R$9</c:f>
              <c:numCache>
                <c:formatCode>0.000</c:formatCode>
                <c:ptCount val="6"/>
                <c:pt idx="0">
                  <c:v>4.2125000000000004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9-4E5A-9BFE-BC2A0DA71F26}"/>
            </c:ext>
          </c:extLst>
        </c:ser>
        <c:ser>
          <c:idx val="1"/>
          <c:order val="1"/>
          <c:tx>
            <c:strRef>
              <c:f>'CIT Step Tests'!$S$3</c:f>
              <c:strCache>
                <c:ptCount val="1"/>
                <c:pt idx="0">
                  <c:v>time constant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'CIT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'CIT Step Tests'!$S$4:$S$9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19-4E5A-9BFE-BC2A0DA71F26}"/>
            </c:ext>
          </c:extLst>
        </c:ser>
        <c:ser>
          <c:idx val="2"/>
          <c:order val="2"/>
          <c:tx>
            <c:strRef>
              <c:f>'CIT Step Tests'!$T$3</c:f>
              <c:strCache>
                <c:ptCount val="1"/>
                <c:pt idx="0">
                  <c:v>Gain(s)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'CIT Step Tests'!$K$4:$K$9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-10</c:v>
                </c:pt>
                <c:pt idx="4">
                  <c:v>-20</c:v>
                </c:pt>
                <c:pt idx="5">
                  <c:v>-30</c:v>
                </c:pt>
              </c:numCache>
            </c:numRef>
          </c:xVal>
          <c:yVal>
            <c:numRef>
              <c:f>'CIT Step Tests'!$T$4:$T$9</c:f>
              <c:numCache>
                <c:formatCode>0.000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0.81666666666666665</c:v>
                </c:pt>
                <c:pt idx="3">
                  <c:v>0.8</c:v>
                </c:pt>
                <c:pt idx="4">
                  <c:v>0.83750000000000002</c:v>
                </c:pt>
                <c:pt idx="5">
                  <c:v>0.83333333333333337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19-4E5A-9BFE-BC2A0DA7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34848"/>
        <c:axId val="575534192"/>
      </c:scatterChart>
      <c:valAx>
        <c:axId val="5755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192"/>
        <c:crosses val="autoZero"/>
        <c:crossBetween val="midCat"/>
      </c:valAx>
      <c:valAx>
        <c:axId val="5755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606425</xdr:colOff>
      <xdr:row>11</xdr:row>
      <xdr:rowOff>9525</xdr:rowOff>
    </xdr:from>
    <xdr:to>
      <xdr:col>15</xdr:col>
      <xdr:colOff>498475</xdr:colOff>
      <xdr:row>25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E228E8-AE0C-45F8-8F20-220A7B4D8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34925</xdr:colOff>
      <xdr:row>11</xdr:row>
      <xdr:rowOff>15875</xdr:rowOff>
    </xdr:from>
    <xdr:to>
      <xdr:col>23</xdr:col>
      <xdr:colOff>339725</xdr:colOff>
      <xdr:row>25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882366-227D-481B-8D58-A983CCF19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606425</xdr:colOff>
      <xdr:row>11</xdr:row>
      <xdr:rowOff>9525</xdr:rowOff>
    </xdr:from>
    <xdr:to>
      <xdr:col>15</xdr:col>
      <xdr:colOff>498475</xdr:colOff>
      <xdr:row>25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6505D-132B-425C-B726-980D1A218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34925</xdr:colOff>
      <xdr:row>11</xdr:row>
      <xdr:rowOff>15875</xdr:rowOff>
    </xdr:from>
    <xdr:to>
      <xdr:col>23</xdr:col>
      <xdr:colOff>339725</xdr:colOff>
      <xdr:row>25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0FDD1D-93E1-4CCD-9813-A1FB57020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606425</xdr:colOff>
      <xdr:row>11</xdr:row>
      <xdr:rowOff>9525</xdr:rowOff>
    </xdr:from>
    <xdr:to>
      <xdr:col>15</xdr:col>
      <xdr:colOff>498475</xdr:colOff>
      <xdr:row>25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3B3D5-91CF-4E73-AE19-71890E85C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34925</xdr:colOff>
      <xdr:row>11</xdr:row>
      <xdr:rowOff>15875</xdr:rowOff>
    </xdr:from>
    <xdr:to>
      <xdr:col>23</xdr:col>
      <xdr:colOff>339725</xdr:colOff>
      <xdr:row>25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B94406-B01F-43AF-BC8F-ECDF8AC29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606425</xdr:colOff>
      <xdr:row>11</xdr:row>
      <xdr:rowOff>9525</xdr:rowOff>
    </xdr:from>
    <xdr:to>
      <xdr:col>15</xdr:col>
      <xdr:colOff>498475</xdr:colOff>
      <xdr:row>25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3CBCF-C341-418A-8776-AB21255D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34925</xdr:colOff>
      <xdr:row>11</xdr:row>
      <xdr:rowOff>15875</xdr:rowOff>
    </xdr:from>
    <xdr:to>
      <xdr:col>23</xdr:col>
      <xdr:colOff>339725</xdr:colOff>
      <xdr:row>25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D047C8-97C4-4288-A7E2-BD9835A60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87F79-D790-42C8-83EC-DB929CCE3540}">
  <dimension ref="B1:T27"/>
  <sheetViews>
    <sheetView topLeftCell="A8" zoomScaleNormal="100" workbookViewId="0">
      <selection activeCell="B1" sqref="B1:I26"/>
    </sheetView>
  </sheetViews>
  <sheetFormatPr defaultRowHeight="14.5" x14ac:dyDescent="0.35"/>
  <cols>
    <col min="2" max="2" width="16.90625" customWidth="1"/>
    <col min="3" max="3" width="4.90625" customWidth="1"/>
    <col min="4" max="4" width="12.90625" customWidth="1"/>
    <col min="5" max="5" width="15.08984375" customWidth="1"/>
    <col min="6" max="6" width="10.36328125" bestFit="1" customWidth="1"/>
    <col min="7" max="7" width="12.36328125" customWidth="1"/>
    <col min="8" max="8" width="15.08984375" customWidth="1"/>
    <col min="9" max="9" width="10.36328125" bestFit="1" customWidth="1"/>
    <col min="11" max="11" width="13.453125" customWidth="1"/>
    <col min="12" max="12" width="12.54296875" customWidth="1"/>
    <col min="13" max="13" width="14.81640625" customWidth="1"/>
  </cols>
  <sheetData>
    <row r="1" spans="2:20" ht="15" thickBot="1" x14ac:dyDescent="0.4">
      <c r="B1" s="1"/>
      <c r="C1" s="2"/>
      <c r="D1" s="37" t="s">
        <v>5</v>
      </c>
      <c r="E1" s="38"/>
      <c r="F1" s="39"/>
      <c r="G1" s="38" t="s">
        <v>6</v>
      </c>
      <c r="H1" s="38"/>
      <c r="I1" s="39"/>
    </row>
    <row r="2" spans="2:20" ht="15" thickBot="1" x14ac:dyDescent="0.4">
      <c r="B2" s="6" t="s">
        <v>4</v>
      </c>
      <c r="C2" s="4" t="s">
        <v>0</v>
      </c>
      <c r="D2" s="6" t="s">
        <v>1</v>
      </c>
      <c r="E2" s="4" t="s">
        <v>2</v>
      </c>
      <c r="F2" s="5" t="s">
        <v>3</v>
      </c>
      <c r="G2" s="4" t="s">
        <v>1</v>
      </c>
      <c r="H2" s="4" t="s">
        <v>2</v>
      </c>
      <c r="I2" s="5" t="s">
        <v>3</v>
      </c>
      <c r="K2" s="31"/>
      <c r="L2" s="40" t="s">
        <v>5</v>
      </c>
      <c r="M2" s="40"/>
      <c r="N2" s="41"/>
      <c r="Q2" s="31"/>
      <c r="R2" s="40" t="s">
        <v>6</v>
      </c>
      <c r="S2" s="40"/>
      <c r="T2" s="41"/>
    </row>
    <row r="3" spans="2:20" ht="15" thickBot="1" x14ac:dyDescent="0.4">
      <c r="B3" s="36">
        <v>10</v>
      </c>
      <c r="C3" s="9" t="s">
        <v>8</v>
      </c>
      <c r="D3" s="10">
        <f>(87/100)*5</f>
        <v>4.3499999999999996</v>
      </c>
      <c r="E3" s="11">
        <f>(87/100)*5</f>
        <v>4.3499999999999996</v>
      </c>
      <c r="F3" s="12">
        <v>1</v>
      </c>
      <c r="G3" s="10">
        <f>0.73*5</f>
        <v>3.65</v>
      </c>
      <c r="H3" s="11">
        <f>1.53*5</f>
        <v>7.65</v>
      </c>
      <c r="I3" s="12">
        <f>(673-667)/10</f>
        <v>0.6</v>
      </c>
      <c r="K3" s="29" t="s">
        <v>10</v>
      </c>
      <c r="L3" s="4" t="s">
        <v>1</v>
      </c>
      <c r="M3" s="4" t="s">
        <v>2</v>
      </c>
      <c r="N3" s="5" t="s">
        <v>3</v>
      </c>
      <c r="Q3" s="29" t="s">
        <v>10</v>
      </c>
      <c r="R3" s="4" t="s">
        <v>1</v>
      </c>
      <c r="S3" s="4" t="s">
        <v>2</v>
      </c>
      <c r="T3" s="5" t="s">
        <v>3</v>
      </c>
    </row>
    <row r="4" spans="2:20" x14ac:dyDescent="0.35">
      <c r="B4" s="34"/>
      <c r="C4" s="8">
        <v>2</v>
      </c>
      <c r="D4" s="13">
        <f>5*0.87</f>
        <v>4.3499999999999996</v>
      </c>
      <c r="E4" s="14">
        <f>5*0.79</f>
        <v>3.95</v>
      </c>
      <c r="F4" s="15">
        <v>0.9</v>
      </c>
      <c r="G4" s="13">
        <f>(72/98)*5</f>
        <v>3.6734693877551021</v>
      </c>
      <c r="H4" s="14">
        <f>(137/98)*5</f>
        <v>6.9897959183673475</v>
      </c>
      <c r="I4" s="15">
        <f>(673-667)/10</f>
        <v>0.6</v>
      </c>
      <c r="K4" s="30">
        <v>10</v>
      </c>
      <c r="L4" s="17">
        <f>D6</f>
        <v>4.3313725490196076</v>
      </c>
      <c r="M4" s="17">
        <f>E6</f>
        <v>4.3352941176470594</v>
      </c>
      <c r="N4" s="23">
        <f>F6</f>
        <v>0.93333333333333324</v>
      </c>
      <c r="Q4" s="30">
        <v>10</v>
      </c>
      <c r="R4" s="17">
        <f>G6</f>
        <v>3.7705215419501137</v>
      </c>
      <c r="S4" s="17">
        <f>H6</f>
        <v>7.201360544217688</v>
      </c>
      <c r="T4" s="23">
        <f>I6</f>
        <v>0.6</v>
      </c>
    </row>
    <row r="5" spans="2:20" x14ac:dyDescent="0.35">
      <c r="B5" s="34"/>
      <c r="C5" s="8">
        <v>3</v>
      </c>
      <c r="D5" s="13">
        <f>(73/85)*5</f>
        <v>4.2941176470588234</v>
      </c>
      <c r="E5" s="14">
        <f>(80/85)*5</f>
        <v>4.7058823529411766</v>
      </c>
      <c r="F5" s="15">
        <v>0.9</v>
      </c>
      <c r="G5" s="13">
        <f>(67/84)*5</f>
        <v>3.9880952380952381</v>
      </c>
      <c r="H5" s="14">
        <f>(117/84)*5</f>
        <v>6.9642857142857135</v>
      </c>
      <c r="I5" s="15">
        <v>0.6</v>
      </c>
      <c r="K5" s="30">
        <v>20</v>
      </c>
      <c r="L5" s="17">
        <f>D10</f>
        <v>4.4760674157303368</v>
      </c>
      <c r="M5" s="17">
        <f>E10</f>
        <v>3.748801498127341</v>
      </c>
      <c r="N5" s="23">
        <f>F10</f>
        <v>0.94999999999999984</v>
      </c>
      <c r="Q5" s="30">
        <v>20</v>
      </c>
      <c r="R5" s="17">
        <f>G10</f>
        <v>3.7855149812734079</v>
      </c>
      <c r="S5" s="17">
        <f>H10</f>
        <v>5.3810479247878931</v>
      </c>
      <c r="T5" s="23">
        <f>I10</f>
        <v>0.625</v>
      </c>
    </row>
    <row r="6" spans="2:20" ht="15" thickBot="1" x14ac:dyDescent="0.4">
      <c r="B6" s="35"/>
      <c r="C6" s="24" t="s">
        <v>7</v>
      </c>
      <c r="D6" s="25">
        <f>AVERAGE(D3:D5)</f>
        <v>4.3313725490196076</v>
      </c>
      <c r="E6" s="26">
        <f t="shared" ref="E6:I6" si="0">AVERAGE(E3:E5)</f>
        <v>4.3352941176470594</v>
      </c>
      <c r="F6" s="27">
        <f t="shared" si="0"/>
        <v>0.93333333333333324</v>
      </c>
      <c r="G6" s="25">
        <f t="shared" si="0"/>
        <v>3.7705215419501137</v>
      </c>
      <c r="H6" s="26">
        <f t="shared" si="0"/>
        <v>7.201360544217688</v>
      </c>
      <c r="I6" s="27">
        <f t="shared" si="0"/>
        <v>0.6</v>
      </c>
      <c r="K6" s="30">
        <v>30</v>
      </c>
      <c r="L6" s="17">
        <f>D14</f>
        <v>4.1769293924466337</v>
      </c>
      <c r="M6" s="17">
        <f>E14</f>
        <v>4.231663929939792</v>
      </c>
      <c r="N6" s="23">
        <f>F14</f>
        <v>0.96666666666666667</v>
      </c>
      <c r="Q6" s="30">
        <v>30</v>
      </c>
      <c r="R6" s="17">
        <f>G14</f>
        <v>3.6863830803639281</v>
      </c>
      <c r="S6" s="17">
        <f>H14</f>
        <v>5.1358923414326974</v>
      </c>
      <c r="T6" s="23">
        <f>I14</f>
        <v>0.6166666666666667</v>
      </c>
    </row>
    <row r="7" spans="2:20" x14ac:dyDescent="0.35">
      <c r="B7" s="36">
        <v>20</v>
      </c>
      <c r="C7" s="9">
        <v>1</v>
      </c>
      <c r="D7" s="20">
        <v>4.49</v>
      </c>
      <c r="E7" s="18">
        <v>3.62</v>
      </c>
      <c r="F7" s="21">
        <v>0.95</v>
      </c>
      <c r="G7" s="18">
        <v>3.78</v>
      </c>
      <c r="H7" s="18">
        <f>(110/98)*5</f>
        <v>5.612244897959183</v>
      </c>
      <c r="I7" s="7">
        <f>(679.5-667)/20</f>
        <v>0.625</v>
      </c>
      <c r="K7" s="30">
        <v>-10</v>
      </c>
      <c r="L7" s="17">
        <f>D18</f>
        <v>3.8710837900656174</v>
      </c>
      <c r="M7" s="17">
        <f>E18</f>
        <v>8.2768427614149918</v>
      </c>
      <c r="N7" s="23">
        <f>F18</f>
        <v>1.05</v>
      </c>
      <c r="Q7" s="30">
        <v>-10</v>
      </c>
      <c r="R7" s="17">
        <f>G18</f>
        <v>4.4564789270259118</v>
      </c>
      <c r="S7" s="17">
        <f>H18</f>
        <v>6.4328590608394256</v>
      </c>
      <c r="T7" s="23">
        <f>I18</f>
        <v>0.69999999999999984</v>
      </c>
    </row>
    <row r="8" spans="2:20" x14ac:dyDescent="0.35">
      <c r="B8" s="34"/>
      <c r="C8" s="8">
        <v>2</v>
      </c>
      <c r="D8" s="22">
        <v>4.5</v>
      </c>
      <c r="E8" s="19">
        <v>3.75</v>
      </c>
      <c r="F8" s="23">
        <v>0.95</v>
      </c>
      <c r="G8" s="16">
        <v>3.8125</v>
      </c>
      <c r="H8" s="19">
        <f>(84/80)*5</f>
        <v>5.25</v>
      </c>
      <c r="I8" s="3">
        <f>I7</f>
        <v>0.625</v>
      </c>
      <c r="K8" s="30">
        <v>-20</v>
      </c>
      <c r="L8" s="17">
        <f>D22</f>
        <v>3.9316624625180023</v>
      </c>
      <c r="M8" s="17">
        <f>E22</f>
        <v>9.8704270250553563</v>
      </c>
      <c r="N8" s="23">
        <f>F22</f>
        <v>1.05</v>
      </c>
      <c r="Q8" s="30">
        <v>-20</v>
      </c>
      <c r="R8" s="17">
        <f>G22</f>
        <v>5.1087084958052698</v>
      </c>
      <c r="S8" s="17">
        <f>H22</f>
        <v>5.4959693830661562</v>
      </c>
      <c r="T8" s="23">
        <f>I22</f>
        <v>0.72499999999999998</v>
      </c>
    </row>
    <row r="9" spans="2:20" ht="15" thickBot="1" x14ac:dyDescent="0.4">
      <c r="B9" s="34"/>
      <c r="C9" s="8">
        <v>3</v>
      </c>
      <c r="D9" s="16">
        <f>(79/89)*5</f>
        <v>4.4382022471910112</v>
      </c>
      <c r="E9" s="17">
        <f>(69/89)*5</f>
        <v>3.8764044943820224</v>
      </c>
      <c r="F9" s="23">
        <v>0.95</v>
      </c>
      <c r="G9" s="17">
        <f>(67/89)*5</f>
        <v>3.7640449438202244</v>
      </c>
      <c r="H9" s="17">
        <f>(94/89)*5</f>
        <v>5.2808988764044944</v>
      </c>
      <c r="I9" s="3">
        <f>I8</f>
        <v>0.625</v>
      </c>
      <c r="K9" s="30">
        <v>-30</v>
      </c>
      <c r="L9" s="17">
        <f>D26</f>
        <v>5.8064516129032251</v>
      </c>
      <c r="M9" s="17">
        <f>E26</f>
        <v>6.4283154121863797</v>
      </c>
      <c r="N9" s="23">
        <f>F26</f>
        <v>1</v>
      </c>
      <c r="Q9" s="30">
        <v>-30</v>
      </c>
      <c r="R9" s="17">
        <f>G26</f>
        <v>5.7694145758661888</v>
      </c>
      <c r="S9" s="17">
        <f>H26</f>
        <v>5.8052568697729994</v>
      </c>
      <c r="T9" s="23">
        <f>I26</f>
        <v>0.73333333333333328</v>
      </c>
    </row>
    <row r="10" spans="2:20" ht="15" thickBot="1" x14ac:dyDescent="0.4">
      <c r="B10" s="35"/>
      <c r="C10" s="24" t="s">
        <v>7</v>
      </c>
      <c r="D10" s="25">
        <f>AVERAGE(D7:D9)</f>
        <v>4.4760674157303368</v>
      </c>
      <c r="E10" s="26">
        <f t="shared" ref="E10:I10" si="1">AVERAGE(E7:E9)</f>
        <v>3.748801498127341</v>
      </c>
      <c r="F10" s="27">
        <f t="shared" si="1"/>
        <v>0.94999999999999984</v>
      </c>
      <c r="G10" s="26">
        <f t="shared" si="1"/>
        <v>3.7855149812734079</v>
      </c>
      <c r="H10" s="26">
        <f t="shared" si="1"/>
        <v>5.3810479247878931</v>
      </c>
      <c r="I10" s="28">
        <f t="shared" si="1"/>
        <v>0.625</v>
      </c>
      <c r="K10" s="31" t="s">
        <v>11</v>
      </c>
      <c r="L10" s="32">
        <f>AVERAGE(L4:L9)</f>
        <v>4.4322612037805706</v>
      </c>
      <c r="M10" s="32">
        <f t="shared" ref="M10:N10" si="2">AVERAGE(M4:M9)</f>
        <v>6.1485574573951531</v>
      </c>
      <c r="N10" s="33">
        <f t="shared" si="2"/>
        <v>0.99166666666666659</v>
      </c>
      <c r="Q10" s="31" t="s">
        <v>11</v>
      </c>
      <c r="R10" s="32">
        <f>AVERAGE(R4:R9)</f>
        <v>4.4295036003808042</v>
      </c>
      <c r="S10" s="32">
        <f t="shared" ref="S10:T10" si="3">AVERAGE(S4:S9)</f>
        <v>5.9087310206861439</v>
      </c>
      <c r="T10" s="33">
        <f t="shared" si="3"/>
        <v>0.66666666666666663</v>
      </c>
    </row>
    <row r="11" spans="2:20" x14ac:dyDescent="0.35">
      <c r="B11" s="34">
        <v>30</v>
      </c>
      <c r="C11" s="8">
        <v>1</v>
      </c>
      <c r="D11" s="16">
        <f>(72/87)*5</f>
        <v>4.1379310344827589</v>
      </c>
      <c r="E11" s="17">
        <f>(79/87)*5</f>
        <v>4.5402298850574709</v>
      </c>
      <c r="F11" s="23">
        <f>(110-81)/30</f>
        <v>0.96666666666666667</v>
      </c>
      <c r="G11" s="17">
        <f>(63/86)*5</f>
        <v>3.6627906976744184</v>
      </c>
      <c r="H11" s="17">
        <f>(93/86)*5</f>
        <v>5.4069767441860463</v>
      </c>
      <c r="I11" s="23">
        <f>(685.5-667)/30</f>
        <v>0.6166666666666667</v>
      </c>
    </row>
    <row r="12" spans="2:20" x14ac:dyDescent="0.35">
      <c r="B12" s="34"/>
      <c r="C12" s="8">
        <v>2</v>
      </c>
      <c r="D12" s="16">
        <f>(70/84)*5</f>
        <v>4.166666666666667</v>
      </c>
      <c r="E12" s="17">
        <f>(68/84)*5</f>
        <v>4.0476190476190474</v>
      </c>
      <c r="F12" s="23">
        <f>F11</f>
        <v>0.96666666666666667</v>
      </c>
      <c r="G12" s="17">
        <f>(63/85)*5</f>
        <v>3.7058823529411766</v>
      </c>
      <c r="H12" s="17">
        <f>(84/85)*5</f>
        <v>4.9411764705882355</v>
      </c>
      <c r="I12" s="23">
        <f>(685.5-667)/30</f>
        <v>0.6166666666666667</v>
      </c>
    </row>
    <row r="13" spans="2:20" x14ac:dyDescent="0.35">
      <c r="B13" s="34"/>
      <c r="C13" s="8">
        <v>3</v>
      </c>
      <c r="D13" s="16">
        <f>(71/84)*5</f>
        <v>4.2261904761904763</v>
      </c>
      <c r="E13" s="17">
        <f>(69/84)*5</f>
        <v>4.1071428571428568</v>
      </c>
      <c r="F13" s="23">
        <f>F12</f>
        <v>0.96666666666666667</v>
      </c>
      <c r="G13" s="17">
        <f>(62/84)*5</f>
        <v>3.6904761904761907</v>
      </c>
      <c r="H13" s="17">
        <f>(85/84)*5</f>
        <v>5.0595238095238093</v>
      </c>
      <c r="I13" s="23">
        <f>(685.5-667)/30</f>
        <v>0.6166666666666667</v>
      </c>
    </row>
    <row r="14" spans="2:20" ht="15" thickBot="1" x14ac:dyDescent="0.4">
      <c r="B14" s="35"/>
      <c r="C14" s="24" t="s">
        <v>7</v>
      </c>
      <c r="D14" s="25">
        <f>AVERAGE(D11:D13)</f>
        <v>4.1769293924466337</v>
      </c>
      <c r="E14" s="26">
        <f t="shared" ref="E14:I14" si="4">AVERAGE(E11:E13)</f>
        <v>4.231663929939792</v>
      </c>
      <c r="F14" s="27">
        <f t="shared" si="4"/>
        <v>0.96666666666666667</v>
      </c>
      <c r="G14" s="26">
        <f t="shared" si="4"/>
        <v>3.6863830803639281</v>
      </c>
      <c r="H14" s="26">
        <f t="shared" si="4"/>
        <v>5.1358923414326974</v>
      </c>
      <c r="I14" s="27">
        <f t="shared" si="4"/>
        <v>0.6166666666666667</v>
      </c>
    </row>
    <row r="15" spans="2:20" x14ac:dyDescent="0.35">
      <c r="B15" s="36">
        <v>-10</v>
      </c>
      <c r="C15" s="9">
        <v>1</v>
      </c>
      <c r="D15" s="20">
        <f>(67/93)*5</f>
        <v>3.602150537634409</v>
      </c>
      <c r="E15" s="18">
        <f>(148/93)*5</f>
        <v>7.956989247311828</v>
      </c>
      <c r="F15" s="21">
        <f>(81-70.5)/10</f>
        <v>1.05</v>
      </c>
      <c r="G15" s="20">
        <f>(81/91)*5</f>
        <v>4.4505494505494507</v>
      </c>
      <c r="H15" s="18">
        <f>(124/91)*5</f>
        <v>6.8131868131868139</v>
      </c>
      <c r="I15" s="21">
        <f>(667-660)/10</f>
        <v>0.7</v>
      </c>
    </row>
    <row r="16" spans="2:20" x14ac:dyDescent="0.35">
      <c r="B16" s="34"/>
      <c r="C16" s="8">
        <v>2</v>
      </c>
      <c r="D16" s="16">
        <f>(75/94)*5</f>
        <v>3.9893617021276597</v>
      </c>
      <c r="E16" s="17">
        <f>(142/93)*5</f>
        <v>7.634408602150538</v>
      </c>
      <c r="F16" s="23">
        <f>F15</f>
        <v>1.05</v>
      </c>
      <c r="G16" s="16">
        <f>(83/93)*5</f>
        <v>4.4623655913978491</v>
      </c>
      <c r="H16" s="17">
        <f>(118/93)*5</f>
        <v>6.344086021505376</v>
      </c>
      <c r="I16" s="23">
        <f>I15</f>
        <v>0.7</v>
      </c>
    </row>
    <row r="17" spans="2:9" x14ac:dyDescent="0.35">
      <c r="B17" s="34"/>
      <c r="C17" s="8">
        <v>3</v>
      </c>
      <c r="D17" s="16">
        <f>(74/92)*5</f>
        <v>4.0217391304347831</v>
      </c>
      <c r="E17" s="17">
        <f>(170/92)*5</f>
        <v>9.2391304347826093</v>
      </c>
      <c r="F17" s="23">
        <f>F16</f>
        <v>1.05</v>
      </c>
      <c r="G17" s="16">
        <f>(82/92)*5</f>
        <v>4.4565217391304346</v>
      </c>
      <c r="H17" s="17">
        <f>(113/92)*5</f>
        <v>6.141304347826086</v>
      </c>
      <c r="I17" s="23">
        <f>I16</f>
        <v>0.7</v>
      </c>
    </row>
    <row r="18" spans="2:9" ht="15" thickBot="1" x14ac:dyDescent="0.4">
      <c r="B18" s="35"/>
      <c r="C18" s="24" t="s">
        <v>7</v>
      </c>
      <c r="D18" s="25">
        <f>AVERAGE(D15:D17)</f>
        <v>3.8710837900656174</v>
      </c>
      <c r="E18" s="26">
        <f t="shared" ref="E18:I18" si="5">AVERAGE(E15:E17)</f>
        <v>8.2768427614149918</v>
      </c>
      <c r="F18" s="27">
        <f t="shared" si="5"/>
        <v>1.05</v>
      </c>
      <c r="G18" s="25">
        <f t="shared" si="5"/>
        <v>4.4564789270259118</v>
      </c>
      <c r="H18" s="26">
        <f t="shared" si="5"/>
        <v>6.4328590608394256</v>
      </c>
      <c r="I18" s="27">
        <f t="shared" si="5"/>
        <v>0.69999999999999984</v>
      </c>
    </row>
    <row r="19" spans="2:9" x14ac:dyDescent="0.35">
      <c r="B19" s="36">
        <v>-20</v>
      </c>
      <c r="C19" s="9">
        <v>1</v>
      </c>
      <c r="D19" s="20">
        <f>(71/93)*5</f>
        <v>3.817204301075269</v>
      </c>
      <c r="E19" s="18">
        <f>(192/93)*5</f>
        <v>10.32258064516129</v>
      </c>
      <c r="F19" s="21">
        <f>(21/20)</f>
        <v>1.05</v>
      </c>
      <c r="G19" s="18">
        <f>(96/93)*5</f>
        <v>5.161290322580645</v>
      </c>
      <c r="H19" s="18">
        <f>(96/93)*5</f>
        <v>5.161290322580645</v>
      </c>
      <c r="I19" s="7">
        <f>(667-652.5)/20</f>
        <v>0.72499999999999998</v>
      </c>
    </row>
    <row r="20" spans="2:9" x14ac:dyDescent="0.35">
      <c r="B20" s="34"/>
      <c r="C20" s="8">
        <v>2</v>
      </c>
      <c r="D20" s="22">
        <f>(72/91)*5</f>
        <v>3.9560439560439558</v>
      </c>
      <c r="E20" s="19">
        <f>(174/91)*5</f>
        <v>9.5604395604395602</v>
      </c>
      <c r="F20" s="23">
        <f>F19</f>
        <v>1.05</v>
      </c>
      <c r="G20" s="16">
        <v>5</v>
      </c>
      <c r="H20" s="19">
        <f>(103/90)*5</f>
        <v>5.7222222222222214</v>
      </c>
      <c r="I20" s="3">
        <f>I19</f>
        <v>0.72499999999999998</v>
      </c>
    </row>
    <row r="21" spans="2:9" x14ac:dyDescent="0.35">
      <c r="B21" s="34"/>
      <c r="C21" s="8">
        <v>3</v>
      </c>
      <c r="D21" s="16">
        <f>(74/92)*5</f>
        <v>4.0217391304347831</v>
      </c>
      <c r="E21" s="17">
        <f>(179/92)*5</f>
        <v>9.7282608695652169</v>
      </c>
      <c r="F21" s="23">
        <f>F20</f>
        <v>1.05</v>
      </c>
      <c r="G21" s="17">
        <f>(94/91)*5</f>
        <v>5.1648351648351651</v>
      </c>
      <c r="H21" s="17">
        <f>(102/91)*5</f>
        <v>5.604395604395604</v>
      </c>
      <c r="I21" s="3">
        <f>I20</f>
        <v>0.72499999999999998</v>
      </c>
    </row>
    <row r="22" spans="2:9" ht="15" thickBot="1" x14ac:dyDescent="0.4">
      <c r="B22" s="35"/>
      <c r="C22" s="24" t="s">
        <v>7</v>
      </c>
      <c r="D22" s="25">
        <f>AVERAGE(D19:D21)</f>
        <v>3.9316624625180023</v>
      </c>
      <c r="E22" s="26">
        <f t="shared" ref="E22:I22" si="6">AVERAGE(E19:E21)</f>
        <v>9.8704270250553563</v>
      </c>
      <c r="F22" s="27">
        <f t="shared" si="6"/>
        <v>1.05</v>
      </c>
      <c r="G22" s="26">
        <f t="shared" si="6"/>
        <v>5.1087084958052698</v>
      </c>
      <c r="H22" s="26">
        <f t="shared" si="6"/>
        <v>5.4959693830661562</v>
      </c>
      <c r="I22" s="28">
        <f t="shared" si="6"/>
        <v>0.72499999999999998</v>
      </c>
    </row>
    <row r="23" spans="2:9" x14ac:dyDescent="0.35">
      <c r="B23" s="34">
        <v>-30</v>
      </c>
      <c r="C23" s="8">
        <v>1</v>
      </c>
      <c r="D23" s="16">
        <f>(107/93)*5</f>
        <v>5.752688172043011</v>
      </c>
      <c r="E23" s="17">
        <f>(120/93)*5</f>
        <v>6.4516129032258061</v>
      </c>
      <c r="F23" s="23">
        <f>(81-51)/30</f>
        <v>1</v>
      </c>
      <c r="G23" s="17">
        <f>D23</f>
        <v>5.752688172043011</v>
      </c>
      <c r="H23" s="17">
        <f>(109/93)*5</f>
        <v>5.860215053763441</v>
      </c>
      <c r="I23" s="23">
        <f>(667-645)/30</f>
        <v>0.73333333333333328</v>
      </c>
    </row>
    <row r="24" spans="2:9" x14ac:dyDescent="0.35">
      <c r="B24" s="34"/>
      <c r="C24" s="8">
        <v>2</v>
      </c>
      <c r="D24" s="16">
        <f>(104/90)*5</f>
        <v>5.7777777777777768</v>
      </c>
      <c r="E24" s="17">
        <f>(122/90)*5</f>
        <v>6.7777777777777786</v>
      </c>
      <c r="F24" s="23">
        <v>1</v>
      </c>
      <c r="G24" s="17">
        <f>D24</f>
        <v>5.7777777777777768</v>
      </c>
      <c r="H24" s="17">
        <f>(101/90)*5</f>
        <v>5.6111111111111107</v>
      </c>
      <c r="I24" s="23">
        <f>I23</f>
        <v>0.73333333333333328</v>
      </c>
    </row>
    <row r="25" spans="2:9" x14ac:dyDescent="0.35">
      <c r="B25" s="34"/>
      <c r="C25" s="8">
        <v>3</v>
      </c>
      <c r="D25" s="16">
        <f>(106/90)*5</f>
        <v>5.8888888888888893</v>
      </c>
      <c r="E25" s="17">
        <f>(109/90)*5</f>
        <v>6.0555555555555554</v>
      </c>
      <c r="F25" s="23">
        <v>1</v>
      </c>
      <c r="G25" s="17">
        <f>(104/90)*5</f>
        <v>5.7777777777777768</v>
      </c>
      <c r="H25" s="17">
        <f>(107/90)*5</f>
        <v>5.9444444444444446</v>
      </c>
      <c r="I25" s="23">
        <f>I24</f>
        <v>0.73333333333333328</v>
      </c>
    </row>
    <row r="26" spans="2:9" ht="15" thickBot="1" x14ac:dyDescent="0.4">
      <c r="B26" s="35"/>
      <c r="C26" s="24" t="s">
        <v>7</v>
      </c>
      <c r="D26" s="25">
        <f>AVERAGE(D23:D25)</f>
        <v>5.8064516129032251</v>
      </c>
      <c r="E26" s="26">
        <f t="shared" ref="E26:I26" si="7">AVERAGE(E23:E25)</f>
        <v>6.4283154121863797</v>
      </c>
      <c r="F26" s="27">
        <f t="shared" si="7"/>
        <v>1</v>
      </c>
      <c r="G26" s="26">
        <f t="shared" si="7"/>
        <v>5.7694145758661888</v>
      </c>
      <c r="H26" s="26">
        <f t="shared" si="7"/>
        <v>5.8052568697729994</v>
      </c>
      <c r="I26" s="27">
        <f t="shared" si="7"/>
        <v>0.73333333333333328</v>
      </c>
    </row>
    <row r="27" spans="2:9" x14ac:dyDescent="0.35">
      <c r="B27" t="s">
        <v>9</v>
      </c>
    </row>
  </sheetData>
  <mergeCells count="10">
    <mergeCell ref="G1:I1"/>
    <mergeCell ref="L2:N2"/>
    <mergeCell ref="R2:T2"/>
    <mergeCell ref="B3:B6"/>
    <mergeCell ref="B7:B10"/>
    <mergeCell ref="B11:B14"/>
    <mergeCell ref="B15:B18"/>
    <mergeCell ref="B19:B22"/>
    <mergeCell ref="B23:B26"/>
    <mergeCell ref="D1:F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7"/>
  <sheetViews>
    <sheetView topLeftCell="L1" zoomScale="85" zoomScaleNormal="85" workbookViewId="0">
      <selection activeCell="R3" sqref="R3"/>
    </sheetView>
  </sheetViews>
  <sheetFormatPr defaultRowHeight="14.5" x14ac:dyDescent="0.35"/>
  <cols>
    <col min="2" max="2" width="16.90625" customWidth="1"/>
    <col min="3" max="3" width="4.90625" customWidth="1"/>
    <col min="4" max="4" width="12.90625" customWidth="1"/>
    <col min="5" max="5" width="15.08984375" customWidth="1"/>
    <col min="6" max="6" width="10.36328125" bestFit="1" customWidth="1"/>
    <col min="7" max="7" width="12.36328125" customWidth="1"/>
    <col min="8" max="8" width="15.08984375" customWidth="1"/>
    <col min="9" max="9" width="10.36328125" bestFit="1" customWidth="1"/>
    <col min="11" max="11" width="13.453125" customWidth="1"/>
    <col min="12" max="12" width="12.54296875" customWidth="1"/>
    <col min="13" max="13" width="14.81640625" customWidth="1"/>
  </cols>
  <sheetData>
    <row r="1" spans="2:20" ht="15" thickBot="1" x14ac:dyDescent="0.4">
      <c r="B1" s="1"/>
      <c r="C1" s="2"/>
      <c r="D1" s="37" t="s">
        <v>12</v>
      </c>
      <c r="E1" s="38"/>
      <c r="F1" s="39"/>
      <c r="G1" s="38" t="s">
        <v>13</v>
      </c>
      <c r="H1" s="38"/>
      <c r="I1" s="39"/>
    </row>
    <row r="2" spans="2:20" ht="15" thickBot="1" x14ac:dyDescent="0.4">
      <c r="B2" s="6" t="s">
        <v>4</v>
      </c>
      <c r="C2" s="4" t="s">
        <v>0</v>
      </c>
      <c r="D2" s="6" t="s">
        <v>1</v>
      </c>
      <c r="E2" s="4" t="s">
        <v>2</v>
      </c>
      <c r="F2" s="5" t="s">
        <v>3</v>
      </c>
      <c r="G2" s="4" t="s">
        <v>1</v>
      </c>
      <c r="H2" s="4" t="s">
        <v>2</v>
      </c>
      <c r="I2" s="5" t="s">
        <v>3</v>
      </c>
      <c r="K2" s="31"/>
      <c r="L2" s="40" t="s">
        <v>12</v>
      </c>
      <c r="M2" s="40"/>
      <c r="N2" s="41"/>
      <c r="Q2" s="31"/>
      <c r="R2" s="40" t="s">
        <v>13</v>
      </c>
      <c r="S2" s="40"/>
      <c r="T2" s="41"/>
    </row>
    <row r="3" spans="2:20" ht="15" thickBot="1" x14ac:dyDescent="0.4">
      <c r="B3" s="36">
        <v>10</v>
      </c>
      <c r="C3" s="9" t="s">
        <v>8</v>
      </c>
      <c r="D3" s="10">
        <v>0</v>
      </c>
      <c r="E3" s="11">
        <v>0</v>
      </c>
      <c r="F3" s="12">
        <v>0</v>
      </c>
      <c r="G3" s="10">
        <f>(70/91)*5</f>
        <v>3.8461538461538463</v>
      </c>
      <c r="H3" s="11">
        <f>(66/91)*5</f>
        <v>3.6263736263736264</v>
      </c>
      <c r="I3" s="12">
        <f>(-1.5/10)</f>
        <v>-0.15</v>
      </c>
      <c r="K3" s="29" t="s">
        <v>10</v>
      </c>
      <c r="L3" s="4" t="s">
        <v>1</v>
      </c>
      <c r="M3" s="4" t="s">
        <v>2</v>
      </c>
      <c r="N3" s="5" t="s">
        <v>3</v>
      </c>
      <c r="Q3" s="29" t="s">
        <v>10</v>
      </c>
      <c r="R3" s="4" t="s">
        <v>1</v>
      </c>
      <c r="S3" s="4" t="s">
        <v>2</v>
      </c>
      <c r="T3" s="5" t="s">
        <v>3</v>
      </c>
    </row>
    <row r="4" spans="2:20" x14ac:dyDescent="0.35">
      <c r="B4" s="34"/>
      <c r="C4" s="8">
        <v>2</v>
      </c>
      <c r="D4" s="13">
        <v>0</v>
      </c>
      <c r="E4" s="14">
        <v>0</v>
      </c>
      <c r="F4" s="15">
        <v>0</v>
      </c>
      <c r="G4" s="13">
        <f>(72/90)*5</f>
        <v>4</v>
      </c>
      <c r="H4" s="14">
        <f>(51/90)*5</f>
        <v>2.833333333333333</v>
      </c>
      <c r="I4" s="15">
        <f>I3</f>
        <v>-0.15</v>
      </c>
      <c r="K4" s="30">
        <v>10</v>
      </c>
      <c r="L4" s="17">
        <f>D6</f>
        <v>0</v>
      </c>
      <c r="M4" s="17">
        <f>E6</f>
        <v>0</v>
      </c>
      <c r="N4" s="23">
        <f>F6</f>
        <v>0</v>
      </c>
      <c r="Q4" s="30">
        <v>10</v>
      </c>
      <c r="R4" s="17">
        <f>G6</f>
        <v>3.8931623931623935</v>
      </c>
      <c r="S4" s="17">
        <f>H6</f>
        <v>3.1532356532356531</v>
      </c>
      <c r="T4" s="23">
        <f>I6</f>
        <v>-0.15</v>
      </c>
    </row>
    <row r="5" spans="2:20" x14ac:dyDescent="0.35">
      <c r="B5" s="34"/>
      <c r="C5" s="8">
        <v>3</v>
      </c>
      <c r="D5" s="13">
        <f>D4</f>
        <v>0</v>
      </c>
      <c r="E5" s="14">
        <v>0</v>
      </c>
      <c r="F5" s="15">
        <v>0</v>
      </c>
      <c r="G5" s="13">
        <f>(69/90)*5</f>
        <v>3.8333333333333335</v>
      </c>
      <c r="H5" s="14">
        <f>(54/90)*5</f>
        <v>3</v>
      </c>
      <c r="I5" s="15">
        <f>I4</f>
        <v>-0.15</v>
      </c>
      <c r="K5" s="30">
        <v>20</v>
      </c>
      <c r="L5" s="17">
        <f>D10</f>
        <v>0</v>
      </c>
      <c r="M5" s="17">
        <f>E10</f>
        <v>0</v>
      </c>
      <c r="N5" s="23">
        <f>F10</f>
        <v>0</v>
      </c>
      <c r="Q5" s="30">
        <v>20</v>
      </c>
      <c r="R5" s="17">
        <f>G10</f>
        <v>4.2153784219001613</v>
      </c>
      <c r="S5" s="17">
        <f>H10</f>
        <v>2.7226247987117556</v>
      </c>
      <c r="T5" s="23">
        <f>I10</f>
        <v>-0.15</v>
      </c>
    </row>
    <row r="6" spans="2:20" ht="15" thickBot="1" x14ac:dyDescent="0.4">
      <c r="B6" s="35"/>
      <c r="C6" s="24" t="s">
        <v>7</v>
      </c>
      <c r="D6" s="25">
        <f>AVERAGE(D3:D5)</f>
        <v>0</v>
      </c>
      <c r="E6" s="26">
        <f t="shared" ref="E6:I6" si="0">AVERAGE(E3:E5)</f>
        <v>0</v>
      </c>
      <c r="F6" s="27">
        <f t="shared" si="0"/>
        <v>0</v>
      </c>
      <c r="G6" s="25">
        <f t="shared" si="0"/>
        <v>3.8931623931623935</v>
      </c>
      <c r="H6" s="26">
        <f t="shared" si="0"/>
        <v>3.1532356532356531</v>
      </c>
      <c r="I6" s="27">
        <f t="shared" si="0"/>
        <v>-0.15</v>
      </c>
      <c r="K6" s="30">
        <v>30</v>
      </c>
      <c r="L6" s="17" t="e">
        <f>D14</f>
        <v>#DIV/0!</v>
      </c>
      <c r="M6" s="17" t="e">
        <f>E14</f>
        <v>#DIV/0!</v>
      </c>
      <c r="N6" s="23" t="e">
        <f>F14</f>
        <v>#DIV/0!</v>
      </c>
      <c r="Q6" s="30">
        <v>30</v>
      </c>
      <c r="R6" s="17">
        <f>G14</f>
        <v>4.2028985507246377</v>
      </c>
      <c r="S6" s="17">
        <f>H14</f>
        <v>2.2101449275362319</v>
      </c>
      <c r="T6" s="23">
        <f>I14</f>
        <v>-0.13333333333333333</v>
      </c>
    </row>
    <row r="7" spans="2:20" x14ac:dyDescent="0.35">
      <c r="B7" s="36">
        <v>20</v>
      </c>
      <c r="C7" s="9">
        <v>1</v>
      </c>
      <c r="D7" s="20">
        <v>0</v>
      </c>
      <c r="E7" s="18">
        <v>0</v>
      </c>
      <c r="F7" s="21">
        <v>0</v>
      </c>
      <c r="G7" s="18">
        <f>(76/90)*5</f>
        <v>4.2222222222222223</v>
      </c>
      <c r="H7" s="18">
        <f>(58/90)*5</f>
        <v>3.2222222222222223</v>
      </c>
      <c r="I7" s="7">
        <v>-0.15</v>
      </c>
      <c r="K7" s="30">
        <v>-10</v>
      </c>
      <c r="L7" s="17" t="e">
        <f>D18</f>
        <v>#DIV/0!</v>
      </c>
      <c r="M7" s="17" t="e">
        <f>E18</f>
        <v>#DIV/0!</v>
      </c>
      <c r="N7" s="23" t="e">
        <f>F18</f>
        <v>#DIV/0!</v>
      </c>
      <c r="Q7" s="30">
        <v>-10</v>
      </c>
      <c r="R7" s="17">
        <f>G18</f>
        <v>4.3478260869565224</v>
      </c>
      <c r="S7" s="17">
        <f>H18</f>
        <v>3.5054347826086958</v>
      </c>
      <c r="T7" s="23">
        <f>I18</f>
        <v>-0.13833333333333334</v>
      </c>
    </row>
    <row r="8" spans="2:20" x14ac:dyDescent="0.35">
      <c r="B8" s="34"/>
      <c r="C8" s="8">
        <v>2</v>
      </c>
      <c r="D8" s="22"/>
      <c r="E8" s="19"/>
      <c r="F8" s="23"/>
      <c r="G8" s="16">
        <f>(77/92)*5</f>
        <v>4.1847826086956523</v>
      </c>
      <c r="H8" s="19">
        <f>(44/92)*5</f>
        <v>2.3913043478260869</v>
      </c>
      <c r="I8" s="3">
        <f>I7</f>
        <v>-0.15</v>
      </c>
      <c r="K8" s="30">
        <v>-20</v>
      </c>
      <c r="L8" s="17" t="e">
        <f>D22</f>
        <v>#DIV/0!</v>
      </c>
      <c r="M8" s="17" t="e">
        <f>E22</f>
        <v>#DIV/0!</v>
      </c>
      <c r="N8" s="23" t="e">
        <f>F22</f>
        <v>#DIV/0!</v>
      </c>
      <c r="Q8" s="30">
        <v>-20</v>
      </c>
      <c r="R8" s="17">
        <f>G22</f>
        <v>4.11231884057971</v>
      </c>
      <c r="S8" s="17">
        <f>H22</f>
        <v>3.3876811594202905</v>
      </c>
      <c r="T8" s="23">
        <f>I22</f>
        <v>-0.125</v>
      </c>
    </row>
    <row r="9" spans="2:20" ht="15" thickBot="1" x14ac:dyDescent="0.4">
      <c r="B9" s="34"/>
      <c r="C9" s="8">
        <v>3</v>
      </c>
      <c r="D9" s="16"/>
      <c r="E9" s="17"/>
      <c r="F9" s="23"/>
      <c r="G9" s="17">
        <f>(78/92)*5</f>
        <v>4.2391304347826084</v>
      </c>
      <c r="H9" s="17">
        <f>(47/92)*5</f>
        <v>2.554347826086957</v>
      </c>
      <c r="I9" s="3">
        <f>I8</f>
        <v>-0.15</v>
      </c>
      <c r="K9" s="30">
        <v>-30</v>
      </c>
      <c r="L9" s="17" t="e">
        <f>D26</f>
        <v>#DIV/0!</v>
      </c>
      <c r="M9" s="17" t="e">
        <f>E26</f>
        <v>#DIV/0!</v>
      </c>
      <c r="N9" s="23" t="e">
        <f>F26</f>
        <v>#DIV/0!</v>
      </c>
      <c r="Q9" s="30">
        <v>-30</v>
      </c>
      <c r="R9" s="17">
        <f>G26</f>
        <v>4.2210144927536231</v>
      </c>
      <c r="S9" s="17">
        <f>H26</f>
        <v>2.7173913043478262</v>
      </c>
      <c r="T9" s="23">
        <f>I26</f>
        <v>-0.13333333333333333</v>
      </c>
    </row>
    <row r="10" spans="2:20" ht="15" thickBot="1" x14ac:dyDescent="0.4">
      <c r="B10" s="35"/>
      <c r="C10" s="24" t="s">
        <v>7</v>
      </c>
      <c r="D10" s="25">
        <f>AVERAGE(D7:D9)</f>
        <v>0</v>
      </c>
      <c r="E10" s="26">
        <f t="shared" ref="E10" si="1">AVERAGE(E7:E9)</f>
        <v>0</v>
      </c>
      <c r="F10" s="27">
        <f t="shared" ref="F10" si="2">AVERAGE(F7:F9)</f>
        <v>0</v>
      </c>
      <c r="G10" s="26">
        <f t="shared" ref="G10" si="3">AVERAGE(G7:G9)</f>
        <v>4.2153784219001613</v>
      </c>
      <c r="H10" s="26">
        <f t="shared" ref="H10" si="4">AVERAGE(H7:H9)</f>
        <v>2.7226247987117556</v>
      </c>
      <c r="I10" s="28">
        <f t="shared" ref="I10" si="5">AVERAGE(I7:I9)</f>
        <v>-0.15</v>
      </c>
      <c r="K10" s="31" t="s">
        <v>11</v>
      </c>
      <c r="L10" s="32" t="e">
        <f>AVERAGE(L4:L9)</f>
        <v>#DIV/0!</v>
      </c>
      <c r="M10" s="32" t="e">
        <f t="shared" ref="M10:N10" si="6">AVERAGE(M4:M9)</f>
        <v>#DIV/0!</v>
      </c>
      <c r="N10" s="33" t="e">
        <f t="shared" si="6"/>
        <v>#DIV/0!</v>
      </c>
      <c r="Q10" s="31" t="s">
        <v>11</v>
      </c>
      <c r="R10" s="32">
        <f>AVERAGE(R4:R9)</f>
        <v>4.1654331310128407</v>
      </c>
      <c r="S10" s="32">
        <f t="shared" ref="S10" si="7">AVERAGE(S4:S9)</f>
        <v>2.9494187709767421</v>
      </c>
      <c r="T10" s="33">
        <f t="shared" ref="T10" si="8">AVERAGE(T4:T9)</f>
        <v>-0.13833333333333334</v>
      </c>
    </row>
    <row r="11" spans="2:20" x14ac:dyDescent="0.35">
      <c r="B11" s="34">
        <v>30</v>
      </c>
      <c r="C11" s="8">
        <v>1</v>
      </c>
      <c r="D11" s="16"/>
      <c r="E11" s="17"/>
      <c r="F11" s="23"/>
      <c r="G11" s="17">
        <f>(79/92)*5</f>
        <v>4.2934782608695654</v>
      </c>
      <c r="H11" s="17">
        <f>(39/92)*5</f>
        <v>2.1195652173913042</v>
      </c>
      <c r="I11" s="23">
        <f>-4/30</f>
        <v>-0.13333333333333333</v>
      </c>
    </row>
    <row r="12" spans="2:20" x14ac:dyDescent="0.35">
      <c r="B12" s="34"/>
      <c r="C12" s="8">
        <v>2</v>
      </c>
      <c r="D12" s="16"/>
      <c r="E12" s="17"/>
      <c r="F12" s="23"/>
      <c r="G12" s="17">
        <f>(79/92)*5</f>
        <v>4.2934782608695654</v>
      </c>
      <c r="H12" s="17">
        <f>(30/92)*5</f>
        <v>1.6304347826086958</v>
      </c>
      <c r="I12" s="23">
        <f t="shared" ref="I12:I13" si="9">-4/30</f>
        <v>-0.13333333333333333</v>
      </c>
    </row>
    <row r="13" spans="2:20" x14ac:dyDescent="0.35">
      <c r="B13" s="34"/>
      <c r="C13" s="8">
        <v>3</v>
      </c>
      <c r="D13" s="16"/>
      <c r="E13" s="17"/>
      <c r="F13" s="23"/>
      <c r="G13" s="17">
        <f>(74/92)*5</f>
        <v>4.0217391304347831</v>
      </c>
      <c r="H13" s="17">
        <f>(53/92)*5</f>
        <v>2.8804347826086958</v>
      </c>
      <c r="I13" s="23">
        <f t="shared" si="9"/>
        <v>-0.13333333333333333</v>
      </c>
    </row>
    <row r="14" spans="2:20" ht="15" thickBot="1" x14ac:dyDescent="0.4">
      <c r="B14" s="35"/>
      <c r="C14" s="24" t="s">
        <v>7</v>
      </c>
      <c r="D14" s="25" t="e">
        <f>AVERAGE(D11:D13)</f>
        <v>#DIV/0!</v>
      </c>
      <c r="E14" s="26" t="e">
        <f t="shared" ref="E14" si="10">AVERAGE(E11:E13)</f>
        <v>#DIV/0!</v>
      </c>
      <c r="F14" s="27" t="e">
        <f t="shared" ref="F14" si="11">AVERAGE(F11:F13)</f>
        <v>#DIV/0!</v>
      </c>
      <c r="G14" s="26">
        <f t="shared" ref="G14" si="12">AVERAGE(G11:G13)</f>
        <v>4.2028985507246377</v>
      </c>
      <c r="H14" s="26">
        <f t="shared" ref="H14" si="13">AVERAGE(H11:H13)</f>
        <v>2.2101449275362319</v>
      </c>
      <c r="I14" s="27">
        <f t="shared" ref="I14" si="14">AVERAGE(I11:I13)</f>
        <v>-0.13333333333333333</v>
      </c>
    </row>
    <row r="15" spans="2:20" x14ac:dyDescent="0.35">
      <c r="B15" s="36">
        <v>-10</v>
      </c>
      <c r="C15" s="9">
        <v>1</v>
      </c>
      <c r="D15" s="20"/>
      <c r="E15" s="18"/>
      <c r="F15" s="21"/>
      <c r="G15" s="20">
        <f>(83/92)*5</f>
        <v>4.5108695652173916</v>
      </c>
      <c r="H15" s="18">
        <f>(58/92)*5</f>
        <v>3.1521739130434785</v>
      </c>
      <c r="I15" s="21">
        <v>-0.15</v>
      </c>
    </row>
    <row r="16" spans="2:20" x14ac:dyDescent="0.35">
      <c r="B16" s="34"/>
      <c r="C16" s="8">
        <v>2</v>
      </c>
      <c r="D16" s="16"/>
      <c r="E16" s="17"/>
      <c r="F16" s="23"/>
      <c r="G16" s="16">
        <f>(78/92)*5</f>
        <v>4.2391304347826084</v>
      </c>
      <c r="H16" s="17">
        <f>(71/92)*5</f>
        <v>3.8586956521739131</v>
      </c>
      <c r="I16" s="23">
        <v>-0.125</v>
      </c>
    </row>
    <row r="17" spans="2:9" x14ac:dyDescent="0.35">
      <c r="B17" s="34"/>
      <c r="C17" s="8">
        <v>3</v>
      </c>
      <c r="D17" s="16"/>
      <c r="E17" s="17"/>
      <c r="F17" s="23"/>
      <c r="G17" s="16">
        <f>(79/92)*5</f>
        <v>4.2934782608695654</v>
      </c>
      <c r="H17" s="17"/>
      <c r="I17" s="23">
        <v>-0.14000000000000001</v>
      </c>
    </row>
    <row r="18" spans="2:9" ht="15" thickBot="1" x14ac:dyDescent="0.4">
      <c r="B18" s="35"/>
      <c r="C18" s="24" t="s">
        <v>7</v>
      </c>
      <c r="D18" s="25" t="e">
        <f>AVERAGE(D15:D17)</f>
        <v>#DIV/0!</v>
      </c>
      <c r="E18" s="26" t="e">
        <f t="shared" ref="E18" si="15">AVERAGE(E15:E17)</f>
        <v>#DIV/0!</v>
      </c>
      <c r="F18" s="27" t="e">
        <f t="shared" ref="F18" si="16">AVERAGE(F15:F17)</f>
        <v>#DIV/0!</v>
      </c>
      <c r="G18" s="25">
        <f t="shared" ref="G18" si="17">AVERAGE(G15:G17)</f>
        <v>4.3478260869565224</v>
      </c>
      <c r="H18" s="26">
        <f t="shared" ref="H18" si="18">AVERAGE(H15:H17)</f>
        <v>3.5054347826086958</v>
      </c>
      <c r="I18" s="27">
        <f t="shared" ref="I18" si="19">AVERAGE(I15:I17)</f>
        <v>-0.13833333333333334</v>
      </c>
    </row>
    <row r="19" spans="2:9" x14ac:dyDescent="0.35">
      <c r="B19" s="36">
        <v>-20</v>
      </c>
      <c r="C19" s="9">
        <v>1</v>
      </c>
      <c r="D19" s="20"/>
      <c r="E19" s="18"/>
      <c r="F19" s="21"/>
      <c r="G19" s="18">
        <f>(72/92)*5</f>
        <v>3.9130434782608696</v>
      </c>
      <c r="H19" s="18">
        <f>(75/92)*5</f>
        <v>4.0760869565217392</v>
      </c>
      <c r="I19" s="7">
        <f>-2.5/20</f>
        <v>-0.125</v>
      </c>
    </row>
    <row r="20" spans="2:9" x14ac:dyDescent="0.35">
      <c r="B20" s="34"/>
      <c r="C20" s="8">
        <v>2</v>
      </c>
      <c r="D20" s="22"/>
      <c r="E20" s="19"/>
      <c r="F20" s="23"/>
      <c r="G20" s="16">
        <f>(79/92)*5</f>
        <v>4.2934782608695654</v>
      </c>
      <c r="H20" s="19">
        <f>(52/92)*5</f>
        <v>2.8260869565217388</v>
      </c>
      <c r="I20" s="3">
        <f>I19</f>
        <v>-0.125</v>
      </c>
    </row>
    <row r="21" spans="2:9" x14ac:dyDescent="0.35">
      <c r="B21" s="34"/>
      <c r="C21" s="8">
        <v>3</v>
      </c>
      <c r="D21" s="16"/>
      <c r="E21" s="17"/>
      <c r="F21" s="23"/>
      <c r="G21" s="17">
        <f>(76/92)*5</f>
        <v>4.1304347826086953</v>
      </c>
      <c r="H21" s="17">
        <f>(60/92)*5</f>
        <v>3.2608695652173916</v>
      </c>
      <c r="I21" s="3">
        <f>I20</f>
        <v>-0.125</v>
      </c>
    </row>
    <row r="22" spans="2:9" ht="15" thickBot="1" x14ac:dyDescent="0.4">
      <c r="B22" s="35"/>
      <c r="C22" s="24" t="s">
        <v>7</v>
      </c>
      <c r="D22" s="25" t="e">
        <f>AVERAGE(D19:D21)</f>
        <v>#DIV/0!</v>
      </c>
      <c r="E22" s="26" t="e">
        <f t="shared" ref="E22" si="20">AVERAGE(E19:E21)</f>
        <v>#DIV/0!</v>
      </c>
      <c r="F22" s="27" t="e">
        <f t="shared" ref="F22" si="21">AVERAGE(F19:F21)</f>
        <v>#DIV/0!</v>
      </c>
      <c r="G22" s="26">
        <f t="shared" ref="G22" si="22">AVERAGE(G19:G21)</f>
        <v>4.11231884057971</v>
      </c>
      <c r="H22" s="26">
        <f t="shared" ref="H22" si="23">AVERAGE(H19:H21)</f>
        <v>3.3876811594202905</v>
      </c>
      <c r="I22" s="28">
        <f t="shared" ref="I22" si="24">AVERAGE(I19:I21)</f>
        <v>-0.125</v>
      </c>
    </row>
    <row r="23" spans="2:9" x14ac:dyDescent="0.35">
      <c r="B23" s="34">
        <v>-30</v>
      </c>
      <c r="C23" s="8">
        <v>1</v>
      </c>
      <c r="D23" s="16"/>
      <c r="E23" s="17"/>
      <c r="F23" s="23"/>
      <c r="G23" s="17">
        <f>(75/92)*5</f>
        <v>4.0760869565217392</v>
      </c>
      <c r="H23" s="17">
        <f>(59/92)*5</f>
        <v>3.2065217391304346</v>
      </c>
      <c r="I23" s="23">
        <f>-4/30</f>
        <v>-0.13333333333333333</v>
      </c>
    </row>
    <row r="24" spans="2:9" x14ac:dyDescent="0.35">
      <c r="B24" s="34"/>
      <c r="C24" s="8">
        <v>2</v>
      </c>
      <c r="D24" s="16"/>
      <c r="E24" s="17"/>
      <c r="F24" s="23"/>
      <c r="G24" s="17">
        <f>(78/92)*5</f>
        <v>4.2391304347826084</v>
      </c>
      <c r="H24" s="17">
        <f>(50/92)*5</f>
        <v>2.7173913043478262</v>
      </c>
      <c r="I24" s="23">
        <f>I23</f>
        <v>-0.13333333333333333</v>
      </c>
    </row>
    <row r="25" spans="2:9" x14ac:dyDescent="0.35">
      <c r="B25" s="34"/>
      <c r="C25" s="8">
        <v>3</v>
      </c>
      <c r="D25" s="16"/>
      <c r="E25" s="17"/>
      <c r="F25" s="23"/>
      <c r="G25" s="17">
        <f>(80/92)*5</f>
        <v>4.3478260869565215</v>
      </c>
      <c r="H25" s="17">
        <f>(41/92)*5</f>
        <v>2.2282608695652173</v>
      </c>
      <c r="I25" s="23">
        <f>I24</f>
        <v>-0.13333333333333333</v>
      </c>
    </row>
    <row r="26" spans="2:9" ht="15" thickBot="1" x14ac:dyDescent="0.4">
      <c r="B26" s="35"/>
      <c r="C26" s="24" t="s">
        <v>7</v>
      </c>
      <c r="D26" s="25" t="e">
        <f>AVERAGE(D23:D25)</f>
        <v>#DIV/0!</v>
      </c>
      <c r="E26" s="26" t="e">
        <f t="shared" ref="E26" si="25">AVERAGE(E23:E25)</f>
        <v>#DIV/0!</v>
      </c>
      <c r="F26" s="27" t="e">
        <f t="shared" ref="F26" si="26">AVERAGE(F23:F25)</f>
        <v>#DIV/0!</v>
      </c>
      <c r="G26" s="26">
        <f t="shared" ref="G26" si="27">AVERAGE(G23:G25)</f>
        <v>4.2210144927536231</v>
      </c>
      <c r="H26" s="26">
        <f t="shared" ref="H26" si="28">AVERAGE(H23:H25)</f>
        <v>2.7173913043478262</v>
      </c>
      <c r="I26" s="27">
        <f t="shared" ref="I26" si="29">AVERAGE(I23:I25)</f>
        <v>-0.13333333333333333</v>
      </c>
    </row>
    <row r="27" spans="2:9" x14ac:dyDescent="0.35">
      <c r="B27" t="s">
        <v>9</v>
      </c>
    </row>
  </sheetData>
  <mergeCells count="10">
    <mergeCell ref="D1:F1"/>
    <mergeCell ref="G1:I1"/>
    <mergeCell ref="B11:B14"/>
    <mergeCell ref="B7:B10"/>
    <mergeCell ref="B3:B6"/>
    <mergeCell ref="B15:B18"/>
    <mergeCell ref="B19:B22"/>
    <mergeCell ref="B23:B26"/>
    <mergeCell ref="L2:N2"/>
    <mergeCell ref="R2:T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00DC-9DD3-4744-ADEE-F7FC573BAFA7}">
  <dimension ref="B1:T27"/>
  <sheetViews>
    <sheetView tabSelected="1" topLeftCell="C1" zoomScale="85" zoomScaleNormal="85" workbookViewId="0">
      <selection activeCell="K31" sqref="K31"/>
    </sheetView>
  </sheetViews>
  <sheetFormatPr defaultRowHeight="14.5" x14ac:dyDescent="0.35"/>
  <cols>
    <col min="2" max="2" width="16.90625" customWidth="1"/>
    <col min="3" max="3" width="4.90625" customWidth="1"/>
    <col min="4" max="4" width="12.90625" customWidth="1"/>
    <col min="5" max="5" width="15.08984375" customWidth="1"/>
    <col min="6" max="6" width="10.36328125" bestFit="1" customWidth="1"/>
    <col min="7" max="7" width="12.36328125" customWidth="1"/>
    <col min="8" max="8" width="15.08984375" customWidth="1"/>
    <col min="9" max="9" width="10.36328125" bestFit="1" customWidth="1"/>
    <col min="11" max="11" width="13.453125" customWidth="1"/>
    <col min="12" max="12" width="12.54296875" customWidth="1"/>
    <col min="13" max="13" width="14.81640625" customWidth="1"/>
  </cols>
  <sheetData>
    <row r="1" spans="2:20" ht="15" thickBot="1" x14ac:dyDescent="0.4">
      <c r="B1" s="1"/>
      <c r="C1" s="2"/>
      <c r="D1" s="37" t="s">
        <v>15</v>
      </c>
      <c r="E1" s="38"/>
      <c r="F1" s="39"/>
      <c r="G1" s="38" t="s">
        <v>16</v>
      </c>
      <c r="H1" s="38"/>
      <c r="I1" s="39"/>
    </row>
    <row r="2" spans="2:20" ht="15" thickBot="1" x14ac:dyDescent="0.4">
      <c r="B2" s="6" t="s">
        <v>14</v>
      </c>
      <c r="C2" s="4" t="s">
        <v>0</v>
      </c>
      <c r="D2" s="6" t="s">
        <v>1</v>
      </c>
      <c r="E2" s="4" t="s">
        <v>2</v>
      </c>
      <c r="F2" s="5" t="s">
        <v>3</v>
      </c>
      <c r="G2" s="48" t="s">
        <v>1</v>
      </c>
      <c r="H2" s="48" t="s">
        <v>2</v>
      </c>
      <c r="I2" s="3" t="s">
        <v>3</v>
      </c>
      <c r="K2" s="31"/>
      <c r="L2" s="40" t="s">
        <v>5</v>
      </c>
      <c r="M2" s="40"/>
      <c r="N2" s="41"/>
      <c r="Q2" s="31"/>
      <c r="R2" s="40" t="s">
        <v>6</v>
      </c>
      <c r="S2" s="40"/>
      <c r="T2" s="41"/>
    </row>
    <row r="3" spans="2:20" ht="15" thickBot="1" x14ac:dyDescent="0.4">
      <c r="B3" s="36">
        <v>10</v>
      </c>
      <c r="C3" s="9" t="s">
        <v>8</v>
      </c>
      <c r="D3" s="10">
        <v>0</v>
      </c>
      <c r="E3" s="11">
        <v>0</v>
      </c>
      <c r="F3" s="11">
        <v>0</v>
      </c>
      <c r="G3" s="10">
        <v>4.2125000000000004</v>
      </c>
      <c r="H3" s="11">
        <v>0</v>
      </c>
      <c r="I3" s="12">
        <f>(2/10)</f>
        <v>0.2</v>
      </c>
      <c r="K3" s="29" t="s">
        <v>10</v>
      </c>
      <c r="L3" s="4" t="s">
        <v>1</v>
      </c>
      <c r="M3" s="4" t="s">
        <v>2</v>
      </c>
      <c r="N3" s="5" t="s">
        <v>3</v>
      </c>
      <c r="Q3" s="29" t="s">
        <v>10</v>
      </c>
      <c r="R3" s="4" t="s">
        <v>1</v>
      </c>
      <c r="S3" s="4" t="s">
        <v>2</v>
      </c>
      <c r="T3" s="5" t="s">
        <v>3</v>
      </c>
    </row>
    <row r="4" spans="2:20" x14ac:dyDescent="0.35">
      <c r="B4" s="34"/>
      <c r="C4" s="8">
        <v>2</v>
      </c>
      <c r="D4" s="13">
        <v>0</v>
      </c>
      <c r="E4" s="14">
        <v>0</v>
      </c>
      <c r="F4" s="14">
        <v>0</v>
      </c>
      <c r="G4" s="13">
        <v>4.2125000000000004</v>
      </c>
      <c r="H4" s="14">
        <v>0</v>
      </c>
      <c r="I4" s="15">
        <f>(2/10)</f>
        <v>0.2</v>
      </c>
      <c r="K4" s="30">
        <v>10</v>
      </c>
      <c r="L4" s="17">
        <f>D6</f>
        <v>0</v>
      </c>
      <c r="M4" s="17">
        <f>E6</f>
        <v>0</v>
      </c>
      <c r="N4" s="23">
        <f>F6</f>
        <v>0</v>
      </c>
      <c r="Q4" s="30">
        <v>10</v>
      </c>
      <c r="R4" s="17">
        <f>G6</f>
        <v>4.2125000000000004</v>
      </c>
      <c r="S4" s="17">
        <f>H6</f>
        <v>0</v>
      </c>
      <c r="T4" s="23">
        <f>I6</f>
        <v>0.2</v>
      </c>
    </row>
    <row r="5" spans="2:20" ht="15" thickBot="1" x14ac:dyDescent="0.4">
      <c r="B5" s="34"/>
      <c r="C5" s="8">
        <v>3</v>
      </c>
      <c r="D5" s="45">
        <v>0</v>
      </c>
      <c r="E5" s="46">
        <v>0</v>
      </c>
      <c r="F5" s="46">
        <v>0</v>
      </c>
      <c r="G5" s="45"/>
      <c r="H5" s="46"/>
      <c r="I5" s="47"/>
      <c r="K5" s="30">
        <v>20</v>
      </c>
      <c r="L5" s="17">
        <f>D10</f>
        <v>0</v>
      </c>
      <c r="M5" s="17">
        <f>E10</f>
        <v>0</v>
      </c>
      <c r="N5" s="23">
        <f>F10</f>
        <v>0</v>
      </c>
      <c r="Q5" s="30">
        <v>20</v>
      </c>
      <c r="R5" s="17">
        <f>G10</f>
        <v>4.2</v>
      </c>
      <c r="S5" s="17">
        <f>H10</f>
        <v>0</v>
      </c>
      <c r="T5" s="23">
        <f>I10</f>
        <v>0.25</v>
      </c>
    </row>
    <row r="6" spans="2:20" ht="15" thickBot="1" x14ac:dyDescent="0.4">
      <c r="B6" s="35"/>
      <c r="C6" s="24" t="s">
        <v>7</v>
      </c>
      <c r="D6" s="42">
        <f>AVERAGE(D3:D5)</f>
        <v>0</v>
      </c>
      <c r="E6" s="43">
        <f t="shared" ref="E6:I6" si="0">AVERAGE(E3:E5)</f>
        <v>0</v>
      </c>
      <c r="F6" s="44">
        <f t="shared" si="0"/>
        <v>0</v>
      </c>
      <c r="G6" s="42">
        <f t="shared" si="0"/>
        <v>4.2125000000000004</v>
      </c>
      <c r="H6" s="43">
        <f t="shared" si="0"/>
        <v>0</v>
      </c>
      <c r="I6" s="44">
        <f t="shared" si="0"/>
        <v>0.2</v>
      </c>
      <c r="K6" s="30">
        <v>30</v>
      </c>
      <c r="L6" s="17">
        <f>D14</f>
        <v>0</v>
      </c>
      <c r="M6" s="17">
        <f>E14</f>
        <v>0</v>
      </c>
      <c r="N6" s="23">
        <f>F14</f>
        <v>0</v>
      </c>
      <c r="Q6" s="30">
        <v>30</v>
      </c>
      <c r="R6" s="17">
        <v>4.2</v>
      </c>
      <c r="S6" s="17">
        <f>H14</f>
        <v>0</v>
      </c>
      <c r="T6" s="23">
        <f>I14</f>
        <v>0.26666666666666666</v>
      </c>
    </row>
    <row r="7" spans="2:20" x14ac:dyDescent="0.35">
      <c r="B7" s="36">
        <v>20</v>
      </c>
      <c r="C7" s="9">
        <v>1</v>
      </c>
      <c r="D7" s="20">
        <v>0</v>
      </c>
      <c r="E7" s="18">
        <v>0</v>
      </c>
      <c r="F7" s="21">
        <v>0</v>
      </c>
      <c r="G7" s="18">
        <v>4.2</v>
      </c>
      <c r="H7" s="18">
        <v>0</v>
      </c>
      <c r="I7" s="7">
        <f>5/20</f>
        <v>0.25</v>
      </c>
      <c r="K7" s="30">
        <v>-10</v>
      </c>
      <c r="L7" s="17">
        <f>D18</f>
        <v>0</v>
      </c>
      <c r="M7" s="17">
        <f>E18</f>
        <v>0</v>
      </c>
      <c r="N7" s="23">
        <f>F18</f>
        <v>0</v>
      </c>
      <c r="Q7" s="30">
        <v>-10</v>
      </c>
      <c r="R7" s="17">
        <v>4.2</v>
      </c>
      <c r="S7" s="17">
        <f>H18</f>
        <v>0</v>
      </c>
      <c r="T7" s="23">
        <f>I18</f>
        <v>0.25</v>
      </c>
    </row>
    <row r="8" spans="2:20" x14ac:dyDescent="0.35">
      <c r="B8" s="34"/>
      <c r="C8" s="8">
        <v>2</v>
      </c>
      <c r="D8" s="22">
        <v>0</v>
      </c>
      <c r="E8" s="19"/>
      <c r="F8" s="23"/>
      <c r="G8" s="16"/>
      <c r="H8" s="19"/>
      <c r="I8" s="3"/>
      <c r="K8" s="30">
        <v>-20</v>
      </c>
      <c r="L8" s="17">
        <f>D22</f>
        <v>0</v>
      </c>
      <c r="M8" s="17">
        <f>E22</f>
        <v>0</v>
      </c>
      <c r="N8" s="23">
        <f>F22</f>
        <v>0</v>
      </c>
      <c r="Q8" s="30">
        <v>-20</v>
      </c>
      <c r="R8" s="17">
        <v>4.2</v>
      </c>
      <c r="S8" s="17">
        <f>H22</f>
        <v>0</v>
      </c>
      <c r="T8" s="23">
        <f>I22</f>
        <v>0.22500000000000001</v>
      </c>
    </row>
    <row r="9" spans="2:20" ht="15" thickBot="1" x14ac:dyDescent="0.4">
      <c r="B9" s="34"/>
      <c r="C9" s="8">
        <v>3</v>
      </c>
      <c r="D9" s="16">
        <v>0</v>
      </c>
      <c r="E9" s="17"/>
      <c r="F9" s="23"/>
      <c r="G9" s="17"/>
      <c r="H9" s="17"/>
      <c r="I9" s="3"/>
      <c r="K9" s="30">
        <v>-30</v>
      </c>
      <c r="L9" s="17">
        <f>D26</f>
        <v>0</v>
      </c>
      <c r="M9" s="17">
        <f>E26</f>
        <v>0</v>
      </c>
      <c r="N9" s="23">
        <f>F26</f>
        <v>0</v>
      </c>
      <c r="Q9" s="30">
        <v>-30</v>
      </c>
      <c r="R9" s="17">
        <v>4.2</v>
      </c>
      <c r="S9" s="17">
        <f>H26</f>
        <v>0</v>
      </c>
      <c r="T9" s="23">
        <f>I26</f>
        <v>0.21666666666666667</v>
      </c>
    </row>
    <row r="10" spans="2:20" ht="15" thickBot="1" x14ac:dyDescent="0.4">
      <c r="B10" s="35"/>
      <c r="C10" s="24" t="s">
        <v>7</v>
      </c>
      <c r="D10" s="25">
        <f>AVERAGE(D7:D9)</f>
        <v>0</v>
      </c>
      <c r="E10" s="26">
        <f t="shared" ref="E10:I10" si="1">AVERAGE(E7:E9)</f>
        <v>0</v>
      </c>
      <c r="F10" s="27">
        <f t="shared" si="1"/>
        <v>0</v>
      </c>
      <c r="G10" s="26">
        <f t="shared" si="1"/>
        <v>4.2</v>
      </c>
      <c r="H10" s="26">
        <f t="shared" si="1"/>
        <v>0</v>
      </c>
      <c r="I10" s="28">
        <f t="shared" si="1"/>
        <v>0.25</v>
      </c>
      <c r="K10" s="31" t="s">
        <v>11</v>
      </c>
      <c r="L10" s="32">
        <f>AVERAGE(L4:L9)</f>
        <v>0</v>
      </c>
      <c r="M10" s="32">
        <f t="shared" ref="M10:N10" si="2">AVERAGE(M4:M9)</f>
        <v>0</v>
      </c>
      <c r="N10" s="33">
        <f t="shared" si="2"/>
        <v>0</v>
      </c>
      <c r="Q10" s="31" t="s">
        <v>11</v>
      </c>
      <c r="R10" s="32">
        <f>AVERAGE(R4:R9)</f>
        <v>4.2020833333333334</v>
      </c>
      <c r="S10" s="32">
        <f t="shared" ref="S10:T10" si="3">AVERAGE(S4:S9)</f>
        <v>0</v>
      </c>
      <c r="T10" s="33">
        <f t="shared" si="3"/>
        <v>0.23472222222222219</v>
      </c>
    </row>
    <row r="11" spans="2:20" x14ac:dyDescent="0.35">
      <c r="B11" s="34">
        <v>30</v>
      </c>
      <c r="C11" s="8">
        <v>1</v>
      </c>
      <c r="D11" s="16">
        <v>0</v>
      </c>
      <c r="E11" s="17">
        <v>0</v>
      </c>
      <c r="F11" s="23">
        <v>0</v>
      </c>
      <c r="G11" s="17">
        <v>4.2</v>
      </c>
      <c r="H11" s="17">
        <v>0</v>
      </c>
      <c r="I11" s="23">
        <f>(675-667)/30</f>
        <v>0.26666666666666666</v>
      </c>
    </row>
    <row r="12" spans="2:20" x14ac:dyDescent="0.35">
      <c r="B12" s="34"/>
      <c r="C12" s="8">
        <v>2</v>
      </c>
      <c r="D12" s="16"/>
      <c r="E12" s="17"/>
      <c r="F12" s="23"/>
      <c r="G12" s="17"/>
      <c r="H12" s="17"/>
      <c r="I12" s="23"/>
    </row>
    <row r="13" spans="2:20" x14ac:dyDescent="0.35">
      <c r="B13" s="34"/>
      <c r="C13" s="8">
        <v>3</v>
      </c>
      <c r="D13" s="16"/>
      <c r="E13" s="17"/>
      <c r="F13" s="23"/>
      <c r="G13" s="17"/>
      <c r="H13" s="17"/>
      <c r="I13" s="23"/>
    </row>
    <row r="14" spans="2:20" ht="15" thickBot="1" x14ac:dyDescent="0.4">
      <c r="B14" s="35"/>
      <c r="C14" s="24" t="s">
        <v>7</v>
      </c>
      <c r="D14" s="25">
        <f>AVERAGE(D11:D13)</f>
        <v>0</v>
      </c>
      <c r="E14" s="26">
        <f t="shared" ref="E14:I14" si="4">AVERAGE(E11:E13)</f>
        <v>0</v>
      </c>
      <c r="F14" s="27">
        <f t="shared" si="4"/>
        <v>0</v>
      </c>
      <c r="G14" s="26">
        <f t="shared" si="4"/>
        <v>4.2</v>
      </c>
      <c r="H14" s="26">
        <f t="shared" si="4"/>
        <v>0</v>
      </c>
      <c r="I14" s="27">
        <f t="shared" si="4"/>
        <v>0.26666666666666666</v>
      </c>
    </row>
    <row r="15" spans="2:20" x14ac:dyDescent="0.35">
      <c r="B15" s="36">
        <v>-10</v>
      </c>
      <c r="C15" s="9">
        <v>1</v>
      </c>
      <c r="D15" s="20">
        <v>0</v>
      </c>
      <c r="E15" s="18">
        <v>0</v>
      </c>
      <c r="F15" s="21">
        <v>0</v>
      </c>
      <c r="G15" s="20">
        <v>4.2</v>
      </c>
      <c r="H15" s="18">
        <v>0</v>
      </c>
      <c r="I15" s="21">
        <v>0.25</v>
      </c>
    </row>
    <row r="16" spans="2:20" x14ac:dyDescent="0.35">
      <c r="B16" s="34"/>
      <c r="C16" s="8">
        <v>2</v>
      </c>
      <c r="D16" s="16"/>
      <c r="E16" s="17"/>
      <c r="F16" s="23"/>
      <c r="G16" s="16"/>
      <c r="H16" s="17"/>
      <c r="I16" s="23"/>
    </row>
    <row r="17" spans="2:9" x14ac:dyDescent="0.35">
      <c r="B17" s="34"/>
      <c r="C17" s="8">
        <v>3</v>
      </c>
      <c r="D17" s="16"/>
      <c r="E17" s="17"/>
      <c r="F17" s="23"/>
      <c r="G17" s="16"/>
      <c r="H17" s="17"/>
      <c r="I17" s="23"/>
    </row>
    <row r="18" spans="2:9" ht="15" thickBot="1" x14ac:dyDescent="0.4">
      <c r="B18" s="35"/>
      <c r="C18" s="24" t="s">
        <v>7</v>
      </c>
      <c r="D18" s="25">
        <f>AVERAGE(D15:D17)</f>
        <v>0</v>
      </c>
      <c r="E18" s="26">
        <f t="shared" ref="E18:I18" si="5">AVERAGE(E15:E17)</f>
        <v>0</v>
      </c>
      <c r="F18" s="27">
        <f t="shared" si="5"/>
        <v>0</v>
      </c>
      <c r="G18" s="25">
        <f t="shared" si="5"/>
        <v>4.2</v>
      </c>
      <c r="H18" s="26">
        <f t="shared" si="5"/>
        <v>0</v>
      </c>
      <c r="I18" s="27">
        <f t="shared" si="5"/>
        <v>0.25</v>
      </c>
    </row>
    <row r="19" spans="2:9" x14ac:dyDescent="0.35">
      <c r="B19" s="36">
        <v>-20</v>
      </c>
      <c r="C19" s="9">
        <v>1</v>
      </c>
      <c r="D19" s="20">
        <v>0</v>
      </c>
      <c r="E19" s="18">
        <v>0</v>
      </c>
      <c r="F19" s="21">
        <v>0</v>
      </c>
      <c r="G19" s="18">
        <v>4.2</v>
      </c>
      <c r="H19" s="18">
        <v>0</v>
      </c>
      <c r="I19" s="7">
        <f>(662.5-667)/-20</f>
        <v>0.22500000000000001</v>
      </c>
    </row>
    <row r="20" spans="2:9" x14ac:dyDescent="0.35">
      <c r="B20" s="34"/>
      <c r="C20" s="8">
        <v>2</v>
      </c>
      <c r="D20" s="22"/>
      <c r="E20" s="19"/>
      <c r="F20" s="23"/>
      <c r="G20" s="16"/>
      <c r="H20" s="19"/>
      <c r="I20" s="3"/>
    </row>
    <row r="21" spans="2:9" x14ac:dyDescent="0.35">
      <c r="B21" s="34"/>
      <c r="C21" s="8">
        <v>3</v>
      </c>
      <c r="D21" s="16"/>
      <c r="E21" s="17"/>
      <c r="F21" s="23"/>
      <c r="G21" s="17"/>
      <c r="H21" s="17"/>
      <c r="I21" s="3"/>
    </row>
    <row r="22" spans="2:9" ht="15" thickBot="1" x14ac:dyDescent="0.4">
      <c r="B22" s="35"/>
      <c r="C22" s="24" t="s">
        <v>7</v>
      </c>
      <c r="D22" s="25">
        <f>AVERAGE(D19:D21)</f>
        <v>0</v>
      </c>
      <c r="E22" s="26">
        <f t="shared" ref="E22:I22" si="6">AVERAGE(E19:E21)</f>
        <v>0</v>
      </c>
      <c r="F22" s="27">
        <f t="shared" si="6"/>
        <v>0</v>
      </c>
      <c r="G22" s="26">
        <f t="shared" si="6"/>
        <v>4.2</v>
      </c>
      <c r="H22" s="26">
        <f t="shared" si="6"/>
        <v>0</v>
      </c>
      <c r="I22" s="28">
        <f t="shared" si="6"/>
        <v>0.22500000000000001</v>
      </c>
    </row>
    <row r="23" spans="2:9" x14ac:dyDescent="0.35">
      <c r="B23" s="34">
        <v>-30</v>
      </c>
      <c r="C23" s="8">
        <v>1</v>
      </c>
      <c r="D23" s="16">
        <v>0</v>
      </c>
      <c r="E23" s="17">
        <v>0</v>
      </c>
      <c r="F23" s="23">
        <v>0</v>
      </c>
      <c r="G23" s="17">
        <v>4.2</v>
      </c>
      <c r="H23" s="17">
        <v>0</v>
      </c>
      <c r="I23" s="21">
        <f>(660.5-667)/-30</f>
        <v>0.21666666666666667</v>
      </c>
    </row>
    <row r="24" spans="2:9" x14ac:dyDescent="0.35">
      <c r="B24" s="34"/>
      <c r="C24" s="8">
        <v>2</v>
      </c>
      <c r="D24" s="16"/>
      <c r="E24" s="17"/>
      <c r="F24" s="23"/>
      <c r="G24" s="17"/>
      <c r="H24" s="17"/>
      <c r="I24" s="23"/>
    </row>
    <row r="25" spans="2:9" x14ac:dyDescent="0.35">
      <c r="B25" s="34"/>
      <c r="C25" s="8">
        <v>3</v>
      </c>
      <c r="D25" s="16"/>
      <c r="E25" s="17"/>
      <c r="F25" s="23"/>
      <c r="G25" s="17"/>
      <c r="H25" s="17"/>
      <c r="I25" s="23"/>
    </row>
    <row r="26" spans="2:9" ht="15" thickBot="1" x14ac:dyDescent="0.4">
      <c r="B26" s="35"/>
      <c r="C26" s="24" t="s">
        <v>7</v>
      </c>
      <c r="D26" s="25">
        <f>AVERAGE(D23:D25)</f>
        <v>0</v>
      </c>
      <c r="E26" s="26">
        <f t="shared" ref="E26:I26" si="7">AVERAGE(E23:E25)</f>
        <v>0</v>
      </c>
      <c r="F26" s="27">
        <f t="shared" si="7"/>
        <v>0</v>
      </c>
      <c r="G26" s="26">
        <f t="shared" si="7"/>
        <v>4.2</v>
      </c>
      <c r="H26" s="26">
        <f t="shared" si="7"/>
        <v>0</v>
      </c>
      <c r="I26" s="27">
        <f t="shared" si="7"/>
        <v>0.21666666666666667</v>
      </c>
    </row>
    <row r="27" spans="2:9" x14ac:dyDescent="0.35">
      <c r="B27" t="s">
        <v>9</v>
      </c>
    </row>
  </sheetData>
  <mergeCells count="10">
    <mergeCell ref="G1:I1"/>
    <mergeCell ref="L2:N2"/>
    <mergeCell ref="R2:T2"/>
    <mergeCell ref="B3:B6"/>
    <mergeCell ref="B7:B10"/>
    <mergeCell ref="B11:B14"/>
    <mergeCell ref="B15:B18"/>
    <mergeCell ref="B19:B22"/>
    <mergeCell ref="B23:B26"/>
    <mergeCell ref="D1:F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2F574-A14F-4CD1-A394-969BED577BA3}">
  <dimension ref="B1:T31"/>
  <sheetViews>
    <sheetView topLeftCell="C1" zoomScale="85" zoomScaleNormal="85" workbookViewId="0">
      <selection activeCell="I23" sqref="I23"/>
    </sheetView>
  </sheetViews>
  <sheetFormatPr defaultRowHeight="14.5" x14ac:dyDescent="0.35"/>
  <cols>
    <col min="2" max="2" width="16.90625" customWidth="1"/>
    <col min="3" max="3" width="4.90625" customWidth="1"/>
    <col min="4" max="4" width="12.90625" customWidth="1"/>
    <col min="5" max="5" width="15.08984375" customWidth="1"/>
    <col min="6" max="6" width="10.36328125" bestFit="1" customWidth="1"/>
    <col min="7" max="7" width="12.36328125" customWidth="1"/>
    <col min="8" max="8" width="15.08984375" customWidth="1"/>
    <col min="9" max="9" width="10.36328125" bestFit="1" customWidth="1"/>
    <col min="11" max="11" width="13.453125" customWidth="1"/>
    <col min="12" max="12" width="12.54296875" customWidth="1"/>
    <col min="13" max="13" width="14.81640625" customWidth="1"/>
  </cols>
  <sheetData>
    <row r="1" spans="2:20" ht="15" thickBot="1" x14ac:dyDescent="0.4">
      <c r="B1" s="1"/>
      <c r="C1" s="2"/>
      <c r="D1" s="37" t="s">
        <v>15</v>
      </c>
      <c r="E1" s="38"/>
      <c r="F1" s="39"/>
      <c r="G1" s="38" t="s">
        <v>16</v>
      </c>
      <c r="H1" s="38"/>
      <c r="I1" s="39"/>
    </row>
    <row r="2" spans="2:20" ht="15" thickBot="1" x14ac:dyDescent="0.4">
      <c r="B2" s="6" t="s">
        <v>14</v>
      </c>
      <c r="C2" s="4" t="s">
        <v>0</v>
      </c>
      <c r="D2" s="6" t="s">
        <v>1</v>
      </c>
      <c r="E2" s="4" t="s">
        <v>2</v>
      </c>
      <c r="F2" s="5" t="s">
        <v>3</v>
      </c>
      <c r="G2" s="48" t="s">
        <v>1</v>
      </c>
      <c r="H2" s="48" t="s">
        <v>2</v>
      </c>
      <c r="I2" s="3" t="s">
        <v>3</v>
      </c>
      <c r="K2" s="31"/>
      <c r="L2" s="40" t="s">
        <v>5</v>
      </c>
      <c r="M2" s="40"/>
      <c r="N2" s="41"/>
      <c r="Q2" s="31"/>
      <c r="R2" s="40" t="s">
        <v>6</v>
      </c>
      <c r="S2" s="40"/>
      <c r="T2" s="41"/>
    </row>
    <row r="3" spans="2:20" ht="15" thickBot="1" x14ac:dyDescent="0.4">
      <c r="B3" s="36">
        <v>10</v>
      </c>
      <c r="C3" s="9" t="s">
        <v>8</v>
      </c>
      <c r="D3" s="10">
        <v>0</v>
      </c>
      <c r="E3" s="11">
        <v>0</v>
      </c>
      <c r="F3" s="11">
        <v>0</v>
      </c>
      <c r="G3" s="10">
        <v>4.2125000000000004</v>
      </c>
      <c r="H3" s="11">
        <v>0</v>
      </c>
      <c r="I3" s="7">
        <f>(675-667)/10</f>
        <v>0.8</v>
      </c>
      <c r="K3" s="29" t="s">
        <v>10</v>
      </c>
      <c r="L3" s="4" t="s">
        <v>1</v>
      </c>
      <c r="M3" s="4" t="s">
        <v>2</v>
      </c>
      <c r="N3" s="5" t="s">
        <v>3</v>
      </c>
      <c r="Q3" s="29" t="s">
        <v>10</v>
      </c>
      <c r="R3" s="4" t="s">
        <v>1</v>
      </c>
      <c r="S3" s="4" t="s">
        <v>2</v>
      </c>
      <c r="T3" s="5" t="s">
        <v>3</v>
      </c>
    </row>
    <row r="4" spans="2:20" x14ac:dyDescent="0.35">
      <c r="B4" s="34"/>
      <c r="C4" s="8">
        <v>2</v>
      </c>
      <c r="D4" s="13">
        <v>0</v>
      </c>
      <c r="E4" s="14">
        <v>0</v>
      </c>
      <c r="F4" s="14">
        <v>0</v>
      </c>
      <c r="G4" s="13"/>
      <c r="H4" s="14"/>
      <c r="I4" s="15"/>
      <c r="K4" s="30">
        <v>10</v>
      </c>
      <c r="L4" s="17">
        <f>D6</f>
        <v>0</v>
      </c>
      <c r="M4" s="17">
        <f>E6</f>
        <v>0</v>
      </c>
      <c r="N4" s="23">
        <f>F6</f>
        <v>0</v>
      </c>
      <c r="Q4" s="30">
        <v>10</v>
      </c>
      <c r="R4" s="17">
        <f>G6</f>
        <v>4.2125000000000004</v>
      </c>
      <c r="S4" s="17">
        <f>H6</f>
        <v>0</v>
      </c>
      <c r="T4" s="23">
        <f>I6</f>
        <v>0.8</v>
      </c>
    </row>
    <row r="5" spans="2:20" ht="15" thickBot="1" x14ac:dyDescent="0.4">
      <c r="B5" s="34"/>
      <c r="C5" s="8">
        <v>3</v>
      </c>
      <c r="D5" s="45">
        <v>0</v>
      </c>
      <c r="E5" s="46">
        <v>0</v>
      </c>
      <c r="F5" s="46">
        <v>0</v>
      </c>
      <c r="G5" s="45"/>
      <c r="H5" s="46"/>
      <c r="I5" s="47"/>
      <c r="K5" s="30">
        <v>20</v>
      </c>
      <c r="L5" s="17">
        <f>D10</f>
        <v>0</v>
      </c>
      <c r="M5" s="17">
        <f>E10</f>
        <v>0</v>
      </c>
      <c r="N5" s="23">
        <f>F10</f>
        <v>0</v>
      </c>
      <c r="Q5" s="30">
        <v>20</v>
      </c>
      <c r="R5" s="17">
        <f>G10</f>
        <v>4.2</v>
      </c>
      <c r="S5" s="17">
        <f>H10</f>
        <v>0</v>
      </c>
      <c r="T5" s="23">
        <f>I10</f>
        <v>0.8</v>
      </c>
    </row>
    <row r="6" spans="2:20" ht="15" thickBot="1" x14ac:dyDescent="0.4">
      <c r="B6" s="35"/>
      <c r="C6" s="24" t="s">
        <v>7</v>
      </c>
      <c r="D6" s="42">
        <f>AVERAGE(D3:D5)</f>
        <v>0</v>
      </c>
      <c r="E6" s="43">
        <f t="shared" ref="E6:I6" si="0">AVERAGE(E3:E5)</f>
        <v>0</v>
      </c>
      <c r="F6" s="44">
        <f t="shared" si="0"/>
        <v>0</v>
      </c>
      <c r="G6" s="42">
        <f t="shared" si="0"/>
        <v>4.2125000000000004</v>
      </c>
      <c r="H6" s="43">
        <f t="shared" si="0"/>
        <v>0</v>
      </c>
      <c r="I6" s="44">
        <f>AVERAGE(I3:I5)</f>
        <v>0.8</v>
      </c>
      <c r="K6" s="30">
        <v>30</v>
      </c>
      <c r="L6" s="17">
        <f>D14</f>
        <v>0</v>
      </c>
      <c r="M6" s="17">
        <f>E14</f>
        <v>0</v>
      </c>
      <c r="N6" s="23">
        <f>F14</f>
        <v>0</v>
      </c>
      <c r="Q6" s="30">
        <v>30</v>
      </c>
      <c r="R6" s="17">
        <v>4.2</v>
      </c>
      <c r="S6" s="17">
        <f>H14</f>
        <v>0</v>
      </c>
      <c r="T6" s="23">
        <f>I14</f>
        <v>0.81666666666666665</v>
      </c>
    </row>
    <row r="7" spans="2:20" x14ac:dyDescent="0.35">
      <c r="B7" s="36">
        <v>20</v>
      </c>
      <c r="C7" s="9">
        <v>1</v>
      </c>
      <c r="D7" s="20">
        <v>0</v>
      </c>
      <c r="E7" s="18">
        <v>0</v>
      </c>
      <c r="F7" s="21">
        <v>0</v>
      </c>
      <c r="G7" s="18">
        <v>4.2</v>
      </c>
      <c r="H7" s="18">
        <v>0</v>
      </c>
      <c r="I7" s="7">
        <f>(683-667)/20</f>
        <v>0.8</v>
      </c>
      <c r="K7" s="30">
        <v>-10</v>
      </c>
      <c r="L7" s="17">
        <f>D18</f>
        <v>0</v>
      </c>
      <c r="M7" s="17">
        <f>E18</f>
        <v>0</v>
      </c>
      <c r="N7" s="23">
        <f>F18</f>
        <v>0</v>
      </c>
      <c r="Q7" s="30">
        <v>-10</v>
      </c>
      <c r="R7" s="17">
        <v>4.2</v>
      </c>
      <c r="S7" s="17">
        <f>H18</f>
        <v>0</v>
      </c>
      <c r="T7" s="23">
        <f>I18</f>
        <v>0.8</v>
      </c>
    </row>
    <row r="8" spans="2:20" x14ac:dyDescent="0.35">
      <c r="B8" s="34"/>
      <c r="C8" s="8">
        <v>2</v>
      </c>
      <c r="D8" s="22">
        <v>0</v>
      </c>
      <c r="E8" s="19"/>
      <c r="F8" s="23"/>
      <c r="G8" s="16"/>
      <c r="H8" s="19"/>
      <c r="I8" s="3"/>
      <c r="K8" s="30">
        <v>-20</v>
      </c>
      <c r="L8" s="17">
        <f>D22</f>
        <v>0</v>
      </c>
      <c r="M8" s="17">
        <f>E22</f>
        <v>0</v>
      </c>
      <c r="N8" s="23">
        <f>F22</f>
        <v>0</v>
      </c>
      <c r="Q8" s="30">
        <v>-20</v>
      </c>
      <c r="R8" s="17">
        <v>4.2</v>
      </c>
      <c r="S8" s="17">
        <f>H22</f>
        <v>0</v>
      </c>
      <c r="T8" s="23">
        <f>I22</f>
        <v>0.83750000000000002</v>
      </c>
    </row>
    <row r="9" spans="2:20" ht="15" thickBot="1" x14ac:dyDescent="0.4">
      <c r="B9" s="34"/>
      <c r="C9" s="8">
        <v>3</v>
      </c>
      <c r="D9" s="16">
        <v>0</v>
      </c>
      <c r="E9" s="17"/>
      <c r="F9" s="23"/>
      <c r="G9" s="17"/>
      <c r="H9" s="17"/>
      <c r="I9" s="3"/>
      <c r="K9" s="30">
        <v>-30</v>
      </c>
      <c r="L9" s="17">
        <f>D26</f>
        <v>0</v>
      </c>
      <c r="M9" s="17">
        <f>E26</f>
        <v>0</v>
      </c>
      <c r="N9" s="23">
        <f>F26</f>
        <v>0</v>
      </c>
      <c r="Q9" s="30">
        <v>-30</v>
      </c>
      <c r="R9" s="17">
        <v>4.2</v>
      </c>
      <c r="S9" s="17">
        <f>H26</f>
        <v>0</v>
      </c>
      <c r="T9" s="23">
        <f>I26</f>
        <v>0.83333333333333337</v>
      </c>
    </row>
    <row r="10" spans="2:20" ht="15" thickBot="1" x14ac:dyDescent="0.4">
      <c r="B10" s="35"/>
      <c r="C10" s="24" t="s">
        <v>7</v>
      </c>
      <c r="D10" s="25">
        <f>AVERAGE(D7:D9)</f>
        <v>0</v>
      </c>
      <c r="E10" s="26">
        <f t="shared" ref="E10:I10" si="1">AVERAGE(E7:E9)</f>
        <v>0</v>
      </c>
      <c r="F10" s="27">
        <f t="shared" si="1"/>
        <v>0</v>
      </c>
      <c r="G10" s="26">
        <f t="shared" si="1"/>
        <v>4.2</v>
      </c>
      <c r="H10" s="26">
        <f t="shared" si="1"/>
        <v>0</v>
      </c>
      <c r="I10" s="28">
        <f t="shared" si="1"/>
        <v>0.8</v>
      </c>
      <c r="K10" s="31" t="s">
        <v>11</v>
      </c>
      <c r="L10" s="32">
        <f>AVERAGE(L4:L9)</f>
        <v>0</v>
      </c>
      <c r="M10" s="32">
        <f t="shared" ref="M10:N10" si="2">AVERAGE(M4:M9)</f>
        <v>0</v>
      </c>
      <c r="N10" s="33">
        <f t="shared" si="2"/>
        <v>0</v>
      </c>
      <c r="Q10" s="31" t="s">
        <v>11</v>
      </c>
      <c r="R10" s="32">
        <f>AVERAGE(R4:R9)</f>
        <v>4.2020833333333334</v>
      </c>
      <c r="S10" s="32">
        <f t="shared" ref="S10:T10" si="3">AVERAGE(S4:S9)</f>
        <v>0</v>
      </c>
      <c r="T10" s="33">
        <f t="shared" si="3"/>
        <v>0.81458333333333333</v>
      </c>
    </row>
    <row r="11" spans="2:20" x14ac:dyDescent="0.35">
      <c r="B11" s="34">
        <v>30</v>
      </c>
      <c r="C11" s="8">
        <v>1</v>
      </c>
      <c r="D11" s="16">
        <v>0</v>
      </c>
      <c r="E11" s="17">
        <v>0</v>
      </c>
      <c r="F11" s="23">
        <v>0</v>
      </c>
      <c r="G11" s="17">
        <v>4.2</v>
      </c>
      <c r="H11" s="17">
        <v>0</v>
      </c>
      <c r="I11" s="7">
        <f>(691.5-667)/30</f>
        <v>0.81666666666666665</v>
      </c>
    </row>
    <row r="12" spans="2:20" x14ac:dyDescent="0.35">
      <c r="B12" s="34"/>
      <c r="C12" s="8">
        <v>2</v>
      </c>
      <c r="D12" s="16"/>
      <c r="E12" s="17"/>
      <c r="F12" s="23"/>
      <c r="G12" s="17"/>
      <c r="H12" s="17"/>
      <c r="I12" s="23"/>
    </row>
    <row r="13" spans="2:20" x14ac:dyDescent="0.35">
      <c r="B13" s="34"/>
      <c r="C13" s="8">
        <v>3</v>
      </c>
      <c r="D13" s="16"/>
      <c r="E13" s="17"/>
      <c r="F13" s="23"/>
      <c r="G13" s="17"/>
      <c r="H13" s="17"/>
      <c r="I13" s="23"/>
    </row>
    <row r="14" spans="2:20" ht="15" thickBot="1" x14ac:dyDescent="0.4">
      <c r="B14" s="35"/>
      <c r="C14" s="24" t="s">
        <v>7</v>
      </c>
      <c r="D14" s="25">
        <f>AVERAGE(D11:D13)</f>
        <v>0</v>
      </c>
      <c r="E14" s="26">
        <f t="shared" ref="E14:I14" si="4">AVERAGE(E11:E13)</f>
        <v>0</v>
      </c>
      <c r="F14" s="27">
        <f t="shared" si="4"/>
        <v>0</v>
      </c>
      <c r="G14" s="26">
        <f t="shared" si="4"/>
        <v>4.2</v>
      </c>
      <c r="H14" s="26">
        <f t="shared" si="4"/>
        <v>0</v>
      </c>
      <c r="I14" s="27">
        <f t="shared" si="4"/>
        <v>0.81666666666666665</v>
      </c>
    </row>
    <row r="15" spans="2:20" x14ac:dyDescent="0.35">
      <c r="B15" s="36">
        <v>-10</v>
      </c>
      <c r="C15" s="9">
        <v>1</v>
      </c>
      <c r="D15" s="20">
        <v>0</v>
      </c>
      <c r="E15" s="18">
        <v>0</v>
      </c>
      <c r="F15" s="21">
        <v>0</v>
      </c>
      <c r="G15" s="20">
        <v>4.2</v>
      </c>
      <c r="H15" s="18">
        <v>0</v>
      </c>
      <c r="I15" s="7">
        <f>(659-667)/-10</f>
        <v>0.8</v>
      </c>
    </row>
    <row r="16" spans="2:20" x14ac:dyDescent="0.35">
      <c r="B16" s="34"/>
      <c r="C16" s="8">
        <v>2</v>
      </c>
      <c r="D16" s="16"/>
      <c r="E16" s="17"/>
      <c r="F16" s="23"/>
      <c r="G16" s="16"/>
      <c r="H16" s="17"/>
      <c r="I16" s="23"/>
    </row>
    <row r="17" spans="2:11" x14ac:dyDescent="0.35">
      <c r="B17" s="34"/>
      <c r="C17" s="8">
        <v>3</v>
      </c>
      <c r="D17" s="16"/>
      <c r="E17" s="17"/>
      <c r="F17" s="23"/>
      <c r="G17" s="16"/>
      <c r="H17" s="17"/>
      <c r="I17" s="23"/>
    </row>
    <row r="18" spans="2:11" ht="15" thickBot="1" x14ac:dyDescent="0.4">
      <c r="B18" s="35"/>
      <c r="C18" s="24" t="s">
        <v>7</v>
      </c>
      <c r="D18" s="25">
        <f>AVERAGE(D15:D17)</f>
        <v>0</v>
      </c>
      <c r="E18" s="26">
        <f t="shared" ref="E18:I18" si="5">AVERAGE(E15:E17)</f>
        <v>0</v>
      </c>
      <c r="F18" s="27">
        <f t="shared" si="5"/>
        <v>0</v>
      </c>
      <c r="G18" s="25">
        <f t="shared" si="5"/>
        <v>4.2</v>
      </c>
      <c r="H18" s="26">
        <f t="shared" si="5"/>
        <v>0</v>
      </c>
      <c r="I18" s="27">
        <f t="shared" si="5"/>
        <v>0.8</v>
      </c>
    </row>
    <row r="19" spans="2:11" x14ac:dyDescent="0.35">
      <c r="B19" s="36">
        <v>-20</v>
      </c>
      <c r="C19" s="9">
        <v>1</v>
      </c>
      <c r="D19" s="20">
        <v>0</v>
      </c>
      <c r="E19" s="18">
        <v>0</v>
      </c>
      <c r="F19" s="21">
        <v>0</v>
      </c>
      <c r="G19" s="18">
        <v>4.2</v>
      </c>
      <c r="H19" s="18">
        <v>0</v>
      </c>
      <c r="I19" s="7">
        <f>(650.25-667)/-20</f>
        <v>0.83750000000000002</v>
      </c>
    </row>
    <row r="20" spans="2:11" x14ac:dyDescent="0.35">
      <c r="B20" s="34"/>
      <c r="C20" s="8">
        <v>2</v>
      </c>
      <c r="D20" s="22"/>
      <c r="E20" s="19"/>
      <c r="F20" s="23"/>
      <c r="G20" s="16"/>
      <c r="H20" s="19"/>
      <c r="I20" s="3"/>
    </row>
    <row r="21" spans="2:11" x14ac:dyDescent="0.35">
      <c r="B21" s="34"/>
      <c r="C21" s="8">
        <v>3</v>
      </c>
      <c r="D21" s="16"/>
      <c r="E21" s="17"/>
      <c r="F21" s="23"/>
      <c r="G21" s="17"/>
      <c r="H21" s="17"/>
      <c r="I21" s="3"/>
    </row>
    <row r="22" spans="2:11" ht="15" thickBot="1" x14ac:dyDescent="0.4">
      <c r="B22" s="35"/>
      <c r="C22" s="24" t="s">
        <v>7</v>
      </c>
      <c r="D22" s="25">
        <f>AVERAGE(D19:D21)</f>
        <v>0</v>
      </c>
      <c r="E22" s="26">
        <f t="shared" ref="E22:I22" si="6">AVERAGE(E19:E21)</f>
        <v>0</v>
      </c>
      <c r="F22" s="27">
        <f t="shared" si="6"/>
        <v>0</v>
      </c>
      <c r="G22" s="26">
        <f t="shared" si="6"/>
        <v>4.2</v>
      </c>
      <c r="H22" s="26">
        <f t="shared" si="6"/>
        <v>0</v>
      </c>
      <c r="I22" s="28">
        <f t="shared" si="6"/>
        <v>0.83750000000000002</v>
      </c>
    </row>
    <row r="23" spans="2:11" x14ac:dyDescent="0.35">
      <c r="B23" s="34">
        <v>-30</v>
      </c>
      <c r="C23" s="8">
        <v>1</v>
      </c>
      <c r="D23" s="16">
        <v>0</v>
      </c>
      <c r="E23" s="17">
        <v>0</v>
      </c>
      <c r="F23" s="23">
        <v>0</v>
      </c>
      <c r="G23" s="17">
        <v>4.2</v>
      </c>
      <c r="H23" s="17">
        <v>0</v>
      </c>
      <c r="I23" s="12">
        <f>(642-667)/-30</f>
        <v>0.83333333333333337</v>
      </c>
    </row>
    <row r="24" spans="2:11" x14ac:dyDescent="0.35">
      <c r="B24" s="34"/>
      <c r="C24" s="8">
        <v>2</v>
      </c>
      <c r="D24" s="16"/>
      <c r="E24" s="17"/>
      <c r="F24" s="23"/>
      <c r="G24" s="17"/>
      <c r="H24" s="17"/>
      <c r="I24" s="23"/>
    </row>
    <row r="25" spans="2:11" x14ac:dyDescent="0.35">
      <c r="B25" s="34"/>
      <c r="C25" s="8">
        <v>3</v>
      </c>
      <c r="D25" s="16"/>
      <c r="E25" s="17"/>
      <c r="F25" s="23"/>
      <c r="G25" s="17"/>
      <c r="H25" s="17"/>
      <c r="I25" s="23"/>
    </row>
    <row r="26" spans="2:11" ht="15" thickBot="1" x14ac:dyDescent="0.4">
      <c r="B26" s="35"/>
      <c r="C26" s="24" t="s">
        <v>7</v>
      </c>
      <c r="D26" s="25">
        <f>AVERAGE(D23:D25)</f>
        <v>0</v>
      </c>
      <c r="E26" s="26">
        <f t="shared" ref="E26:I26" si="7">AVERAGE(E23:E25)</f>
        <v>0</v>
      </c>
      <c r="F26" s="27">
        <f t="shared" si="7"/>
        <v>0</v>
      </c>
      <c r="G26" s="26">
        <f t="shared" si="7"/>
        <v>4.2</v>
      </c>
      <c r="H26" s="26">
        <f t="shared" si="7"/>
        <v>0</v>
      </c>
      <c r="I26" s="27">
        <f t="shared" si="7"/>
        <v>0.83333333333333337</v>
      </c>
    </row>
    <row r="27" spans="2:11" x14ac:dyDescent="0.35">
      <c r="B27" t="s">
        <v>9</v>
      </c>
    </row>
    <row r="31" spans="2:11" x14ac:dyDescent="0.35">
      <c r="K31">
        <f>(675-667)/10</f>
        <v>0.8</v>
      </c>
    </row>
  </sheetData>
  <mergeCells count="10">
    <mergeCell ref="B11:B14"/>
    <mergeCell ref="B15:B18"/>
    <mergeCell ref="B19:B22"/>
    <mergeCell ref="B23:B26"/>
    <mergeCell ref="D1:F1"/>
    <mergeCell ref="G1:I1"/>
    <mergeCell ref="L2:N2"/>
    <mergeCell ref="R2:T2"/>
    <mergeCell ref="B3:B6"/>
    <mergeCell ref="B7:B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RF Step Tests</vt:lpstr>
      <vt:lpstr>CF Step Tests</vt:lpstr>
      <vt:lpstr>RIT Step Tests</vt:lpstr>
      <vt:lpstr>CIT Step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forshaw</dc:creator>
  <cp:lastModifiedBy>nathan forshaw</cp:lastModifiedBy>
  <dcterms:created xsi:type="dcterms:W3CDTF">2015-06-05T18:17:20Z</dcterms:created>
  <dcterms:modified xsi:type="dcterms:W3CDTF">2020-06-15T10:45:56Z</dcterms:modified>
</cp:coreProperties>
</file>