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ocuments/GitHub/Thesis/masters_thesis/"/>
    </mc:Choice>
  </mc:AlternateContent>
  <xr:revisionPtr revIDLastSave="0" documentId="13_ncr:1_{B8F0C8C1-3275-4148-8364-D033260A37CC}" xr6:coauthVersionLast="47" xr6:coauthVersionMax="47" xr10:uidLastSave="{00000000-0000-0000-0000-000000000000}"/>
  <bookViews>
    <workbookView xWindow="0" yWindow="500" windowWidth="28800" windowHeight="17500" activeTab="1" xr2:uid="{25FBA88E-EC9F-C04D-861F-F634C314553C}"/>
  </bookViews>
  <sheets>
    <sheet name="study_features" sheetId="5" r:id="rId1"/>
    <sheet name="Include" sheetId="1" r:id="rId2"/>
    <sheet name="Exclude " sheetId="2" r:id="rId3"/>
  </sheets>
  <definedNames>
    <definedName name="_xlnm._FilterDatabase" localSheetId="1" hidden="1">Include!$A$1:$AB$95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0" i="1" l="1"/>
  <c r="T91" i="1"/>
  <c r="T92" i="1"/>
  <c r="T93" i="1"/>
  <c r="T94" i="1"/>
  <c r="T95" i="1"/>
  <c r="T89" i="1"/>
  <c r="T88" i="1"/>
  <c r="T87" i="1"/>
  <c r="T86" i="1"/>
  <c r="T85" i="1"/>
  <c r="V84" i="1"/>
  <c r="V83" i="1"/>
  <c r="V82" i="1" l="1"/>
  <c r="T82" i="1" s="1"/>
  <c r="U82" i="1"/>
  <c r="U80" i="1"/>
  <c r="Y80" i="1" s="1"/>
  <c r="U81" i="1"/>
  <c r="Y81" i="1" s="1"/>
  <c r="U79" i="1"/>
  <c r="Y79" i="1" s="1"/>
  <c r="T79" i="1"/>
  <c r="U78" i="1"/>
  <c r="V78" i="1"/>
  <c r="T78" i="1" s="1"/>
  <c r="V77" i="1"/>
  <c r="T77" i="1" s="1"/>
  <c r="U77" i="1"/>
  <c r="V71" i="1"/>
  <c r="V70" i="1"/>
  <c r="T70" i="1" s="1"/>
  <c r="V69" i="1"/>
  <c r="T69" i="1" s="1"/>
  <c r="V68" i="1"/>
  <c r="T68" i="1" s="1"/>
  <c r="V67" i="1"/>
  <c r="T67" i="1" s="1"/>
  <c r="V66" i="1"/>
  <c r="T66" i="1" s="1"/>
  <c r="V65" i="1"/>
  <c r="T65" i="1" s="1"/>
  <c r="V64" i="1"/>
  <c r="T64" i="1" s="1"/>
  <c r="V63" i="1"/>
  <c r="T63" i="1" s="1"/>
  <c r="V62" i="1"/>
  <c r="T62" i="1" s="1"/>
  <c r="V61" i="1"/>
  <c r="T61" i="1" s="1"/>
  <c r="V60" i="1"/>
  <c r="T60" i="1" s="1"/>
  <c r="V59" i="1"/>
  <c r="T59" i="1" s="1"/>
  <c r="V58" i="1"/>
  <c r="V57" i="1"/>
  <c r="T57" i="1" s="1"/>
  <c r="V56" i="1"/>
  <c r="T56" i="1" s="1"/>
  <c r="V55" i="1"/>
  <c r="T55" i="1" s="1"/>
  <c r="V54" i="1"/>
  <c r="T54" i="1" s="1"/>
  <c r="V53" i="1"/>
  <c r="T53" i="1" s="1"/>
  <c r="V52" i="1"/>
  <c r="T52" i="1" s="1"/>
  <c r="V51" i="1"/>
  <c r="T51" i="1" s="1"/>
  <c r="V50" i="1"/>
  <c r="T50" i="1" s="1"/>
  <c r="V49" i="1"/>
  <c r="T49" i="1" s="1"/>
  <c r="V48" i="1"/>
  <c r="T48" i="1" s="1"/>
  <c r="V47" i="1"/>
  <c r="T47" i="1" s="1"/>
  <c r="V46" i="1"/>
  <c r="T46" i="1" s="1"/>
  <c r="V45" i="1"/>
  <c r="T45" i="1" s="1"/>
  <c r="U71" i="1"/>
  <c r="T71" i="1" s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T58" i="1" s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X44" i="1"/>
  <c r="T44" i="1"/>
  <c r="U43" i="1"/>
  <c r="Y43" i="1" s="1"/>
  <c r="T43" i="1"/>
  <c r="U42" i="1"/>
  <c r="Y42" i="1" s="1"/>
  <c r="T42" i="1"/>
  <c r="U41" i="1"/>
  <c r="Y41" i="1" s="1"/>
  <c r="T41" i="1"/>
  <c r="U40" i="1"/>
  <c r="Y40" i="1" s="1"/>
  <c r="U39" i="1"/>
  <c r="Y39" i="1" s="1"/>
  <c r="U38" i="1"/>
  <c r="Y38" i="1" s="1"/>
  <c r="T39" i="1"/>
  <c r="T40" i="1"/>
  <c r="T38" i="1"/>
  <c r="Y52" i="1" l="1"/>
  <c r="Y60" i="1"/>
  <c r="Y77" i="1"/>
  <c r="Y78" i="1"/>
  <c r="Y82" i="1"/>
  <c r="Y66" i="1"/>
  <c r="Y68" i="1"/>
  <c r="Y45" i="1"/>
  <c r="Y53" i="1"/>
  <c r="Y61" i="1"/>
  <c r="Y69" i="1"/>
  <c r="Y46" i="1"/>
  <c r="Y54" i="1"/>
  <c r="Y62" i="1"/>
  <c r="Y70" i="1"/>
  <c r="Y47" i="1"/>
  <c r="Y55" i="1"/>
  <c r="Y63" i="1"/>
  <c r="Y58" i="1"/>
  <c r="Y50" i="1"/>
  <c r="Y48" i="1"/>
  <c r="Y56" i="1"/>
  <c r="Y64" i="1"/>
  <c r="Y49" i="1"/>
  <c r="Y57" i="1"/>
  <c r="Y65" i="1"/>
  <c r="Y67" i="1"/>
  <c r="Y59" i="1"/>
  <c r="Y51" i="1"/>
  <c r="Y71" i="1"/>
  <c r="T37" i="1" l="1"/>
  <c r="T36" i="1"/>
  <c r="T35" i="1"/>
  <c r="U32" i="1"/>
  <c r="U31" i="1"/>
  <c r="U30" i="1"/>
  <c r="U29" i="1"/>
  <c r="U28" i="1"/>
  <c r="U27" i="1"/>
  <c r="U26" i="1"/>
  <c r="V25" i="1"/>
  <c r="U25" i="1"/>
  <c r="T25" i="1" s="1"/>
  <c r="V24" i="1"/>
  <c r="T24" i="1" s="1"/>
  <c r="U24" i="1"/>
  <c r="U23" i="1"/>
  <c r="Y23" i="1" s="1"/>
  <c r="T23" i="1"/>
  <c r="T22" i="1"/>
  <c r="V22" i="1"/>
  <c r="V21" i="1"/>
  <c r="V20" i="1"/>
  <c r="V14" i="1"/>
  <c r="Y14" i="1" s="1"/>
  <c r="V15" i="1"/>
  <c r="Y15" i="1" s="1"/>
  <c r="V16" i="1"/>
  <c r="T16" i="1" s="1"/>
  <c r="V17" i="1"/>
  <c r="Y17" i="1" s="1"/>
  <c r="V18" i="1"/>
  <c r="Y18" i="1" s="1"/>
  <c r="V19" i="1"/>
  <c r="Y19" i="1" s="1"/>
  <c r="V13" i="1"/>
  <c r="T13" i="1" s="1"/>
  <c r="U13" i="1"/>
  <c r="V11" i="1"/>
  <c r="V12" i="1"/>
  <c r="V10" i="1"/>
  <c r="T12" i="1"/>
  <c r="T11" i="1"/>
  <c r="T10" i="1"/>
  <c r="V8" i="1"/>
  <c r="T8" i="1" s="1"/>
  <c r="X5" i="1"/>
  <c r="V5" i="1"/>
  <c r="T5" i="1" s="1"/>
  <c r="U5" i="1"/>
  <c r="V2" i="1"/>
  <c r="T2" i="1" s="1"/>
  <c r="X4" i="1"/>
  <c r="V4" i="1"/>
  <c r="T4" i="1" s="1"/>
  <c r="U4" i="1"/>
  <c r="X3" i="1"/>
  <c r="V3" i="1"/>
  <c r="T3" i="1" s="1"/>
  <c r="U3" i="1"/>
  <c r="Y24" i="1" l="1"/>
  <c r="V28" i="1"/>
  <c r="Y28" i="1" s="1"/>
  <c r="V26" i="1"/>
  <c r="Y26" i="1" s="1"/>
  <c r="V29" i="1"/>
  <c r="Y29" i="1" s="1"/>
  <c r="V27" i="1"/>
  <c r="Y27" i="1" s="1"/>
  <c r="V30" i="1"/>
  <c r="Y30" i="1" s="1"/>
  <c r="V31" i="1"/>
  <c r="Y31" i="1" s="1"/>
  <c r="V32" i="1"/>
  <c r="Y32" i="1" s="1"/>
  <c r="Y25" i="1"/>
  <c r="T17" i="1"/>
  <c r="T14" i="1"/>
  <c r="Y16" i="1"/>
  <c r="T15" i="1"/>
  <c r="T18" i="1"/>
  <c r="T19" i="1"/>
  <c r="Y13" i="1"/>
  <c r="Y3" i="1"/>
  <c r="Y4" i="1"/>
  <c r="Y2" i="1"/>
  <c r="X2" i="1"/>
  <c r="U8" i="1"/>
  <c r="Y8" i="1" s="1"/>
  <c r="U7" i="1"/>
  <c r="V7" i="1" s="1"/>
  <c r="Y7" i="1" s="1"/>
  <c r="U6" i="1"/>
  <c r="V6" i="1" s="1"/>
  <c r="Y6" i="1" s="1"/>
  <c r="Y5" i="1" l="1"/>
</calcChain>
</file>

<file path=xl/sharedStrings.xml><?xml version="1.0" encoding="utf-8"?>
<sst xmlns="http://schemas.openxmlformats.org/spreadsheetml/2006/main" count="1652" uniqueCount="291">
  <si>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</si>
  <si>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</si>
  <si>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</si>
  <si>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</si>
  <si>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</si>
  <si>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</si>
  <si>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</si>
  <si>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</si>
  <si>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 xml:space="preserve">bands </t>
  </si>
  <si>
    <t>RS_spectral_bands_no</t>
  </si>
  <si>
    <t>RS_spatital_resolution_m</t>
  </si>
  <si>
    <t>RS_resultion_given</t>
  </si>
  <si>
    <t>number_classes</t>
  </si>
  <si>
    <t>fraction_majority_class</t>
  </si>
  <si>
    <t xml:space="preserve">Confusion_matrix </t>
  </si>
  <si>
    <t>landcover_2</t>
  </si>
  <si>
    <t>10.1016/j.ejrs.2023.05.003</t>
  </si>
  <si>
    <t xml:space="preserve">urban land use </t>
  </si>
  <si>
    <t>RF</t>
  </si>
  <si>
    <t>B1; B2; B3; B4; B5; B6; B7; B8; B8A; B9; B10; B11; B12</t>
  </si>
  <si>
    <t>NA</t>
  </si>
  <si>
    <t>bio_1</t>
  </si>
  <si>
    <t>10.3390/rs13071231</t>
  </si>
  <si>
    <t>satellite</t>
  </si>
  <si>
    <t>B2; B3; B4; B6; B7; B8; B8A; B11; B12</t>
  </si>
  <si>
    <t>solor_1</t>
  </si>
  <si>
    <t>10.1016/j.egyr.2022.03.039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</si>
  <si>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</si>
  <si>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</si>
  <si>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</si>
  <si>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</si>
  <si>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</si>
  <si>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</si>
  <si>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 xml:space="preserve">Indonesia </t>
  </si>
  <si>
    <t xml:space="preserve">Study aim </t>
  </si>
  <si>
    <t xml:space="preserve">predicting stage of crop growth </t>
  </si>
  <si>
    <t>Italy</t>
  </si>
  <si>
    <t xml:space="preserve">OA_reported </t>
  </si>
  <si>
    <t>OA_calculated</t>
  </si>
  <si>
    <t>SE_reported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</si>
  <si>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</si>
  <si>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</si>
  <si>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</si>
  <si>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</si>
  <si>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</si>
  <si>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</si>
  <si>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</si>
  <si>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</si>
  <si>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>SVM</t>
  </si>
  <si>
    <t>B1, B2, B3, B4, B5, B6, B7</t>
  </si>
  <si>
    <t>CART</t>
  </si>
  <si>
    <t>Malaysia</t>
  </si>
  <si>
    <t>this study focuses on producing oil palm land cover map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</si>
  <si>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</si>
  <si>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</si>
  <si>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</si>
  <si>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</si>
  <si>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</si>
  <si>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</si>
  <si>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</si>
  <si>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</si>
  <si>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</si>
  <si>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</si>
  <si>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</si>
  <si>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</si>
  <si>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</si>
  <si>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>landcover_5</t>
  </si>
  <si>
    <t>10.1080/17538947.2022.2130461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</si>
  <si>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</si>
  <si>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</si>
  <si>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</si>
  <si>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</si>
  <si>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</si>
  <si>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</si>
  <si>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SAR: C-band:VV
and VH polarizations</t>
  </si>
  <si>
    <t>Xgboost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</si>
  <si>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</si>
  <si>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</si>
  <si>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</si>
  <si>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</si>
  <si>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</si>
  <si>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>urban_3</t>
  </si>
  <si>
    <t>10.3390/rs14051226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</si>
  <si>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</si>
  <si>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</si>
  <si>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</si>
  <si>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</si>
  <si>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</si>
  <si>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</si>
  <si>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</si>
  <si>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</si>
  <si>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</si>
  <si>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</si>
  <si>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</si>
  <si>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</si>
  <si>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</si>
  <si>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</si>
  <si>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</si>
  <si>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</si>
  <si>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</si>
  <si>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</si>
  <si>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</si>
  <si>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</si>
  <si>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</si>
  <si>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>wetland_1</t>
  </si>
  <si>
    <t>10.1016/j.rse.2023.113793</t>
  </si>
  <si>
    <t>East Asia</t>
  </si>
  <si>
    <t xml:space="preserve">wetland maping </t>
  </si>
  <si>
    <t>detection of Brick Kilns for slavery prediction</t>
  </si>
  <si>
    <t>10.1109/JSTARS.2020.3001980</t>
  </si>
  <si>
    <t>urban_4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</si>
  <si>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</si>
  <si>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</si>
  <si>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</si>
  <si>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</si>
  <si>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</si>
  <si>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</si>
  <si>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</si>
  <si>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</si>
  <si>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</si>
  <si>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</si>
  <si>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</si>
  <si>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>10.3390/agronomy13010165</t>
  </si>
  <si>
    <t>soil_1</t>
  </si>
  <si>
    <t xml:space="preserve"> soil-suitability maps (SSM)</t>
  </si>
  <si>
    <t>Morocco</t>
  </si>
  <si>
    <t>XgbTree</t>
  </si>
  <si>
    <t>10.1016/j.scitotenv.2020.139197</t>
  </si>
  <si>
    <t>forest_5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</si>
  <si>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</si>
  <si>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</si>
  <si>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</si>
  <si>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</si>
  <si>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>SAR</t>
  </si>
  <si>
    <t>DL (U-Net 3D)</t>
  </si>
  <si>
    <t>Mexico</t>
  </si>
  <si>
    <t>B2;B3;B4;B5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</si>
  <si>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</si>
  <si>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</si>
  <si>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</si>
  <si>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</si>
  <si>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</si>
  <si>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</si>
  <si>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</si>
  <si>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</si>
  <si>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</si>
  <si>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</si>
  <si>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</si>
  <si>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</si>
  <si>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</si>
  <si>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</si>
  <si>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</si>
  <si>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</si>
  <si>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</si>
  <si>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</si>
  <si>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</si>
  <si>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</si>
  <si>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</si>
  <si>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</si>
  <si>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</si>
  <si>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</si>
  <si>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</si>
  <si>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</si>
  <si>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>total</t>
  </si>
  <si>
    <t>Landsat-5; Landsat-7</t>
  </si>
  <si>
    <t>Landsat-7; Landsat-8</t>
  </si>
  <si>
    <t xml:space="preserve"> GeoEye-1; Landsat-TM; Landsat-7; Landsat-8</t>
  </si>
  <si>
    <t xml:space="preserve"> GeoEye-1</t>
  </si>
  <si>
    <t xml:space="preserve">Landsat-5; Landsat-7; Landsat-8 </t>
  </si>
  <si>
    <t>Landsat-7</t>
  </si>
  <si>
    <t>Landsat-7; ALOS PALSAR-2</t>
  </si>
  <si>
    <t>biodiversity</t>
  </si>
  <si>
    <t>location</t>
  </si>
  <si>
    <t>confusion_matrix_diagonal</t>
  </si>
  <si>
    <t>landcover_4</t>
  </si>
  <si>
    <t xml:space="preserve">no overall accuracy </t>
  </si>
  <si>
    <t>landcover_8</t>
  </si>
  <si>
    <t xml:space="preserve">rull based not machine learning </t>
  </si>
  <si>
    <t>tiny</t>
  </si>
  <si>
    <t>aquaculture_2</t>
  </si>
  <si>
    <t>10.1016/j.marpolbul.2022.113901</t>
  </si>
  <si>
    <t>B3; B4; B5; B8; B8A; B11</t>
  </si>
  <si>
    <t>forest_2</t>
  </si>
  <si>
    <t>farming_1</t>
  </si>
  <si>
    <t>10.1016/j.scib.2023.05.004</t>
  </si>
  <si>
    <t>water_1</t>
  </si>
  <si>
    <t>10.1016/j.jag.2022.102804</t>
  </si>
  <si>
    <t>urban_2</t>
  </si>
  <si>
    <t>10.1080/17538947.2023.2207839</t>
  </si>
  <si>
    <t>not machine learning</t>
  </si>
  <si>
    <t>indices</t>
  </si>
  <si>
    <t>poverty_1</t>
  </si>
  <si>
    <t>a lot of additional data sourses used and no sample size mentioned</t>
  </si>
  <si>
    <t>landcover_7</t>
  </si>
  <si>
    <t>Colombia</t>
  </si>
  <si>
    <t xml:space="preserve">Sentinel-2 (multispectral) </t>
  </si>
  <si>
    <t>Sentinel (combined)</t>
  </si>
  <si>
    <t xml:space="preserve">Sentinel-1 (SAR) </t>
  </si>
  <si>
    <t xml:space="preserve">Landsat-8;  Sentinel-1 (SAR) </t>
  </si>
  <si>
    <t>10.3390/rs15102522</t>
  </si>
  <si>
    <t>B1; B2; B3; B4; B5; B6; B7; B8; B8A; B9; B10; B11; B12; C-band</t>
  </si>
  <si>
    <t>SDG 6: Ensure access to water and sanitation</t>
  </si>
  <si>
    <t>Germany</t>
  </si>
  <si>
    <t xml:space="preserve">joint deep learning (JDL) </t>
  </si>
  <si>
    <t>urban_1</t>
  </si>
  <si>
    <t>10.3390/ijgi7110448</t>
  </si>
  <si>
    <t>damage_1</t>
  </si>
  <si>
    <t xml:space="preserve">urban damaged detection   </t>
  </si>
  <si>
    <t xml:space="preserve">10.1016/j.marpolbul.2022.113901 </t>
  </si>
  <si>
    <t xml:space="preserve">no machine learning </t>
  </si>
  <si>
    <t xml:space="preserve">Not machine learning </t>
  </si>
  <si>
    <t>B2;B3;B4;B5;B6;B7;B8;B8A;B11;B12</t>
  </si>
  <si>
    <t>B5;B6;B7;B8A;B11;B12</t>
  </si>
  <si>
    <t xml:space="preserve">combination of OBIA and RF </t>
  </si>
  <si>
    <t xml:space="preserve">Global </t>
  </si>
  <si>
    <t>agri- / agua-culture</t>
  </si>
  <si>
    <t xml:space="preserve">decision tree classifier </t>
  </si>
  <si>
    <t>Tree-Based Models</t>
  </si>
  <si>
    <t>Support Vector Machines</t>
  </si>
  <si>
    <t>land cover</t>
  </si>
  <si>
    <t>RS_device_group</t>
  </si>
  <si>
    <t>Other</t>
  </si>
  <si>
    <t>RS_device_type</t>
  </si>
  <si>
    <t>Active</t>
  </si>
  <si>
    <t>Combined</t>
  </si>
  <si>
    <t>Sentinel</t>
  </si>
  <si>
    <t>Landsat</t>
  </si>
  <si>
    <t>Not Reported</t>
  </si>
  <si>
    <t>Passive</t>
  </si>
  <si>
    <t>total_same</t>
  </si>
  <si>
    <t>Number classes</t>
  </si>
  <si>
    <t>Neural Networks</t>
  </si>
  <si>
    <t>Artificial Neural Network (ANeural Networks) model, the Multi-Layer Perceptron (MLP)</t>
  </si>
  <si>
    <t>SDG_theme</t>
  </si>
  <si>
    <t>SDG 2: Zero Hunger</t>
  </si>
  <si>
    <t>SDG 15: Life on Land</t>
  </si>
  <si>
    <t>SDG 11: Sustainable Cities and Communities</t>
  </si>
  <si>
    <t>classification_type</t>
  </si>
  <si>
    <t>Pixel-level</t>
  </si>
  <si>
    <t>Object-level</t>
  </si>
  <si>
    <t>Unclear</t>
  </si>
  <si>
    <t>Definition</t>
  </si>
  <si>
    <t>Ranges/Categories adopted</t>
  </si>
  <si>
    <t>Paper ID</t>
  </si>
  <si>
    <t>Citation</t>
  </si>
  <si>
    <t>Name(s) of authors and publication year</t>
  </si>
  <si>
    <t>Title</t>
  </si>
  <si>
    <t>Title of the article</t>
  </si>
  <si>
    <t>Publication name</t>
  </si>
  <si>
    <t>Name of journal that published paper</t>
  </si>
  <si>
    <t>Location</t>
  </si>
  <si>
    <t>Location of the data used (country level)</t>
  </si>
  <si>
    <t>Citation number</t>
  </si>
  <si>
    <t>0-68</t>
  </si>
  <si>
    <t>Area of research</t>
  </si>
  <si>
    <t>RS device</t>
  </si>
  <si>
    <t>Type of RS device</t>
  </si>
  <si>
    <t>Satellite , Drone, Plane, Unmanned Aerial Vehicles (UAVs)</t>
  </si>
  <si>
    <t>RS device group</t>
  </si>
  <si>
    <t>Specific device name</t>
  </si>
  <si>
    <t>Landsat, Sentinel, Other, and Not Reported</t>
  </si>
  <si>
    <t>Ancillary data</t>
  </si>
  <si>
    <t>Use of non-RS data in the model</t>
  </si>
  <si>
    <t>0 - only remote sensed data, 1 - additional data used</t>
  </si>
  <si>
    <t>Training/Test set</t>
  </si>
  <si>
    <t>Results based on training or test set</t>
  </si>
  <si>
    <t>test, train, Not Reported</t>
  </si>
  <si>
    <t>RS bands</t>
  </si>
  <si>
    <t>RS spectral bands number</t>
  </si>
  <si>
    <t>RS spatital resolution</t>
  </si>
  <si>
    <t>30, 15-25, 10, &lt;1, Not Reported</t>
  </si>
  <si>
    <t>Model group</t>
  </si>
  <si>
    <t>Algorithm group used</t>
  </si>
  <si>
    <t>Tree-Based Models, Neural Network, Other</t>
  </si>
  <si>
    <t>The number of classes to predict</t>
  </si>
  <si>
    <t>Proportion of the majority class</t>
  </si>
  <si>
    <t>The fraction of the largest class</t>
  </si>
  <si>
    <t>Total</t>
  </si>
  <si>
    <t>Sample size, number of pixels, or objects</t>
  </si>
  <si>
    <t>Accuracy metric</t>
  </si>
  <si>
    <t>Measure used to assess the predictive performance of the ML method applied</t>
  </si>
  <si>
    <t>Overall Accuracy (OA)</t>
  </si>
  <si>
    <t xml:space="preserve">SDG </t>
  </si>
  <si>
    <t>SDG 2: Zero Hunger, SDG 11: Sustainable Cities and Communities, SDG 15: Life on Land</t>
  </si>
  <si>
    <t>Feature</t>
  </si>
  <si>
    <t>Number of citations of the paper</t>
  </si>
  <si>
    <t>Specital bands used</t>
  </si>
  <si>
    <t>Number of bands used</t>
  </si>
  <si>
    <t>Spatital resolution in meters</t>
  </si>
  <si>
    <t>South Africa</t>
  </si>
  <si>
    <t xml:space="preserve">Reason for exclusion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</si>
</sst>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CCCCC"/>
      <name val="Lucida Grande"/>
      <family val="2"/>
    </font>
    <font>
      <sz val="11"/>
      <color rgb="FFFFFFFF"/>
      <name val="Lucida Grande"/>
      <family val="2"/>
    </font>
    <font>
      <b/>
      <sz val="12"/>
      <color theme="1"/>
      <name val="Aptos Narrow"/>
      <family val="2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67C4-49A8-7B4D-995C-8F27C231F44D}">
  <dimension ref="A1:C22"/>
  <sheetViews>
    <sheetView workbookViewId="0">
      <selection activeCell="A22" sqref="A22"/>
    </sheetView>
  </sheetViews>
  <sheetFormatPr baseColWidth="10" defaultRowHeight="16"/>
  <cols>
    <col min="1" max="1" width="25.83203125" customWidth="1"/>
    <col min="2" max="2" width="38.1640625" customWidth="1"/>
    <col min="3" max="3" width="31.1640625" customWidth="1"/>
  </cols>
  <sheetData>
    <row r="1" spans="1:3">
      <c r="A1" s="3" t="s">
        <v>284</v>
      </c>
      <c r="B1" s="3" t="s">
        <v>241</v>
      </c>
      <c r="C1" s="3" t="s">
        <v>242</v>
      </c>
    </row>
    <row r="2" spans="1:3">
      <c r="A2" t="s">
        <v>1</v>
      </c>
      <c r="B2" t="s">
        <v>243</v>
      </c>
    </row>
    <row r="3" spans="1:3">
      <c r="A3" t="s">
        <v>244</v>
      </c>
      <c r="B3" t="s">
        <v>245</v>
      </c>
    </row>
    <row r="4" spans="1:3">
      <c r="A4" t="s">
        <v>246</v>
      </c>
      <c r="B4" t="s">
        <v>247</v>
      </c>
    </row>
    <row r="5" spans="1:3">
      <c r="A5" t="s">
        <v>248</v>
      </c>
      <c r="B5" t="s">
        <v>249</v>
      </c>
    </row>
    <row r="6" spans="1:3">
      <c r="A6" t="s">
        <v>252</v>
      </c>
      <c r="B6" t="s">
        <v>285</v>
      </c>
      <c r="C6" t="s">
        <v>253</v>
      </c>
    </row>
    <row r="7" spans="1:3">
      <c r="A7" t="s">
        <v>250</v>
      </c>
      <c r="B7" t="s">
        <v>251</v>
      </c>
    </row>
    <row r="8" spans="1:3">
      <c r="A8" t="s">
        <v>282</v>
      </c>
      <c r="B8" t="s">
        <v>254</v>
      </c>
      <c r="C8" t="s">
        <v>283</v>
      </c>
    </row>
    <row r="9" spans="1:3">
      <c r="A9" t="s">
        <v>271</v>
      </c>
      <c r="B9" t="s">
        <v>272</v>
      </c>
      <c r="C9" t="s">
        <v>273</v>
      </c>
    </row>
    <row r="10" spans="1:3">
      <c r="A10" t="s">
        <v>230</v>
      </c>
      <c r="B10" t="s">
        <v>274</v>
      </c>
    </row>
    <row r="11" spans="1:3">
      <c r="A11" t="s">
        <v>275</v>
      </c>
      <c r="B11" t="s">
        <v>276</v>
      </c>
    </row>
    <row r="12" spans="1:3">
      <c r="A12" t="s">
        <v>277</v>
      </c>
      <c r="B12" t="s">
        <v>278</v>
      </c>
    </row>
    <row r="13" spans="1:3">
      <c r="A13" t="s">
        <v>264</v>
      </c>
      <c r="B13" t="s">
        <v>265</v>
      </c>
      <c r="C13" t="s">
        <v>266</v>
      </c>
    </row>
    <row r="14" spans="1:3">
      <c r="A14" t="s">
        <v>261</v>
      </c>
      <c r="B14" t="s">
        <v>262</v>
      </c>
      <c r="C14" t="s">
        <v>263</v>
      </c>
    </row>
    <row r="15" spans="1:3">
      <c r="A15" t="s">
        <v>255</v>
      </c>
      <c r="B15" t="s">
        <v>256</v>
      </c>
      <c r="C15" t="s">
        <v>257</v>
      </c>
    </row>
    <row r="16" spans="1:3">
      <c r="A16" t="s">
        <v>258</v>
      </c>
      <c r="B16" t="s">
        <v>259</v>
      </c>
      <c r="C16" t="s">
        <v>260</v>
      </c>
    </row>
    <row r="17" spans="1:3">
      <c r="A17" t="s">
        <v>267</v>
      </c>
      <c r="B17" t="s">
        <v>286</v>
      </c>
    </row>
    <row r="18" spans="1:3">
      <c r="A18" t="s">
        <v>268</v>
      </c>
      <c r="B18" t="s">
        <v>287</v>
      </c>
    </row>
    <row r="19" spans="1:3">
      <c r="A19" t="s">
        <v>269</v>
      </c>
      <c r="B19" t="s">
        <v>288</v>
      </c>
      <c r="C19" t="s">
        <v>270</v>
      </c>
    </row>
    <row r="20" spans="1:3">
      <c r="A20" t="s">
        <v>279</v>
      </c>
      <c r="B20" t="s">
        <v>280</v>
      </c>
      <c r="C20" t="s">
        <v>281</v>
      </c>
    </row>
    <row r="21" spans="1:3">
      <c r="A21" s="2"/>
      <c r="B21" s="1"/>
    </row>
    <row r="22" spans="1:3">
      <c r="A22" s="2"/>
      <c r="B22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dimension ref="A1:AB95"/>
  <sheetViews>
    <sheetView tabSelected="1" zoomScale="75" zoomScaleNormal="76" workbookViewId="0">
      <pane ySplit="1" topLeftCell="A2" activePane="bottomLeft" state="frozen"/>
      <selection pane="bottomLeft" activeCell="G23" sqref="G23"/>
    </sheetView>
  </sheetViews>
  <sheetFormatPr baseColWidth="10" defaultColWidth="15.83203125" defaultRowHeight="16"/>
  <cols>
    <col min="2" max="2" width="25.5" customWidth="1"/>
    <col min="3" max="3" width="17.1640625" customWidth="1"/>
    <col min="4" max="4" width="26.5" customWidth="1"/>
    <col min="5" max="5" width="13.5" customWidth="1"/>
    <col min="6" max="6" width="24" customWidth="1"/>
    <col min="7" max="7" width="12.33203125" customWidth="1"/>
    <col min="8" max="8" width="28.33203125" customWidth="1"/>
    <col min="9" max="9" width="18.1640625" customWidth="1"/>
    <col min="10" max="10" width="28.33203125" customWidth="1"/>
    <col min="11" max="11" width="20.5" customWidth="1"/>
    <col min="12" max="12" width="21.6640625" customWidth="1"/>
    <col min="14" max="14" width="18.5" customWidth="1"/>
    <col min="16" max="16" width="15.83203125" style="15"/>
    <col min="28" max="28" width="63" customWidth="1"/>
  </cols>
  <sheetData>
    <row r="1" spans="1:28" s="4" customFormat="1" ht="34">
      <c r="A1" s="4" t="s">
        <v>0</v>
      </c>
      <c r="B1" s="5" t="s">
        <v>1</v>
      </c>
      <c r="C1" s="4" t="s">
        <v>2</v>
      </c>
      <c r="D1" s="4" t="s">
        <v>233</v>
      </c>
      <c r="E1" s="4" t="s">
        <v>172</v>
      </c>
      <c r="F1" s="4" t="s">
        <v>3</v>
      </c>
      <c r="G1" s="6" t="s">
        <v>4</v>
      </c>
      <c r="H1" s="5" t="s">
        <v>5</v>
      </c>
      <c r="I1" s="5" t="s">
        <v>220</v>
      </c>
      <c r="J1" s="5" t="s">
        <v>222</v>
      </c>
      <c r="K1" s="4" t="s">
        <v>6</v>
      </c>
      <c r="L1" s="4" t="s">
        <v>7</v>
      </c>
      <c r="M1" s="4" t="s">
        <v>237</v>
      </c>
      <c r="N1" s="4" t="s">
        <v>8</v>
      </c>
      <c r="O1" s="4" t="s">
        <v>9</v>
      </c>
      <c r="P1" s="7" t="s">
        <v>190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173</v>
      </c>
      <c r="V1" s="4" t="s">
        <v>163</v>
      </c>
      <c r="W1" s="4" t="s">
        <v>37</v>
      </c>
      <c r="X1" s="4" t="s">
        <v>39</v>
      </c>
      <c r="Y1" s="4" t="s">
        <v>38</v>
      </c>
      <c r="Z1" s="4" t="s">
        <v>14</v>
      </c>
      <c r="AA1" s="4" t="s">
        <v>229</v>
      </c>
      <c r="AB1" s="4" t="s">
        <v>34</v>
      </c>
    </row>
    <row r="2" spans="1:28" s="8" customFormat="1" ht="51">
      <c r="A2" s="8" t="s">
        <v>21</v>
      </c>
      <c r="B2" t="s">
        <v>22</v>
      </c>
      <c r="C2" s="8" t="s">
        <v>171</v>
      </c>
      <c r="D2" s="8" t="s">
        <v>235</v>
      </c>
      <c r="E2" s="8" t="s">
        <v>36</v>
      </c>
      <c r="F2" s="8" t="s">
        <v>23</v>
      </c>
      <c r="G2" s="8">
        <v>1</v>
      </c>
      <c r="H2" t="s">
        <v>195</v>
      </c>
      <c r="I2" t="s">
        <v>225</v>
      </c>
      <c r="J2" t="s">
        <v>228</v>
      </c>
      <c r="K2" s="8" t="s">
        <v>31</v>
      </c>
      <c r="L2" t="s">
        <v>217</v>
      </c>
      <c r="M2" s="8" t="s">
        <v>238</v>
      </c>
      <c r="N2" s="8" t="s">
        <v>24</v>
      </c>
      <c r="O2" s="8">
        <v>10</v>
      </c>
      <c r="P2" s="9">
        <v>1</v>
      </c>
      <c r="Q2" s="8">
        <v>20</v>
      </c>
      <c r="R2" s="8">
        <v>1</v>
      </c>
      <c r="S2" s="8">
        <v>3</v>
      </c>
      <c r="T2" s="8">
        <f>1153/V2</f>
        <v>0.57022749752720081</v>
      </c>
      <c r="U2" s="8">
        <v>1763</v>
      </c>
      <c r="V2" s="8">
        <f>1153+644+225</f>
        <v>2022</v>
      </c>
      <c r="W2" s="8">
        <v>0.872</v>
      </c>
      <c r="X2" s="8">
        <f>0.75/100</f>
        <v>7.4999999999999997E-3</v>
      </c>
      <c r="Y2" s="8">
        <f t="shared" ref="Y2:Y8" si="0">U2/V2</f>
        <v>0.87190900098911972</v>
      </c>
      <c r="Z2" s="8">
        <v>1</v>
      </c>
      <c r="AA2" s="8">
        <v>100</v>
      </c>
      <c r="AB2" s="8" t="s">
        <v>41</v>
      </c>
    </row>
    <row r="3" spans="1:28" s="8" customFormat="1" ht="34">
      <c r="A3" s="8" t="s">
        <v>21</v>
      </c>
      <c r="B3" t="s">
        <v>22</v>
      </c>
      <c r="C3" s="8" t="s">
        <v>171</v>
      </c>
      <c r="D3" s="8" t="s">
        <v>235</v>
      </c>
      <c r="E3" s="8" t="s">
        <v>36</v>
      </c>
      <c r="F3" s="8" t="s">
        <v>23</v>
      </c>
      <c r="G3" s="8">
        <v>1</v>
      </c>
      <c r="H3" t="s">
        <v>195</v>
      </c>
      <c r="I3" t="s">
        <v>225</v>
      </c>
      <c r="J3" t="s">
        <v>228</v>
      </c>
      <c r="K3" s="8" t="s">
        <v>31</v>
      </c>
      <c r="L3" t="s">
        <v>217</v>
      </c>
      <c r="M3" s="8" t="s">
        <v>238</v>
      </c>
      <c r="N3" s="8" t="s">
        <v>24</v>
      </c>
      <c r="O3" s="8">
        <v>10</v>
      </c>
      <c r="P3" s="9">
        <v>1</v>
      </c>
      <c r="Q3" s="8">
        <v>20</v>
      </c>
      <c r="R3" s="8">
        <v>1</v>
      </c>
      <c r="S3" s="8">
        <v>12</v>
      </c>
      <c r="T3" s="8">
        <f>417/V3</f>
        <v>0.36387434554973824</v>
      </c>
      <c r="U3" s="8">
        <f>36+22+357+17+206+87+9+2+2+5+11+20</f>
        <v>774</v>
      </c>
      <c r="V3" s="8">
        <f>71+40+417+45+281+148+23+6+5+31+47+32</f>
        <v>1146</v>
      </c>
      <c r="W3" s="8">
        <v>0.67600000000000005</v>
      </c>
      <c r="X3" s="8">
        <f>1.5/100</f>
        <v>1.4999999999999999E-2</v>
      </c>
      <c r="Y3" s="8">
        <f t="shared" si="0"/>
        <v>0.67539267015706805</v>
      </c>
      <c r="Z3" s="8">
        <v>1</v>
      </c>
      <c r="AA3" s="8">
        <v>100</v>
      </c>
      <c r="AB3" s="8" t="s">
        <v>42</v>
      </c>
    </row>
    <row r="4" spans="1:28" s="8" customFormat="1" ht="34">
      <c r="A4" s="8" t="s">
        <v>21</v>
      </c>
      <c r="B4" t="s">
        <v>22</v>
      </c>
      <c r="C4" s="8" t="s">
        <v>171</v>
      </c>
      <c r="D4" s="8" t="s">
        <v>235</v>
      </c>
      <c r="E4" s="8" t="s">
        <v>36</v>
      </c>
      <c r="F4" s="8" t="s">
        <v>23</v>
      </c>
      <c r="G4" s="8">
        <v>1</v>
      </c>
      <c r="H4" t="s">
        <v>195</v>
      </c>
      <c r="I4" t="s">
        <v>225</v>
      </c>
      <c r="J4" t="s">
        <v>228</v>
      </c>
      <c r="K4" s="8" t="s">
        <v>31</v>
      </c>
      <c r="L4" t="s">
        <v>217</v>
      </c>
      <c r="M4" s="8" t="s">
        <v>238</v>
      </c>
      <c r="N4" s="8" t="s">
        <v>24</v>
      </c>
      <c r="O4" s="8">
        <v>10</v>
      </c>
      <c r="P4" s="9">
        <v>1</v>
      </c>
      <c r="Q4" s="8">
        <v>20</v>
      </c>
      <c r="R4" s="8">
        <v>1</v>
      </c>
      <c r="S4" s="8">
        <v>12</v>
      </c>
      <c r="T4" s="8">
        <f>571/V4</f>
        <v>0.88664596273291929</v>
      </c>
      <c r="U4" s="8">
        <f>551+5+29+4</f>
        <v>589</v>
      </c>
      <c r="V4" s="8">
        <f>571+17+48+8</f>
        <v>644</v>
      </c>
      <c r="W4" s="8">
        <v>0.91500000000000004</v>
      </c>
      <c r="X4" s="8">
        <f>1.12/100</f>
        <v>1.1200000000000002E-2</v>
      </c>
      <c r="Y4" s="8">
        <f t="shared" si="0"/>
        <v>0.9145962732919255</v>
      </c>
      <c r="Z4" s="8">
        <v>1</v>
      </c>
      <c r="AA4" s="8">
        <v>100</v>
      </c>
      <c r="AB4" s="8" t="s">
        <v>43</v>
      </c>
    </row>
    <row r="5" spans="1:28" s="8" customFormat="1" ht="34">
      <c r="A5" s="8" t="s">
        <v>21</v>
      </c>
      <c r="B5" t="s">
        <v>22</v>
      </c>
      <c r="C5" s="8" t="s">
        <v>171</v>
      </c>
      <c r="D5" s="8" t="s">
        <v>235</v>
      </c>
      <c r="E5" s="8" t="s">
        <v>36</v>
      </c>
      <c r="F5" s="8" t="s">
        <v>23</v>
      </c>
      <c r="G5" s="8">
        <v>1</v>
      </c>
      <c r="H5" t="s">
        <v>195</v>
      </c>
      <c r="I5" t="s">
        <v>225</v>
      </c>
      <c r="J5" t="s">
        <v>228</v>
      </c>
      <c r="K5" s="8" t="s">
        <v>31</v>
      </c>
      <c r="L5" t="s">
        <v>217</v>
      </c>
      <c r="M5" s="8" t="s">
        <v>238</v>
      </c>
      <c r="N5" s="8" t="s">
        <v>24</v>
      </c>
      <c r="O5" s="8">
        <v>10</v>
      </c>
      <c r="P5" s="9">
        <v>1</v>
      </c>
      <c r="Q5" s="8">
        <v>20</v>
      </c>
      <c r="R5" s="8">
        <v>1</v>
      </c>
      <c r="S5" s="8">
        <v>12</v>
      </c>
      <c r="T5" s="8">
        <f>70/V5</f>
        <v>0.21943573667711599</v>
      </c>
      <c r="U5" s="8">
        <f>44+46+21+25+34+10+53+10</f>
        <v>243</v>
      </c>
      <c r="V5" s="8">
        <f>65+70+25+34+45+11+56+13</f>
        <v>319</v>
      </c>
      <c r="W5" s="8">
        <v>0.76200000000000001</v>
      </c>
      <c r="X5" s="8">
        <f>5.86/100</f>
        <v>5.8600000000000006E-2</v>
      </c>
      <c r="Y5" s="8">
        <f t="shared" si="0"/>
        <v>0.76175548589341691</v>
      </c>
      <c r="Z5" s="8">
        <v>1</v>
      </c>
      <c r="AA5" s="8">
        <v>100</v>
      </c>
      <c r="AB5" s="8" t="s">
        <v>44</v>
      </c>
    </row>
    <row r="6" spans="1:28" s="8" customFormat="1" ht="34">
      <c r="A6" s="8" t="s">
        <v>25</v>
      </c>
      <c r="B6" t="s">
        <v>26</v>
      </c>
      <c r="C6" s="8" t="s">
        <v>17</v>
      </c>
      <c r="D6" s="8" t="s">
        <v>236</v>
      </c>
      <c r="E6" s="8" t="s">
        <v>147</v>
      </c>
      <c r="F6" s="8" t="s">
        <v>23</v>
      </c>
      <c r="G6" s="8">
        <v>0</v>
      </c>
      <c r="H6" t="s">
        <v>164</v>
      </c>
      <c r="I6" s="8" t="s">
        <v>226</v>
      </c>
      <c r="J6" s="8" t="s">
        <v>228</v>
      </c>
      <c r="K6" s="8" t="s">
        <v>31</v>
      </c>
      <c r="L6" t="s">
        <v>217</v>
      </c>
      <c r="M6" s="8" t="s">
        <v>239</v>
      </c>
      <c r="N6" s="8" t="s">
        <v>27</v>
      </c>
      <c r="O6" s="8">
        <v>7</v>
      </c>
      <c r="P6" s="10">
        <v>1</v>
      </c>
      <c r="Q6" s="8">
        <v>30</v>
      </c>
      <c r="R6" s="8">
        <v>1</v>
      </c>
      <c r="S6" s="8">
        <v>2</v>
      </c>
      <c r="T6" s="8">
        <v>0.5</v>
      </c>
      <c r="U6" s="8">
        <f>200+171</f>
        <v>371</v>
      </c>
      <c r="V6" s="8">
        <f>U6+29</f>
        <v>400</v>
      </c>
      <c r="W6" s="8">
        <v>0.92800000000000005</v>
      </c>
      <c r="X6" s="8" t="s">
        <v>20</v>
      </c>
      <c r="Y6" s="8">
        <f t="shared" si="0"/>
        <v>0.92749999999999999</v>
      </c>
      <c r="Z6" s="8">
        <v>1</v>
      </c>
      <c r="AA6" s="8">
        <v>100</v>
      </c>
      <c r="AB6" s="8" t="s">
        <v>40</v>
      </c>
    </row>
    <row r="7" spans="1:28" s="8" customFormat="1" ht="34">
      <c r="A7" s="8" t="s">
        <v>25</v>
      </c>
      <c r="B7" t="s">
        <v>26</v>
      </c>
      <c r="C7" s="8" t="s">
        <v>17</v>
      </c>
      <c r="D7" s="8" t="s">
        <v>236</v>
      </c>
      <c r="E7" s="8" t="s">
        <v>147</v>
      </c>
      <c r="F7" s="8" t="s">
        <v>23</v>
      </c>
      <c r="G7" s="8">
        <v>0</v>
      </c>
      <c r="H7" t="s">
        <v>165</v>
      </c>
      <c r="I7" s="8" t="s">
        <v>226</v>
      </c>
      <c r="J7" s="8" t="s">
        <v>228</v>
      </c>
      <c r="K7" s="8" t="s">
        <v>31</v>
      </c>
      <c r="L7" t="s">
        <v>217</v>
      </c>
      <c r="M7" s="8" t="s">
        <v>239</v>
      </c>
      <c r="N7" s="8" t="s">
        <v>27</v>
      </c>
      <c r="O7" s="8">
        <v>7</v>
      </c>
      <c r="P7" s="10">
        <v>1</v>
      </c>
      <c r="Q7" s="8">
        <v>30</v>
      </c>
      <c r="R7" s="8">
        <v>1</v>
      </c>
      <c r="S7" s="8">
        <v>2</v>
      </c>
      <c r="T7" s="8">
        <v>0.5</v>
      </c>
      <c r="U7" s="8">
        <f>200+167</f>
        <v>367</v>
      </c>
      <c r="V7" s="8">
        <f>U7+33</f>
        <v>400</v>
      </c>
      <c r="W7" s="8">
        <v>0.91800000000000004</v>
      </c>
      <c r="X7" s="8" t="s">
        <v>20</v>
      </c>
      <c r="Y7" s="8">
        <f t="shared" si="0"/>
        <v>0.91749999999999998</v>
      </c>
      <c r="Z7" s="8">
        <v>1</v>
      </c>
      <c r="AA7" s="8">
        <v>100</v>
      </c>
      <c r="AB7" s="8" t="s">
        <v>40</v>
      </c>
    </row>
    <row r="8" spans="1:28" s="8" customFormat="1" ht="51">
      <c r="A8" s="8" t="s">
        <v>28</v>
      </c>
      <c r="B8" t="s">
        <v>29</v>
      </c>
      <c r="C8" s="11" t="s">
        <v>215</v>
      </c>
      <c r="D8" s="11" t="s">
        <v>234</v>
      </c>
      <c r="E8" s="8" t="s">
        <v>33</v>
      </c>
      <c r="F8" s="8" t="s">
        <v>23</v>
      </c>
      <c r="G8" s="8">
        <v>0</v>
      </c>
      <c r="H8" t="s">
        <v>30</v>
      </c>
      <c r="I8" s="8" t="s">
        <v>226</v>
      </c>
      <c r="J8" s="8" t="s">
        <v>228</v>
      </c>
      <c r="K8" s="8" t="s">
        <v>31</v>
      </c>
      <c r="L8" t="s">
        <v>217</v>
      </c>
      <c r="M8" s="8" t="s">
        <v>239</v>
      </c>
      <c r="N8" s="8" t="s">
        <v>32</v>
      </c>
      <c r="O8" s="8">
        <v>7</v>
      </c>
      <c r="P8" s="9">
        <v>1</v>
      </c>
      <c r="Q8" s="8">
        <v>15</v>
      </c>
      <c r="R8" s="8">
        <v>1</v>
      </c>
      <c r="S8" s="8">
        <v>6</v>
      </c>
      <c r="T8" s="8">
        <f>(69+2+6+4)/V8</f>
        <v>0.31274131274131273</v>
      </c>
      <c r="U8" s="8">
        <f>41+37+34+69+19+11</f>
        <v>211</v>
      </c>
      <c r="V8" s="8">
        <f>41+4+3+4+9+37+7+1+1+1+34+3+4+6+69+2+2+19+1+11</f>
        <v>259</v>
      </c>
      <c r="W8" s="8">
        <v>0.81459999999999999</v>
      </c>
      <c r="X8" s="8" t="s">
        <v>20</v>
      </c>
      <c r="Y8" s="8">
        <f t="shared" si="0"/>
        <v>0.81467181467181471</v>
      </c>
      <c r="Z8" s="8">
        <v>1</v>
      </c>
      <c r="AA8" s="8">
        <v>100</v>
      </c>
      <c r="AB8" s="8" t="s">
        <v>45</v>
      </c>
    </row>
    <row r="9" spans="1:28" s="8" customFormat="1" ht="51">
      <c r="A9" s="8" t="s">
        <v>28</v>
      </c>
      <c r="B9" t="s">
        <v>29</v>
      </c>
      <c r="C9" s="11" t="s">
        <v>215</v>
      </c>
      <c r="D9" s="11" t="s">
        <v>234</v>
      </c>
      <c r="E9" s="8" t="s">
        <v>33</v>
      </c>
      <c r="F9" s="8" t="s">
        <v>23</v>
      </c>
      <c r="G9" s="8">
        <v>0</v>
      </c>
      <c r="H9" t="s">
        <v>30</v>
      </c>
      <c r="I9" s="8" t="s">
        <v>226</v>
      </c>
      <c r="J9" s="8" t="s">
        <v>228</v>
      </c>
      <c r="K9" s="8" t="s">
        <v>31</v>
      </c>
      <c r="L9" t="s">
        <v>217</v>
      </c>
      <c r="M9" s="8" t="s">
        <v>239</v>
      </c>
      <c r="N9" s="8" t="s">
        <v>32</v>
      </c>
      <c r="O9" s="8">
        <v>7</v>
      </c>
      <c r="P9" s="9">
        <v>1</v>
      </c>
      <c r="Q9" s="8">
        <v>15</v>
      </c>
      <c r="R9" s="8">
        <v>1</v>
      </c>
      <c r="S9" s="8">
        <v>6</v>
      </c>
      <c r="T9" s="8">
        <v>0.31274131274131273</v>
      </c>
      <c r="U9" s="8" t="s">
        <v>20</v>
      </c>
      <c r="V9" s="8" t="s">
        <v>20</v>
      </c>
      <c r="W9" s="8">
        <v>0.74309999999999998</v>
      </c>
      <c r="X9" s="8" t="s">
        <v>20</v>
      </c>
      <c r="Y9" s="8" t="s">
        <v>20</v>
      </c>
      <c r="Z9" s="8">
        <v>0</v>
      </c>
      <c r="AA9" s="8">
        <v>100</v>
      </c>
      <c r="AB9" s="8" t="s">
        <v>35</v>
      </c>
    </row>
    <row r="10" spans="1:28" s="8" customFormat="1" ht="34">
      <c r="A10" s="8" t="s">
        <v>46</v>
      </c>
      <c r="B10" t="s">
        <v>47</v>
      </c>
      <c r="C10" s="11" t="s">
        <v>215</v>
      </c>
      <c r="D10" s="11" t="s">
        <v>234</v>
      </c>
      <c r="E10" s="8" t="s">
        <v>51</v>
      </c>
      <c r="F10" s="8" t="s">
        <v>23</v>
      </c>
      <c r="G10" s="8">
        <v>0</v>
      </c>
      <c r="H10" t="s">
        <v>30</v>
      </c>
      <c r="I10" s="8" t="s">
        <v>226</v>
      </c>
      <c r="J10" s="8" t="s">
        <v>228</v>
      </c>
      <c r="K10" s="8" t="s">
        <v>48</v>
      </c>
      <c r="L10" t="s">
        <v>218</v>
      </c>
      <c r="M10" s="8" t="s">
        <v>240</v>
      </c>
      <c r="N10" s="8" t="s">
        <v>49</v>
      </c>
      <c r="O10" s="8">
        <v>7</v>
      </c>
      <c r="P10" s="8">
        <v>1</v>
      </c>
      <c r="Q10" s="8">
        <v>30</v>
      </c>
      <c r="R10" s="8">
        <v>1</v>
      </c>
      <c r="S10" s="8">
        <v>7</v>
      </c>
      <c r="T10" s="8">
        <f>470/(213+311+126+470+331+ 276 +119)</f>
        <v>0.25460455037919827</v>
      </c>
      <c r="U10" s="8" t="s">
        <v>20</v>
      </c>
      <c r="V10" s="8">
        <f>213+311+126+470+331+ 276+119</f>
        <v>1846</v>
      </c>
      <c r="W10" s="8">
        <v>0.93159999999999998</v>
      </c>
      <c r="X10" s="8" t="s">
        <v>20</v>
      </c>
      <c r="Y10" s="8" t="s">
        <v>20</v>
      </c>
      <c r="Z10" s="8">
        <v>0</v>
      </c>
      <c r="AA10" s="8">
        <v>100</v>
      </c>
      <c r="AB10" s="8" t="s">
        <v>52</v>
      </c>
    </row>
    <row r="11" spans="1:28" s="8" customFormat="1" ht="34">
      <c r="A11" s="8" t="s">
        <v>46</v>
      </c>
      <c r="B11" t="s">
        <v>47</v>
      </c>
      <c r="C11" s="11" t="s">
        <v>215</v>
      </c>
      <c r="D11" s="11" t="s">
        <v>234</v>
      </c>
      <c r="E11" s="8" t="s">
        <v>51</v>
      </c>
      <c r="F11" s="8" t="s">
        <v>23</v>
      </c>
      <c r="G11" s="8">
        <v>0</v>
      </c>
      <c r="H11" t="s">
        <v>30</v>
      </c>
      <c r="I11" s="8" t="s">
        <v>226</v>
      </c>
      <c r="J11" s="8" t="s">
        <v>228</v>
      </c>
      <c r="K11" s="8" t="s">
        <v>31</v>
      </c>
      <c r="L11" t="s">
        <v>217</v>
      </c>
      <c r="M11" s="8" t="s">
        <v>240</v>
      </c>
      <c r="N11" s="8" t="s">
        <v>49</v>
      </c>
      <c r="O11" s="8">
        <v>7</v>
      </c>
      <c r="P11" s="8">
        <v>1</v>
      </c>
      <c r="Q11" s="8">
        <v>30</v>
      </c>
      <c r="R11" s="8">
        <v>1</v>
      </c>
      <c r="S11" s="8">
        <v>7</v>
      </c>
      <c r="T11" s="8">
        <f>470/(213+311+126+470+331+ 276 +119)</f>
        <v>0.25460455037919827</v>
      </c>
      <c r="U11" s="8" t="s">
        <v>20</v>
      </c>
      <c r="V11" s="8">
        <f>213+311+126+470+331+ 276+119</f>
        <v>1846</v>
      </c>
      <c r="W11" s="8">
        <v>0.86499999999999999</v>
      </c>
      <c r="X11" s="8" t="s">
        <v>20</v>
      </c>
      <c r="Y11" s="8" t="s">
        <v>20</v>
      </c>
      <c r="Z11" s="8">
        <v>0</v>
      </c>
      <c r="AA11" s="8">
        <v>100</v>
      </c>
      <c r="AB11" s="8" t="s">
        <v>52</v>
      </c>
    </row>
    <row r="12" spans="1:28" s="8" customFormat="1" ht="34">
      <c r="A12" s="8" t="s">
        <v>46</v>
      </c>
      <c r="B12" t="s">
        <v>47</v>
      </c>
      <c r="C12" s="11" t="s">
        <v>215</v>
      </c>
      <c r="D12" s="11" t="s">
        <v>234</v>
      </c>
      <c r="E12" s="8" t="s">
        <v>51</v>
      </c>
      <c r="F12" s="8" t="s">
        <v>23</v>
      </c>
      <c r="G12" s="8">
        <v>0</v>
      </c>
      <c r="H12" t="s">
        <v>30</v>
      </c>
      <c r="I12" s="8" t="s">
        <v>226</v>
      </c>
      <c r="J12" s="8" t="s">
        <v>228</v>
      </c>
      <c r="K12" s="8" t="s">
        <v>50</v>
      </c>
      <c r="L12" t="s">
        <v>217</v>
      </c>
      <c r="M12" s="8" t="s">
        <v>240</v>
      </c>
      <c r="N12" s="8" t="s">
        <v>49</v>
      </c>
      <c r="O12" s="8">
        <v>7</v>
      </c>
      <c r="P12" s="8">
        <v>1</v>
      </c>
      <c r="Q12" s="8">
        <v>30</v>
      </c>
      <c r="R12" s="8">
        <v>1</v>
      </c>
      <c r="S12" s="8">
        <v>7</v>
      </c>
      <c r="T12" s="8">
        <f>470/(213+311+126+470+331+ 276 +119)</f>
        <v>0.25460455037919827</v>
      </c>
      <c r="U12" s="8" t="s">
        <v>20</v>
      </c>
      <c r="V12" s="8">
        <f>213+311+126+470+331+ 276+119</f>
        <v>1846</v>
      </c>
      <c r="W12" s="8">
        <v>0.80079999999999996</v>
      </c>
      <c r="X12" s="8" t="s">
        <v>20</v>
      </c>
      <c r="Y12" s="8" t="s">
        <v>20</v>
      </c>
      <c r="Z12" s="8">
        <v>0</v>
      </c>
      <c r="AA12" s="8">
        <v>100</v>
      </c>
      <c r="AB12" s="8" t="s">
        <v>52</v>
      </c>
    </row>
    <row r="13" spans="1:28" s="8" customFormat="1" ht="17">
      <c r="A13" s="8" t="s">
        <v>53</v>
      </c>
      <c r="B13" t="s">
        <v>54</v>
      </c>
      <c r="C13" s="8" t="s">
        <v>171</v>
      </c>
      <c r="D13" s="8" t="s">
        <v>235</v>
      </c>
      <c r="E13" s="8" t="s">
        <v>56</v>
      </c>
      <c r="F13" s="8" t="s">
        <v>23</v>
      </c>
      <c r="G13" s="8">
        <v>0</v>
      </c>
      <c r="H13" t="s">
        <v>57</v>
      </c>
      <c r="I13" s="8" t="s">
        <v>221</v>
      </c>
      <c r="J13" t="s">
        <v>223</v>
      </c>
      <c r="K13" s="8" t="s">
        <v>31</v>
      </c>
      <c r="L13" t="s">
        <v>217</v>
      </c>
      <c r="M13" s="8" t="s">
        <v>238</v>
      </c>
      <c r="N13" s="8" t="s">
        <v>55</v>
      </c>
      <c r="O13" s="8">
        <v>1</v>
      </c>
      <c r="P13" s="8">
        <v>0</v>
      </c>
      <c r="Q13" s="8" t="s">
        <v>227</v>
      </c>
      <c r="R13" s="8">
        <v>0</v>
      </c>
      <c r="S13" s="8">
        <v>5</v>
      </c>
      <c r="T13" s="8">
        <f>16793/V13</f>
        <v>0.28073489585074729</v>
      </c>
      <c r="U13" s="8">
        <f>14159+8128+13061+426+3133</f>
        <v>38907</v>
      </c>
      <c r="V13" s="12">
        <f t="shared" ref="V13:V19" si="1">15746 +15692+ 16872+ 6920+ 4588</f>
        <v>59818</v>
      </c>
      <c r="W13" s="8">
        <v>0.65039999999999998</v>
      </c>
      <c r="X13" s="8" t="s">
        <v>20</v>
      </c>
      <c r="Y13" s="8">
        <f t="shared" ref="Y13:Y19" si="2">U13/V13</f>
        <v>0.65042294961382863</v>
      </c>
      <c r="Z13" s="8">
        <v>1</v>
      </c>
      <c r="AA13" s="8">
        <v>100</v>
      </c>
      <c r="AB13" s="8" t="s">
        <v>58</v>
      </c>
    </row>
    <row r="14" spans="1:28" s="8" customFormat="1" ht="17">
      <c r="A14" s="8" t="s">
        <v>53</v>
      </c>
      <c r="B14" t="s">
        <v>54</v>
      </c>
      <c r="C14" s="8" t="s">
        <v>171</v>
      </c>
      <c r="D14" s="8" t="s">
        <v>235</v>
      </c>
      <c r="E14" s="8" t="s">
        <v>56</v>
      </c>
      <c r="F14" s="8" t="s">
        <v>23</v>
      </c>
      <c r="G14" s="8">
        <v>0</v>
      </c>
      <c r="H14" t="s">
        <v>57</v>
      </c>
      <c r="I14" s="8" t="s">
        <v>221</v>
      </c>
      <c r="J14" t="s">
        <v>223</v>
      </c>
      <c r="K14" s="8" t="s">
        <v>31</v>
      </c>
      <c r="L14" t="s">
        <v>217</v>
      </c>
      <c r="M14" s="8" t="s">
        <v>238</v>
      </c>
      <c r="N14" s="8" t="s">
        <v>55</v>
      </c>
      <c r="O14" s="8">
        <v>1</v>
      </c>
      <c r="P14" s="8">
        <v>0</v>
      </c>
      <c r="Q14" s="8" t="s">
        <v>227</v>
      </c>
      <c r="R14" s="8">
        <v>0</v>
      </c>
      <c r="S14" s="8">
        <v>5</v>
      </c>
      <c r="T14" s="8">
        <f>29247/V14</f>
        <v>0.48893309706108529</v>
      </c>
      <c r="U14" s="12">
        <v>42212</v>
      </c>
      <c r="V14" s="12">
        <f t="shared" si="1"/>
        <v>59818</v>
      </c>
      <c r="W14" s="8">
        <v>0.7056</v>
      </c>
      <c r="X14" s="8" t="s">
        <v>20</v>
      </c>
      <c r="Y14" s="8">
        <f t="shared" si="2"/>
        <v>0.70567387742819887</v>
      </c>
      <c r="Z14" s="8">
        <v>1</v>
      </c>
      <c r="AA14" s="8">
        <v>100</v>
      </c>
      <c r="AB14" s="8" t="s">
        <v>58</v>
      </c>
    </row>
    <row r="15" spans="1:28" s="8" customFormat="1" ht="17">
      <c r="A15" s="8" t="s">
        <v>53</v>
      </c>
      <c r="B15" t="s">
        <v>54</v>
      </c>
      <c r="C15" s="8" t="s">
        <v>171</v>
      </c>
      <c r="D15" s="8" t="s">
        <v>235</v>
      </c>
      <c r="E15" s="8" t="s">
        <v>56</v>
      </c>
      <c r="F15" s="8" t="s">
        <v>23</v>
      </c>
      <c r="G15" s="8">
        <v>0</v>
      </c>
      <c r="H15" t="s">
        <v>57</v>
      </c>
      <c r="I15" s="8" t="s">
        <v>221</v>
      </c>
      <c r="J15" t="s">
        <v>223</v>
      </c>
      <c r="K15" s="8" t="s">
        <v>31</v>
      </c>
      <c r="L15" t="s">
        <v>217</v>
      </c>
      <c r="M15" s="8" t="s">
        <v>238</v>
      </c>
      <c r="N15" s="8" t="s">
        <v>55</v>
      </c>
      <c r="O15" s="8">
        <v>1</v>
      </c>
      <c r="P15" s="8">
        <v>0</v>
      </c>
      <c r="Q15" s="8" t="s">
        <v>227</v>
      </c>
      <c r="R15" s="8">
        <v>0</v>
      </c>
      <c r="S15" s="8">
        <v>5</v>
      </c>
      <c r="T15" s="8">
        <f>15846/V15</f>
        <v>0.26490354074024541</v>
      </c>
      <c r="U15" s="8">
        <v>41173</v>
      </c>
      <c r="V15" s="12">
        <f t="shared" si="1"/>
        <v>59818</v>
      </c>
      <c r="W15" s="8">
        <v>0.68830000000000002</v>
      </c>
      <c r="X15" s="8" t="s">
        <v>20</v>
      </c>
      <c r="Y15" s="8">
        <f t="shared" si="2"/>
        <v>0.68830452372195661</v>
      </c>
      <c r="Z15" s="8">
        <v>1</v>
      </c>
      <c r="AA15" s="8">
        <v>100</v>
      </c>
      <c r="AB15" s="8" t="s">
        <v>58</v>
      </c>
    </row>
    <row r="16" spans="1:28" s="8" customFormat="1" ht="17">
      <c r="A16" s="8" t="s">
        <v>53</v>
      </c>
      <c r="B16" t="s">
        <v>54</v>
      </c>
      <c r="C16" s="8" t="s">
        <v>171</v>
      </c>
      <c r="D16" s="8" t="s">
        <v>235</v>
      </c>
      <c r="E16" s="8" t="s">
        <v>56</v>
      </c>
      <c r="F16" s="8" t="s">
        <v>23</v>
      </c>
      <c r="G16" s="8">
        <v>0</v>
      </c>
      <c r="H16" t="s">
        <v>57</v>
      </c>
      <c r="I16" s="8" t="s">
        <v>221</v>
      </c>
      <c r="J16" t="s">
        <v>223</v>
      </c>
      <c r="K16" s="8" t="s">
        <v>31</v>
      </c>
      <c r="L16" t="s">
        <v>217</v>
      </c>
      <c r="M16" s="8" t="s">
        <v>238</v>
      </c>
      <c r="N16" s="8" t="s">
        <v>55</v>
      </c>
      <c r="O16" s="8">
        <v>1</v>
      </c>
      <c r="P16" s="8">
        <v>0</v>
      </c>
      <c r="Q16" s="8" t="s">
        <v>227</v>
      </c>
      <c r="R16" s="8">
        <v>0</v>
      </c>
      <c r="S16" s="8">
        <v>5</v>
      </c>
      <c r="T16" s="8">
        <f>16643/V16</f>
        <v>0.27822728944464875</v>
      </c>
      <c r="U16" s="8">
        <v>41957</v>
      </c>
      <c r="V16" s="12">
        <f t="shared" si="1"/>
        <v>59818</v>
      </c>
      <c r="W16" s="8">
        <v>0.70140000000000002</v>
      </c>
      <c r="X16" s="8" t="s">
        <v>20</v>
      </c>
      <c r="Y16" s="8">
        <f t="shared" si="2"/>
        <v>0.70141094653783143</v>
      </c>
      <c r="Z16" s="8">
        <v>1</v>
      </c>
      <c r="AA16" s="8">
        <v>100</v>
      </c>
      <c r="AB16" s="8" t="s">
        <v>58</v>
      </c>
    </row>
    <row r="17" spans="1:28" s="8" customFormat="1" ht="17">
      <c r="A17" s="8" t="s">
        <v>53</v>
      </c>
      <c r="B17" t="s">
        <v>54</v>
      </c>
      <c r="C17" s="8" t="s">
        <v>171</v>
      </c>
      <c r="D17" s="8" t="s">
        <v>235</v>
      </c>
      <c r="E17" s="8" t="s">
        <v>56</v>
      </c>
      <c r="F17" s="8" t="s">
        <v>23</v>
      </c>
      <c r="G17" s="8">
        <v>0</v>
      </c>
      <c r="H17" t="s">
        <v>57</v>
      </c>
      <c r="I17" s="8" t="s">
        <v>221</v>
      </c>
      <c r="J17" t="s">
        <v>223</v>
      </c>
      <c r="K17" s="8" t="s">
        <v>31</v>
      </c>
      <c r="L17" t="s">
        <v>217</v>
      </c>
      <c r="M17" s="8" t="s">
        <v>238</v>
      </c>
      <c r="N17" s="8" t="s">
        <v>55</v>
      </c>
      <c r="O17" s="8">
        <v>1</v>
      </c>
      <c r="P17" s="8">
        <v>0</v>
      </c>
      <c r="Q17" s="8" t="s">
        <v>227</v>
      </c>
      <c r="R17" s="8">
        <v>0</v>
      </c>
      <c r="S17" s="8">
        <v>5</v>
      </c>
      <c r="T17" s="8">
        <f>16793/V17</f>
        <v>0.28073489585074729</v>
      </c>
      <c r="U17" s="8">
        <v>40261</v>
      </c>
      <c r="V17" s="12">
        <f t="shared" si="1"/>
        <v>59818</v>
      </c>
      <c r="W17" s="8">
        <v>0.67300000000000004</v>
      </c>
      <c r="X17" s="8" t="s">
        <v>20</v>
      </c>
      <c r="Y17" s="8">
        <f t="shared" si="2"/>
        <v>0.67305827677287777</v>
      </c>
      <c r="Z17" s="8">
        <v>1</v>
      </c>
      <c r="AA17" s="8">
        <v>100</v>
      </c>
      <c r="AB17" s="8" t="s">
        <v>58</v>
      </c>
    </row>
    <row r="18" spans="1:28" s="8" customFormat="1" ht="17">
      <c r="A18" s="8" t="s">
        <v>53</v>
      </c>
      <c r="B18" t="s">
        <v>54</v>
      </c>
      <c r="C18" s="8" t="s">
        <v>171</v>
      </c>
      <c r="D18" s="8" t="s">
        <v>235</v>
      </c>
      <c r="E18" s="8" t="s">
        <v>56</v>
      </c>
      <c r="F18" s="8" t="s">
        <v>23</v>
      </c>
      <c r="G18" s="8">
        <v>0</v>
      </c>
      <c r="H18" t="s">
        <v>57</v>
      </c>
      <c r="I18" s="8" t="s">
        <v>221</v>
      </c>
      <c r="J18" t="s">
        <v>223</v>
      </c>
      <c r="K18" s="8" t="s">
        <v>31</v>
      </c>
      <c r="L18" t="s">
        <v>217</v>
      </c>
      <c r="M18" s="8" t="s">
        <v>238</v>
      </c>
      <c r="N18" s="8" t="s">
        <v>55</v>
      </c>
      <c r="O18" s="8">
        <v>1</v>
      </c>
      <c r="P18" s="8">
        <v>0</v>
      </c>
      <c r="Q18" s="8" t="s">
        <v>227</v>
      </c>
      <c r="R18" s="8">
        <v>0</v>
      </c>
      <c r="S18" s="8">
        <v>5</v>
      </c>
      <c r="T18" s="8">
        <f>17830/V18</f>
        <v>0.29807081480490821</v>
      </c>
      <c r="U18" s="8">
        <v>42309</v>
      </c>
      <c r="V18" s="12">
        <f t="shared" si="1"/>
        <v>59818</v>
      </c>
      <c r="W18" s="8">
        <v>0.70720000000000005</v>
      </c>
      <c r="X18" s="8" t="s">
        <v>20</v>
      </c>
      <c r="Y18" s="8">
        <f t="shared" si="2"/>
        <v>0.70729546290414258</v>
      </c>
      <c r="Z18" s="8">
        <v>1</v>
      </c>
      <c r="AA18" s="8">
        <v>100</v>
      </c>
      <c r="AB18" s="8" t="s">
        <v>58</v>
      </c>
    </row>
    <row r="19" spans="1:28" s="8" customFormat="1" ht="17">
      <c r="A19" s="8" t="s">
        <v>53</v>
      </c>
      <c r="B19" t="s">
        <v>54</v>
      </c>
      <c r="C19" s="8" t="s">
        <v>171</v>
      </c>
      <c r="D19" s="8" t="s">
        <v>235</v>
      </c>
      <c r="E19" s="8" t="s">
        <v>56</v>
      </c>
      <c r="F19" s="8" t="s">
        <v>23</v>
      </c>
      <c r="G19" s="8">
        <v>0</v>
      </c>
      <c r="H19" t="s">
        <v>57</v>
      </c>
      <c r="I19" s="8" t="s">
        <v>221</v>
      </c>
      <c r="J19" t="s">
        <v>223</v>
      </c>
      <c r="K19" s="8" t="s">
        <v>31</v>
      </c>
      <c r="L19" t="s">
        <v>217</v>
      </c>
      <c r="M19" s="8" t="s">
        <v>238</v>
      </c>
      <c r="N19" s="8" t="s">
        <v>55</v>
      </c>
      <c r="O19" s="8">
        <v>1</v>
      </c>
      <c r="P19" s="8">
        <v>0</v>
      </c>
      <c r="Q19" s="8" t="s">
        <v>227</v>
      </c>
      <c r="R19" s="8">
        <v>0</v>
      </c>
      <c r="S19" s="8">
        <v>5</v>
      </c>
      <c r="T19" s="8">
        <f xml:space="preserve"> 17554/V19</f>
        <v>0.293456819017687</v>
      </c>
      <c r="U19" s="8">
        <v>41907</v>
      </c>
      <c r="V19" s="12">
        <f t="shared" si="1"/>
        <v>59818</v>
      </c>
      <c r="W19" s="8">
        <v>0.70050000000000001</v>
      </c>
      <c r="X19" s="8" t="s">
        <v>20</v>
      </c>
      <c r="Y19" s="8">
        <f t="shared" si="2"/>
        <v>0.70057507773579863</v>
      </c>
      <c r="Z19" s="8">
        <v>1</v>
      </c>
      <c r="AA19" s="8">
        <v>100</v>
      </c>
      <c r="AB19" s="8" t="s">
        <v>58</v>
      </c>
    </row>
    <row r="20" spans="1:28" s="8" customFormat="1" ht="51">
      <c r="A20" s="8" t="s">
        <v>15</v>
      </c>
      <c r="B20" t="s">
        <v>16</v>
      </c>
      <c r="C20" s="8" t="s">
        <v>17</v>
      </c>
      <c r="D20" s="8" t="s">
        <v>236</v>
      </c>
      <c r="E20" s="8" t="s">
        <v>59</v>
      </c>
      <c r="F20" s="8" t="s">
        <v>23</v>
      </c>
      <c r="G20" s="8">
        <v>0</v>
      </c>
      <c r="H20" t="s">
        <v>195</v>
      </c>
      <c r="I20" s="8" t="s">
        <v>225</v>
      </c>
      <c r="J20" t="s">
        <v>228</v>
      </c>
      <c r="K20" s="8" t="s">
        <v>31</v>
      </c>
      <c r="L20" t="s">
        <v>217</v>
      </c>
      <c r="M20" s="8" t="s">
        <v>239</v>
      </c>
      <c r="N20" s="8" t="s">
        <v>19</v>
      </c>
      <c r="O20" s="8">
        <v>13</v>
      </c>
      <c r="P20" s="8">
        <v>0</v>
      </c>
      <c r="Q20" s="8" t="s">
        <v>227</v>
      </c>
      <c r="R20" s="8">
        <v>0</v>
      </c>
      <c r="S20" s="8">
        <v>4</v>
      </c>
      <c r="T20" s="8">
        <v>0.47</v>
      </c>
      <c r="U20" s="8" t="s">
        <v>20</v>
      </c>
      <c r="V20" s="8">
        <f>8+89+359+406</f>
        <v>862</v>
      </c>
      <c r="W20" s="8">
        <v>0.93599999999999994</v>
      </c>
      <c r="X20" s="8" t="s">
        <v>20</v>
      </c>
      <c r="Y20" s="8" t="s">
        <v>20</v>
      </c>
      <c r="Z20" s="8" t="s">
        <v>20</v>
      </c>
      <c r="AA20" s="8">
        <v>100</v>
      </c>
      <c r="AB20" s="8" t="s">
        <v>60</v>
      </c>
    </row>
    <row r="21" spans="1:28" s="8" customFormat="1" ht="51">
      <c r="A21" s="8" t="s">
        <v>15</v>
      </c>
      <c r="B21" t="s">
        <v>16</v>
      </c>
      <c r="C21" s="8" t="s">
        <v>17</v>
      </c>
      <c r="D21" s="8" t="s">
        <v>236</v>
      </c>
      <c r="E21" s="8" t="s">
        <v>59</v>
      </c>
      <c r="F21" s="8" t="s">
        <v>23</v>
      </c>
      <c r="G21" s="8">
        <v>0</v>
      </c>
      <c r="H21" t="s">
        <v>195</v>
      </c>
      <c r="I21" s="8" t="s">
        <v>225</v>
      </c>
      <c r="J21" t="s">
        <v>228</v>
      </c>
      <c r="K21" s="8" t="s">
        <v>31</v>
      </c>
      <c r="L21" t="s">
        <v>217</v>
      </c>
      <c r="M21" s="8" t="s">
        <v>239</v>
      </c>
      <c r="N21" s="8" t="s">
        <v>19</v>
      </c>
      <c r="O21" s="8">
        <v>13</v>
      </c>
      <c r="P21" s="8">
        <v>0</v>
      </c>
      <c r="Q21" s="8" t="s">
        <v>227</v>
      </c>
      <c r="R21">
        <v>0</v>
      </c>
      <c r="S21" s="8">
        <v>4</v>
      </c>
      <c r="T21" s="8">
        <v>0.53</v>
      </c>
      <c r="U21" s="8" t="s">
        <v>20</v>
      </c>
      <c r="V21" s="8">
        <f>11+64+455+332</f>
        <v>862</v>
      </c>
      <c r="W21" s="8">
        <v>0.95299999999999996</v>
      </c>
      <c r="X21" s="8" t="s">
        <v>20</v>
      </c>
      <c r="Y21" s="8" t="s">
        <v>20</v>
      </c>
      <c r="Z21" s="8" t="s">
        <v>20</v>
      </c>
      <c r="AA21" s="8">
        <v>100</v>
      </c>
      <c r="AB21" s="8" t="s">
        <v>60</v>
      </c>
    </row>
    <row r="22" spans="1:28" s="8" customFormat="1" ht="34">
      <c r="A22" s="13" t="s">
        <v>61</v>
      </c>
      <c r="B22" s="12" t="s">
        <v>62</v>
      </c>
      <c r="C22" s="11" t="s">
        <v>215</v>
      </c>
      <c r="D22" s="11" t="s">
        <v>234</v>
      </c>
      <c r="E22" s="13" t="s">
        <v>64</v>
      </c>
      <c r="F22" s="8" t="s">
        <v>23</v>
      </c>
      <c r="G22" s="13">
        <v>0</v>
      </c>
      <c r="H22" t="s">
        <v>30</v>
      </c>
      <c r="I22" s="8" t="s">
        <v>226</v>
      </c>
      <c r="J22" t="s">
        <v>228</v>
      </c>
      <c r="K22" s="8" t="s">
        <v>31</v>
      </c>
      <c r="L22" t="s">
        <v>217</v>
      </c>
      <c r="M22" s="8" t="s">
        <v>239</v>
      </c>
      <c r="N22" s="11" t="s">
        <v>63</v>
      </c>
      <c r="O22" s="8">
        <v>7</v>
      </c>
      <c r="P22" s="8">
        <v>0</v>
      </c>
      <c r="Q22" s="13">
        <v>15</v>
      </c>
      <c r="R22" s="13">
        <v>1</v>
      </c>
      <c r="S22" s="8">
        <v>7</v>
      </c>
      <c r="T22" s="8">
        <f>(12442.4)/(230.2+140.6+4.8+12442.4+1442.5+1578.3+886.7)</f>
        <v>0.74391796956742695</v>
      </c>
      <c r="U22" s="8" t="s">
        <v>20</v>
      </c>
      <c r="V22" s="8">
        <f>230.2+140.6+4.8+12442.4+1442.5+1578.3+886.7</f>
        <v>16725.5</v>
      </c>
      <c r="W22" s="8">
        <v>0.872</v>
      </c>
      <c r="X22" s="8" t="s">
        <v>20</v>
      </c>
      <c r="Y22" s="8" t="s">
        <v>20</v>
      </c>
      <c r="Z22" s="8">
        <v>0</v>
      </c>
      <c r="AA22" s="8">
        <v>100</v>
      </c>
      <c r="AB22" s="8" t="s">
        <v>65</v>
      </c>
    </row>
    <row r="23" spans="1:28" s="8" customFormat="1" ht="51">
      <c r="A23" s="8" t="s">
        <v>66</v>
      </c>
      <c r="B23" t="s">
        <v>67</v>
      </c>
      <c r="C23" s="8" t="s">
        <v>219</v>
      </c>
      <c r="D23" s="8" t="s">
        <v>235</v>
      </c>
      <c r="E23" s="8" t="s">
        <v>70</v>
      </c>
      <c r="F23" s="8" t="s">
        <v>23</v>
      </c>
      <c r="G23" s="8">
        <v>0</v>
      </c>
      <c r="H23" t="s">
        <v>30</v>
      </c>
      <c r="I23" s="8" t="s">
        <v>226</v>
      </c>
      <c r="J23" t="s">
        <v>228</v>
      </c>
      <c r="K23" s="8" t="s">
        <v>68</v>
      </c>
      <c r="L23" t="s">
        <v>217</v>
      </c>
      <c r="M23" s="8" t="s">
        <v>239</v>
      </c>
      <c r="N23" s="8" t="s">
        <v>69</v>
      </c>
      <c r="O23" s="8">
        <v>8</v>
      </c>
      <c r="P23" s="8">
        <v>1</v>
      </c>
      <c r="Q23" s="8">
        <v>25</v>
      </c>
      <c r="R23" s="8">
        <v>1</v>
      </c>
      <c r="S23" s="8">
        <v>6</v>
      </c>
      <c r="T23" s="8">
        <f>7144/11737</f>
        <v>0.60867342591803697</v>
      </c>
      <c r="U23" s="8">
        <f>729+5543+575+430+1581+491</f>
        <v>9349</v>
      </c>
      <c r="V23" s="8">
        <v>11737</v>
      </c>
      <c r="W23" s="8">
        <v>0.8</v>
      </c>
      <c r="X23" t="s">
        <v>20</v>
      </c>
      <c r="Y23" s="8">
        <f t="shared" ref="Y23:Y32" si="3">U23/V23</f>
        <v>0.79654085371048822</v>
      </c>
      <c r="Z23" s="8">
        <v>1</v>
      </c>
      <c r="AA23" s="8">
        <v>100</v>
      </c>
      <c r="AB23" s="8" t="s">
        <v>71</v>
      </c>
    </row>
    <row r="24" spans="1:28" s="8" customFormat="1" ht="34">
      <c r="A24" s="8" t="s">
        <v>72</v>
      </c>
      <c r="B24" s="14" t="s">
        <v>73</v>
      </c>
      <c r="C24" s="11" t="s">
        <v>215</v>
      </c>
      <c r="D24" s="11" t="s">
        <v>234</v>
      </c>
      <c r="E24" s="11" t="s">
        <v>289</v>
      </c>
      <c r="F24" s="8" t="s">
        <v>23</v>
      </c>
      <c r="G24" s="8">
        <v>0</v>
      </c>
      <c r="H24" t="s">
        <v>197</v>
      </c>
      <c r="I24" s="8" t="s">
        <v>226</v>
      </c>
      <c r="J24" t="s">
        <v>223</v>
      </c>
      <c r="K24" s="8" t="s">
        <v>48</v>
      </c>
      <c r="L24" t="s">
        <v>218</v>
      </c>
      <c r="M24" s="8" t="s">
        <v>238</v>
      </c>
      <c r="N24" s="8" t="s">
        <v>74</v>
      </c>
      <c r="O24" s="8">
        <v>1</v>
      </c>
      <c r="P24" s="8">
        <v>0</v>
      </c>
      <c r="Q24" s="8">
        <v>10</v>
      </c>
      <c r="R24" s="8">
        <v>1</v>
      </c>
      <c r="S24" s="8">
        <v>2</v>
      </c>
      <c r="T24" s="8">
        <f>(50790+628)/V24</f>
        <v>0.70422110828060369</v>
      </c>
      <c r="U24" s="8">
        <f>20139+50790</f>
        <v>70929</v>
      </c>
      <c r="V24" s="8">
        <f>20139+1457+628+50790</f>
        <v>73014</v>
      </c>
      <c r="W24" s="8">
        <v>0.97099999999999997</v>
      </c>
      <c r="X24" s="8">
        <v>1</v>
      </c>
      <c r="Y24" s="8">
        <f t="shared" si="3"/>
        <v>0.9714438326896212</v>
      </c>
      <c r="Z24" s="8">
        <v>1</v>
      </c>
      <c r="AA24" s="8">
        <v>100</v>
      </c>
      <c r="AB24" s="8" t="s">
        <v>76</v>
      </c>
    </row>
    <row r="25" spans="1:28" s="8" customFormat="1" ht="34">
      <c r="A25" s="8" t="s">
        <v>72</v>
      </c>
      <c r="B25" s="14" t="s">
        <v>73</v>
      </c>
      <c r="C25" s="11" t="s">
        <v>215</v>
      </c>
      <c r="D25" s="11" t="s">
        <v>234</v>
      </c>
      <c r="E25" s="11" t="s">
        <v>289</v>
      </c>
      <c r="F25" s="8" t="s">
        <v>23</v>
      </c>
      <c r="G25" s="8">
        <v>0</v>
      </c>
      <c r="H25" t="s">
        <v>197</v>
      </c>
      <c r="I25" s="8" t="s">
        <v>226</v>
      </c>
      <c r="J25" t="s">
        <v>223</v>
      </c>
      <c r="K25" s="8" t="s">
        <v>75</v>
      </c>
      <c r="L25" t="s">
        <v>217</v>
      </c>
      <c r="M25" s="8" t="s">
        <v>238</v>
      </c>
      <c r="N25" s="8" t="s">
        <v>74</v>
      </c>
      <c r="O25" s="8">
        <v>1</v>
      </c>
      <c r="P25" s="8">
        <v>0</v>
      </c>
      <c r="Q25" s="8">
        <v>10</v>
      </c>
      <c r="R25" s="8">
        <v>1</v>
      </c>
      <c r="S25" s="8">
        <v>2</v>
      </c>
      <c r="T25" s="8">
        <f>(825+50593)/U25</f>
        <v>0.72718787124512074</v>
      </c>
      <c r="U25" s="8">
        <f>20115+50593</f>
        <v>70708</v>
      </c>
      <c r="V25" s="8">
        <f>20115+1481+825+50593</f>
        <v>73014</v>
      </c>
      <c r="W25" s="8">
        <v>0.96799999999999997</v>
      </c>
      <c r="X25" s="8">
        <v>1</v>
      </c>
      <c r="Y25" s="8">
        <f t="shared" si="3"/>
        <v>0.96841701591475604</v>
      </c>
      <c r="Z25" s="8">
        <v>1</v>
      </c>
      <c r="AA25" s="8">
        <v>100</v>
      </c>
      <c r="AB25" s="8" t="s">
        <v>76</v>
      </c>
    </row>
    <row r="26" spans="1:28" s="8" customFormat="1" ht="34">
      <c r="A26" s="8" t="s">
        <v>77</v>
      </c>
      <c r="B26" t="s">
        <v>78</v>
      </c>
      <c r="C26" s="8" t="s">
        <v>17</v>
      </c>
      <c r="D26" s="8" t="s">
        <v>236</v>
      </c>
      <c r="E26" s="8" t="s">
        <v>79</v>
      </c>
      <c r="F26" s="8" t="s">
        <v>23</v>
      </c>
      <c r="G26" s="8">
        <v>1</v>
      </c>
      <c r="H26" t="s">
        <v>227</v>
      </c>
      <c r="I26" t="s">
        <v>227</v>
      </c>
      <c r="J26" t="s">
        <v>227</v>
      </c>
      <c r="K26" s="8" t="s">
        <v>31</v>
      </c>
      <c r="L26" t="s">
        <v>217</v>
      </c>
      <c r="M26" s="8" t="s">
        <v>238</v>
      </c>
      <c r="N26" s="8" t="s">
        <v>20</v>
      </c>
      <c r="O26" s="8" t="s">
        <v>227</v>
      </c>
      <c r="P26" s="8">
        <v>1</v>
      </c>
      <c r="Q26" s="8">
        <v>20</v>
      </c>
      <c r="R26" s="8">
        <v>1</v>
      </c>
      <c r="S26" s="8">
        <v>2</v>
      </c>
      <c r="T26" s="8">
        <v>0.60099999999999998</v>
      </c>
      <c r="U26" s="8">
        <f>38849+24356</f>
        <v>63205</v>
      </c>
      <c r="V26" s="8">
        <f>U26+3767+3600</f>
        <v>70572</v>
      </c>
      <c r="W26" s="8">
        <v>0.89600000000000002</v>
      </c>
      <c r="X26" s="8" t="s">
        <v>20</v>
      </c>
      <c r="Y26" s="8">
        <f t="shared" si="3"/>
        <v>0.89561015700277735</v>
      </c>
      <c r="Z26" s="8">
        <v>1</v>
      </c>
      <c r="AA26" s="8">
        <v>100</v>
      </c>
      <c r="AB26" s="8" t="s">
        <v>80</v>
      </c>
    </row>
    <row r="27" spans="1:28" s="8" customFormat="1" ht="34">
      <c r="A27" s="8" t="s">
        <v>77</v>
      </c>
      <c r="B27" t="s">
        <v>78</v>
      </c>
      <c r="C27" s="8" t="s">
        <v>17</v>
      </c>
      <c r="D27" s="8" t="s">
        <v>236</v>
      </c>
      <c r="E27" s="8" t="s">
        <v>79</v>
      </c>
      <c r="F27" s="8" t="s">
        <v>23</v>
      </c>
      <c r="G27" s="8">
        <v>1</v>
      </c>
      <c r="H27" t="s">
        <v>227</v>
      </c>
      <c r="I27" t="s">
        <v>227</v>
      </c>
      <c r="J27" t="s">
        <v>227</v>
      </c>
      <c r="K27" s="8" t="s">
        <v>31</v>
      </c>
      <c r="L27" t="s">
        <v>217</v>
      </c>
      <c r="M27" s="8" t="s">
        <v>238</v>
      </c>
      <c r="N27" s="8" t="s">
        <v>20</v>
      </c>
      <c r="O27" s="8" t="s">
        <v>227</v>
      </c>
      <c r="P27" s="8">
        <v>1</v>
      </c>
      <c r="Q27" s="8">
        <v>20</v>
      </c>
      <c r="R27" s="8">
        <v>1</v>
      </c>
      <c r="S27" s="8">
        <v>2</v>
      </c>
      <c r="T27" s="8">
        <v>0.66500000000000004</v>
      </c>
      <c r="U27" s="8">
        <f>18345+32673</f>
        <v>51018</v>
      </c>
      <c r="V27" s="8">
        <f>U27+7007+1618</f>
        <v>59643</v>
      </c>
      <c r="W27" s="8">
        <v>0.85499999999999998</v>
      </c>
      <c r="X27" s="8" t="s">
        <v>20</v>
      </c>
      <c r="Y27" s="8">
        <f t="shared" si="3"/>
        <v>0.85538956792917864</v>
      </c>
      <c r="Z27" s="8">
        <v>1</v>
      </c>
      <c r="AA27" s="8">
        <v>100</v>
      </c>
      <c r="AB27" s="8" t="s">
        <v>80</v>
      </c>
    </row>
    <row r="28" spans="1:28" s="8" customFormat="1" ht="34">
      <c r="A28" s="8" t="s">
        <v>77</v>
      </c>
      <c r="B28" t="s">
        <v>78</v>
      </c>
      <c r="C28" s="8" t="s">
        <v>17</v>
      </c>
      <c r="D28" s="8" t="s">
        <v>236</v>
      </c>
      <c r="E28" s="8" t="s">
        <v>79</v>
      </c>
      <c r="F28" s="8" t="s">
        <v>23</v>
      </c>
      <c r="G28" s="8">
        <v>1</v>
      </c>
      <c r="H28" t="s">
        <v>227</v>
      </c>
      <c r="I28" t="s">
        <v>227</v>
      </c>
      <c r="J28" t="s">
        <v>227</v>
      </c>
      <c r="K28" s="8" t="s">
        <v>31</v>
      </c>
      <c r="L28" t="s">
        <v>217</v>
      </c>
      <c r="M28" s="8" t="s">
        <v>238</v>
      </c>
      <c r="N28" s="8" t="s">
        <v>20</v>
      </c>
      <c r="O28" s="8" t="s">
        <v>227</v>
      </c>
      <c r="P28" s="8">
        <v>1</v>
      </c>
      <c r="Q28" s="8">
        <v>20</v>
      </c>
      <c r="R28" s="8">
        <v>1</v>
      </c>
      <c r="S28" s="8">
        <v>2</v>
      </c>
      <c r="T28" s="8">
        <v>0.61299999999999999</v>
      </c>
      <c r="U28" s="8">
        <f>22706+43033</f>
        <v>65739</v>
      </c>
      <c r="V28" s="8">
        <f>U28+7642+9225</f>
        <v>82606</v>
      </c>
      <c r="W28" s="8">
        <v>0.79600000000000004</v>
      </c>
      <c r="X28" s="8" t="s">
        <v>20</v>
      </c>
      <c r="Y28" s="8">
        <f t="shared" si="3"/>
        <v>0.79581386339975302</v>
      </c>
      <c r="Z28" s="8">
        <v>1</v>
      </c>
      <c r="AA28" s="8">
        <v>100</v>
      </c>
      <c r="AB28" s="8" t="s">
        <v>80</v>
      </c>
    </row>
    <row r="29" spans="1:28" s="8" customFormat="1" ht="34">
      <c r="A29" s="8" t="s">
        <v>77</v>
      </c>
      <c r="B29" t="s">
        <v>78</v>
      </c>
      <c r="C29" s="8" t="s">
        <v>17</v>
      </c>
      <c r="D29" s="8" t="s">
        <v>236</v>
      </c>
      <c r="E29" s="8" t="s">
        <v>79</v>
      </c>
      <c r="F29" s="8" t="s">
        <v>23</v>
      </c>
      <c r="G29" s="8">
        <v>1</v>
      </c>
      <c r="H29" t="s">
        <v>227</v>
      </c>
      <c r="I29" t="s">
        <v>227</v>
      </c>
      <c r="J29" t="s">
        <v>227</v>
      </c>
      <c r="K29" s="8" t="s">
        <v>31</v>
      </c>
      <c r="L29" t="s">
        <v>217</v>
      </c>
      <c r="M29" s="8" t="s">
        <v>238</v>
      </c>
      <c r="N29" s="8" t="s">
        <v>20</v>
      </c>
      <c r="O29" s="8" t="s">
        <v>227</v>
      </c>
      <c r="P29" s="8">
        <v>1</v>
      </c>
      <c r="Q29" s="8">
        <v>20</v>
      </c>
      <c r="R29" s="8">
        <v>1</v>
      </c>
      <c r="S29" s="8">
        <v>2</v>
      </c>
      <c r="T29" s="8">
        <v>0.71699999999999997</v>
      </c>
      <c r="U29" s="8">
        <f>87581+263375</f>
        <v>350956</v>
      </c>
      <c r="V29" s="8">
        <f>U29+43287+33553</f>
        <v>427796</v>
      </c>
      <c r="W29" s="8">
        <v>0.82</v>
      </c>
      <c r="X29" s="8" t="s">
        <v>20</v>
      </c>
      <c r="Y29" s="8">
        <f t="shared" si="3"/>
        <v>0.82038167724803412</v>
      </c>
      <c r="Z29" s="8">
        <v>1</v>
      </c>
      <c r="AA29" s="8">
        <v>100</v>
      </c>
      <c r="AB29" s="8" t="s">
        <v>80</v>
      </c>
    </row>
    <row r="30" spans="1:28" s="8" customFormat="1" ht="34">
      <c r="A30" s="8" t="s">
        <v>77</v>
      </c>
      <c r="B30" t="s">
        <v>78</v>
      </c>
      <c r="C30" s="8" t="s">
        <v>17</v>
      </c>
      <c r="D30" s="8" t="s">
        <v>236</v>
      </c>
      <c r="E30" s="8" t="s">
        <v>79</v>
      </c>
      <c r="F30" s="8" t="s">
        <v>23</v>
      </c>
      <c r="G30" s="8">
        <v>1</v>
      </c>
      <c r="H30" t="s">
        <v>227</v>
      </c>
      <c r="I30" t="s">
        <v>227</v>
      </c>
      <c r="J30" t="s">
        <v>227</v>
      </c>
      <c r="K30" s="8" t="s">
        <v>31</v>
      </c>
      <c r="L30" t="s">
        <v>217</v>
      </c>
      <c r="M30" s="8" t="s">
        <v>238</v>
      </c>
      <c r="N30" s="8" t="s">
        <v>20</v>
      </c>
      <c r="O30" s="8" t="s">
        <v>227</v>
      </c>
      <c r="P30" s="8">
        <v>1</v>
      </c>
      <c r="Q30" s="8">
        <v>20</v>
      </c>
      <c r="R30" s="8">
        <v>1</v>
      </c>
      <c r="S30" s="8">
        <v>2</v>
      </c>
      <c r="T30" s="8">
        <v>0.54300000000000004</v>
      </c>
      <c r="U30" s="8">
        <f>31810+39812</f>
        <v>71622</v>
      </c>
      <c r="V30" s="8">
        <f>U30+10322+10304</f>
        <v>92248</v>
      </c>
      <c r="W30" s="8">
        <v>0.77600000000000002</v>
      </c>
      <c r="X30" s="8" t="s">
        <v>20</v>
      </c>
      <c r="Y30" s="8">
        <f t="shared" si="3"/>
        <v>0.77640707657618591</v>
      </c>
      <c r="Z30" s="8">
        <v>1</v>
      </c>
      <c r="AA30" s="8">
        <v>100</v>
      </c>
      <c r="AB30" s="8" t="s">
        <v>80</v>
      </c>
    </row>
    <row r="31" spans="1:28" s="8" customFormat="1" ht="34">
      <c r="A31" s="8" t="s">
        <v>77</v>
      </c>
      <c r="B31" t="s">
        <v>78</v>
      </c>
      <c r="C31" s="8" t="s">
        <v>17</v>
      </c>
      <c r="D31" s="8" t="s">
        <v>236</v>
      </c>
      <c r="E31" s="8" t="s">
        <v>79</v>
      </c>
      <c r="F31" s="8" t="s">
        <v>23</v>
      </c>
      <c r="G31" s="8">
        <v>1</v>
      </c>
      <c r="H31" t="s">
        <v>227</v>
      </c>
      <c r="I31" t="s">
        <v>227</v>
      </c>
      <c r="J31" t="s">
        <v>227</v>
      </c>
      <c r="K31" s="8" t="s">
        <v>31</v>
      </c>
      <c r="L31" t="s">
        <v>217</v>
      </c>
      <c r="M31" s="8" t="s">
        <v>238</v>
      </c>
      <c r="N31" s="8" t="s">
        <v>20</v>
      </c>
      <c r="O31" s="8" t="s">
        <v>227</v>
      </c>
      <c r="P31" s="8">
        <v>1</v>
      </c>
      <c r="Q31" s="8">
        <v>20</v>
      </c>
      <c r="R31" s="8">
        <v>1</v>
      </c>
      <c r="S31" s="8">
        <v>2</v>
      </c>
      <c r="T31" s="8">
        <v>0.85899999999999999</v>
      </c>
      <c r="U31" s="8">
        <f>4170+27053</f>
        <v>31223</v>
      </c>
      <c r="V31" s="8">
        <f>U31+2795+722</f>
        <v>34740</v>
      </c>
      <c r="W31" s="8">
        <v>0.89900000000000002</v>
      </c>
      <c r="X31" s="8" t="s">
        <v>20</v>
      </c>
      <c r="Y31" s="8">
        <f t="shared" si="3"/>
        <v>0.89876223373632702</v>
      </c>
      <c r="Z31" s="8">
        <v>1</v>
      </c>
      <c r="AA31" s="8">
        <v>100</v>
      </c>
      <c r="AB31" s="8" t="s">
        <v>80</v>
      </c>
    </row>
    <row r="32" spans="1:28" s="8" customFormat="1" ht="34">
      <c r="A32" s="8" t="s">
        <v>77</v>
      </c>
      <c r="B32" t="s">
        <v>78</v>
      </c>
      <c r="C32" s="8" t="s">
        <v>17</v>
      </c>
      <c r="D32" s="8" t="s">
        <v>236</v>
      </c>
      <c r="E32" s="8" t="s">
        <v>79</v>
      </c>
      <c r="F32" s="8" t="s">
        <v>23</v>
      </c>
      <c r="G32" s="8">
        <v>1</v>
      </c>
      <c r="H32" t="s">
        <v>227</v>
      </c>
      <c r="I32" t="s">
        <v>227</v>
      </c>
      <c r="J32" t="s">
        <v>227</v>
      </c>
      <c r="K32" s="8" t="s">
        <v>31</v>
      </c>
      <c r="L32" t="s">
        <v>217</v>
      </c>
      <c r="M32" s="8" t="s">
        <v>238</v>
      </c>
      <c r="N32" s="8" t="s">
        <v>20</v>
      </c>
      <c r="O32" s="8" t="s">
        <v>227</v>
      </c>
      <c r="P32" s="8">
        <v>1</v>
      </c>
      <c r="Q32" s="8">
        <v>20</v>
      </c>
      <c r="R32" s="8">
        <v>1</v>
      </c>
      <c r="S32" s="8">
        <v>2</v>
      </c>
      <c r="T32" s="8">
        <v>0.61399999999999999</v>
      </c>
      <c r="U32" s="8">
        <f>17862+31062</f>
        <v>48924</v>
      </c>
      <c r="V32" s="8">
        <f>U32+2211+3027</f>
        <v>54162</v>
      </c>
      <c r="W32" s="8">
        <v>0.90300000000000002</v>
      </c>
      <c r="X32" s="8" t="s">
        <v>20</v>
      </c>
      <c r="Y32" s="8">
        <f t="shared" si="3"/>
        <v>0.9032901296111665</v>
      </c>
      <c r="Z32" s="8">
        <v>1</v>
      </c>
      <c r="AA32" s="8">
        <v>100</v>
      </c>
      <c r="AB32" s="8" t="s">
        <v>80</v>
      </c>
    </row>
    <row r="33" spans="1:28" s="8" customFormat="1" ht="34">
      <c r="A33" s="8" t="s">
        <v>81</v>
      </c>
      <c r="B33" t="s">
        <v>82</v>
      </c>
      <c r="C33" s="8" t="s">
        <v>17</v>
      </c>
      <c r="D33" s="8" t="s">
        <v>236</v>
      </c>
      <c r="E33" s="8" t="s">
        <v>83</v>
      </c>
      <c r="F33" s="8" t="s">
        <v>23</v>
      </c>
      <c r="G33" s="8">
        <v>0</v>
      </c>
      <c r="H33" t="s">
        <v>166</v>
      </c>
      <c r="I33" s="8" t="s">
        <v>221</v>
      </c>
      <c r="J33" t="s">
        <v>228</v>
      </c>
      <c r="K33" s="8" t="s">
        <v>31</v>
      </c>
      <c r="L33" t="s">
        <v>217</v>
      </c>
      <c r="M33" s="8" t="s">
        <v>239</v>
      </c>
      <c r="N33" s="8" t="s">
        <v>96</v>
      </c>
      <c r="O33" s="8">
        <v>7</v>
      </c>
      <c r="P33" s="8">
        <v>0</v>
      </c>
      <c r="Q33" s="8" t="s">
        <v>227</v>
      </c>
      <c r="R33" s="8">
        <v>0</v>
      </c>
      <c r="S33" s="8">
        <v>6</v>
      </c>
      <c r="T33" s="8" t="s">
        <v>20</v>
      </c>
      <c r="U33" s="8" t="s">
        <v>20</v>
      </c>
      <c r="V33" s="8" t="s">
        <v>20</v>
      </c>
      <c r="W33" s="8">
        <v>0.95</v>
      </c>
      <c r="X33" s="8" t="s">
        <v>20</v>
      </c>
      <c r="Y33" s="8" t="s">
        <v>20</v>
      </c>
      <c r="Z33" s="8">
        <v>0</v>
      </c>
      <c r="AA33" s="8">
        <v>100</v>
      </c>
      <c r="AB33" s="8" t="s">
        <v>84</v>
      </c>
    </row>
    <row r="34" spans="1:28" s="8" customFormat="1" ht="34">
      <c r="A34" s="8" t="s">
        <v>81</v>
      </c>
      <c r="B34" t="s">
        <v>82</v>
      </c>
      <c r="C34" s="8" t="s">
        <v>17</v>
      </c>
      <c r="D34" s="8" t="s">
        <v>236</v>
      </c>
      <c r="E34" s="8" t="s">
        <v>83</v>
      </c>
      <c r="F34" s="8" t="s">
        <v>23</v>
      </c>
      <c r="G34" s="8">
        <v>0</v>
      </c>
      <c r="H34" t="s">
        <v>167</v>
      </c>
      <c r="I34" s="8" t="s">
        <v>221</v>
      </c>
      <c r="J34" t="s">
        <v>228</v>
      </c>
      <c r="K34" s="8" t="s">
        <v>31</v>
      </c>
      <c r="L34" t="s">
        <v>217</v>
      </c>
      <c r="M34" s="8" t="s">
        <v>239</v>
      </c>
      <c r="N34" s="8" t="s">
        <v>97</v>
      </c>
      <c r="O34" s="8">
        <v>7</v>
      </c>
      <c r="P34" s="8">
        <v>1</v>
      </c>
      <c r="Q34" s="8" t="s">
        <v>227</v>
      </c>
      <c r="R34" s="8">
        <v>0</v>
      </c>
      <c r="S34" s="8">
        <v>6</v>
      </c>
      <c r="T34" s="8" t="s">
        <v>20</v>
      </c>
      <c r="U34" s="8" t="s">
        <v>20</v>
      </c>
      <c r="V34" s="8" t="s">
        <v>20</v>
      </c>
      <c r="W34" s="8">
        <v>0.94</v>
      </c>
      <c r="X34" s="8" t="s">
        <v>20</v>
      </c>
      <c r="Y34" s="8" t="s">
        <v>20</v>
      </c>
      <c r="Z34" s="8">
        <v>0</v>
      </c>
      <c r="AA34" s="8">
        <v>100</v>
      </c>
      <c r="AB34" s="8" t="s">
        <v>84</v>
      </c>
    </row>
    <row r="35" spans="1:28" s="8" customFormat="1" ht="17">
      <c r="A35" s="8" t="s">
        <v>85</v>
      </c>
      <c r="B35" t="s">
        <v>86</v>
      </c>
      <c r="C35" s="11" t="s">
        <v>215</v>
      </c>
      <c r="D35" s="11" t="s">
        <v>234</v>
      </c>
      <c r="E35" s="8" t="s">
        <v>90</v>
      </c>
      <c r="F35" s="8" t="s">
        <v>23</v>
      </c>
      <c r="G35" s="8">
        <v>0</v>
      </c>
      <c r="H35" t="s">
        <v>168</v>
      </c>
      <c r="I35" s="8" t="s">
        <v>226</v>
      </c>
      <c r="J35" t="s">
        <v>228</v>
      </c>
      <c r="K35" s="8" t="s">
        <v>87</v>
      </c>
      <c r="L35" s="8" t="s">
        <v>231</v>
      </c>
      <c r="M35" s="8" t="s">
        <v>238</v>
      </c>
      <c r="N35" s="8" t="s">
        <v>20</v>
      </c>
      <c r="O35" s="8">
        <v>11</v>
      </c>
      <c r="P35" s="8">
        <v>1</v>
      </c>
      <c r="Q35" s="8">
        <v>30</v>
      </c>
      <c r="R35" s="8">
        <v>1</v>
      </c>
      <c r="S35" s="8">
        <v>2</v>
      </c>
      <c r="T35" s="8">
        <f>1-0.2462</f>
        <v>0.75380000000000003</v>
      </c>
      <c r="U35" s="8" t="s">
        <v>20</v>
      </c>
      <c r="V35" s="8">
        <v>761337</v>
      </c>
      <c r="W35">
        <v>0.93</v>
      </c>
      <c r="X35" s="8" t="s">
        <v>20</v>
      </c>
      <c r="Y35" t="s">
        <v>20</v>
      </c>
      <c r="Z35" s="8">
        <v>0</v>
      </c>
      <c r="AA35" s="8">
        <v>100</v>
      </c>
      <c r="AB35" s="8" t="s">
        <v>91</v>
      </c>
    </row>
    <row r="36" spans="1:28" s="8" customFormat="1" ht="17">
      <c r="A36" s="8" t="s">
        <v>85</v>
      </c>
      <c r="B36" t="s">
        <v>86</v>
      </c>
      <c r="C36" s="11" t="s">
        <v>215</v>
      </c>
      <c r="D36" s="11" t="s">
        <v>234</v>
      </c>
      <c r="E36" s="8" t="s">
        <v>90</v>
      </c>
      <c r="F36" s="8" t="s">
        <v>23</v>
      </c>
      <c r="G36" s="8">
        <v>0</v>
      </c>
      <c r="H36" t="s">
        <v>168</v>
      </c>
      <c r="I36" s="8" t="s">
        <v>226</v>
      </c>
      <c r="J36" t="s">
        <v>228</v>
      </c>
      <c r="K36" s="8" t="s">
        <v>88</v>
      </c>
      <c r="L36" s="8" t="s">
        <v>88</v>
      </c>
      <c r="M36" s="8" t="s">
        <v>238</v>
      </c>
      <c r="N36" s="8" t="s">
        <v>20</v>
      </c>
      <c r="O36" s="8">
        <v>11</v>
      </c>
      <c r="P36" s="8">
        <v>1</v>
      </c>
      <c r="Q36" s="8">
        <v>30</v>
      </c>
      <c r="R36" s="8">
        <v>1</v>
      </c>
      <c r="S36" s="8">
        <v>2</v>
      </c>
      <c r="T36" s="8">
        <f>1-0.2462</f>
        <v>0.75380000000000003</v>
      </c>
      <c r="U36" s="8" t="s">
        <v>20</v>
      </c>
      <c r="V36" s="8">
        <v>761337</v>
      </c>
      <c r="W36" s="8">
        <v>0.92</v>
      </c>
      <c r="X36" s="8" t="s">
        <v>20</v>
      </c>
      <c r="Y36" s="8" t="s">
        <v>20</v>
      </c>
      <c r="Z36" s="8">
        <v>0</v>
      </c>
      <c r="AA36" s="8">
        <v>100</v>
      </c>
      <c r="AB36" s="8" t="s">
        <v>91</v>
      </c>
    </row>
    <row r="37" spans="1:28" s="8" customFormat="1" ht="17">
      <c r="A37" s="8" t="s">
        <v>85</v>
      </c>
      <c r="B37" t="s">
        <v>86</v>
      </c>
      <c r="C37" s="11" t="s">
        <v>215</v>
      </c>
      <c r="D37" s="11" t="s">
        <v>234</v>
      </c>
      <c r="E37" s="8" t="s">
        <v>90</v>
      </c>
      <c r="F37" s="8" t="s">
        <v>23</v>
      </c>
      <c r="G37" s="8">
        <v>0</v>
      </c>
      <c r="H37" t="s">
        <v>168</v>
      </c>
      <c r="I37" s="8" t="s">
        <v>226</v>
      </c>
      <c r="J37" t="s">
        <v>228</v>
      </c>
      <c r="K37" s="8" t="s">
        <v>89</v>
      </c>
      <c r="L37" t="s">
        <v>218</v>
      </c>
      <c r="M37" s="8" t="s">
        <v>238</v>
      </c>
      <c r="N37" s="8" t="s">
        <v>20</v>
      </c>
      <c r="O37" s="8">
        <v>11</v>
      </c>
      <c r="P37" s="8">
        <v>1</v>
      </c>
      <c r="Q37" s="8">
        <v>30</v>
      </c>
      <c r="R37" s="8">
        <v>1</v>
      </c>
      <c r="S37" s="8">
        <v>2</v>
      </c>
      <c r="T37" s="8">
        <f>1-0.2462</f>
        <v>0.75380000000000003</v>
      </c>
      <c r="U37" s="8" t="s">
        <v>20</v>
      </c>
      <c r="V37" s="8">
        <v>761337</v>
      </c>
      <c r="W37" s="8">
        <v>0.9</v>
      </c>
      <c r="X37" s="8" t="s">
        <v>20</v>
      </c>
      <c r="Y37" s="8" t="s">
        <v>20</v>
      </c>
      <c r="Z37" s="8">
        <v>0</v>
      </c>
      <c r="AA37" s="8">
        <v>100</v>
      </c>
      <c r="AB37" s="8" t="s">
        <v>91</v>
      </c>
    </row>
    <row r="38" spans="1:28" ht="17">
      <c r="A38" s="8" t="s">
        <v>92</v>
      </c>
      <c r="B38" t="s">
        <v>93</v>
      </c>
      <c r="C38" t="s">
        <v>171</v>
      </c>
      <c r="D38" s="8" t="s">
        <v>235</v>
      </c>
      <c r="E38" s="8" t="s">
        <v>94</v>
      </c>
      <c r="F38" s="8" t="s">
        <v>23</v>
      </c>
      <c r="G38">
        <v>0</v>
      </c>
      <c r="H38" t="s">
        <v>169</v>
      </c>
      <c r="I38" s="8" t="s">
        <v>226</v>
      </c>
      <c r="J38" t="s">
        <v>228</v>
      </c>
      <c r="K38" s="8" t="s">
        <v>31</v>
      </c>
      <c r="L38" t="s">
        <v>217</v>
      </c>
      <c r="M38" s="8" t="s">
        <v>238</v>
      </c>
      <c r="N38" t="s">
        <v>101</v>
      </c>
      <c r="O38" s="8">
        <v>8</v>
      </c>
      <c r="P38" s="8">
        <v>1</v>
      </c>
      <c r="Q38" s="8" t="s">
        <v>227</v>
      </c>
      <c r="R38" s="8">
        <v>0</v>
      </c>
      <c r="S38">
        <v>4</v>
      </c>
      <c r="T38">
        <f t="shared" ref="T38:T43" si="4">945/V38</f>
        <v>0.55425219941348969</v>
      </c>
      <c r="U38">
        <f>76+615+26+933</f>
        <v>1650</v>
      </c>
      <c r="V38">
        <v>1705</v>
      </c>
      <c r="W38">
        <v>0.96799999999999997</v>
      </c>
      <c r="X38" s="8" t="s">
        <v>20</v>
      </c>
      <c r="Y38">
        <f t="shared" ref="Y38:Y43" si="5">U38/V38</f>
        <v>0.967741935483871</v>
      </c>
      <c r="Z38" s="8">
        <v>1</v>
      </c>
      <c r="AA38" s="8">
        <v>100</v>
      </c>
      <c r="AB38" s="8" t="s">
        <v>95</v>
      </c>
    </row>
    <row r="39" spans="1:28" ht="17">
      <c r="A39" s="8" t="s">
        <v>92</v>
      </c>
      <c r="B39" t="s">
        <v>93</v>
      </c>
      <c r="C39" t="s">
        <v>171</v>
      </c>
      <c r="D39" s="8" t="s">
        <v>235</v>
      </c>
      <c r="E39" s="8" t="s">
        <v>94</v>
      </c>
      <c r="F39" s="8" t="s">
        <v>23</v>
      </c>
      <c r="G39">
        <v>0</v>
      </c>
      <c r="H39" t="s">
        <v>98</v>
      </c>
      <c r="I39" t="s">
        <v>221</v>
      </c>
      <c r="J39" t="s">
        <v>223</v>
      </c>
      <c r="K39" s="8" t="s">
        <v>31</v>
      </c>
      <c r="L39" t="s">
        <v>217</v>
      </c>
      <c r="M39" s="8" t="s">
        <v>238</v>
      </c>
      <c r="N39" s="8" t="s">
        <v>100</v>
      </c>
      <c r="O39" s="8">
        <v>1</v>
      </c>
      <c r="P39" s="8">
        <v>0</v>
      </c>
      <c r="Q39" s="8">
        <v>25</v>
      </c>
      <c r="R39" s="8">
        <v>1</v>
      </c>
      <c r="S39">
        <v>4</v>
      </c>
      <c r="T39">
        <f t="shared" si="4"/>
        <v>0.55425219941348969</v>
      </c>
      <c r="U39">
        <f>76+615+23+933</f>
        <v>1647</v>
      </c>
      <c r="V39">
        <v>1705</v>
      </c>
      <c r="W39">
        <v>0.96599999999999997</v>
      </c>
      <c r="X39" s="8" t="s">
        <v>20</v>
      </c>
      <c r="Y39">
        <f t="shared" si="5"/>
        <v>0.96598240469208208</v>
      </c>
      <c r="Z39" s="8">
        <v>1</v>
      </c>
      <c r="AA39" s="8">
        <v>100</v>
      </c>
      <c r="AB39" s="8" t="s">
        <v>95</v>
      </c>
    </row>
    <row r="40" spans="1:28" ht="34">
      <c r="A40" s="8" t="s">
        <v>92</v>
      </c>
      <c r="B40" t="s">
        <v>93</v>
      </c>
      <c r="C40" t="s">
        <v>171</v>
      </c>
      <c r="D40" s="8" t="s">
        <v>235</v>
      </c>
      <c r="E40" s="8" t="s">
        <v>94</v>
      </c>
      <c r="F40" s="8" t="s">
        <v>23</v>
      </c>
      <c r="G40">
        <v>0</v>
      </c>
      <c r="H40" t="s">
        <v>170</v>
      </c>
      <c r="I40" s="8" t="s">
        <v>221</v>
      </c>
      <c r="J40" t="s">
        <v>224</v>
      </c>
      <c r="K40" s="8" t="s">
        <v>31</v>
      </c>
      <c r="L40" t="s">
        <v>217</v>
      </c>
      <c r="M40" s="8" t="s">
        <v>238</v>
      </c>
      <c r="N40" s="8" t="s">
        <v>102</v>
      </c>
      <c r="O40" s="8">
        <v>9</v>
      </c>
      <c r="P40" s="8">
        <v>1</v>
      </c>
      <c r="Q40" s="8" t="s">
        <v>227</v>
      </c>
      <c r="R40" s="8">
        <v>0</v>
      </c>
      <c r="S40">
        <v>4</v>
      </c>
      <c r="T40">
        <f t="shared" si="4"/>
        <v>0.55425219941348969</v>
      </c>
      <c r="U40">
        <f>81+647+26+944</f>
        <v>1698</v>
      </c>
      <c r="V40">
        <v>1705</v>
      </c>
      <c r="W40">
        <v>0.996</v>
      </c>
      <c r="X40" s="8" t="s">
        <v>20</v>
      </c>
      <c r="Y40">
        <f t="shared" si="5"/>
        <v>0.99589442815249263</v>
      </c>
      <c r="Z40" s="8">
        <v>1</v>
      </c>
      <c r="AA40" s="8">
        <v>100</v>
      </c>
      <c r="AB40" s="8" t="s">
        <v>95</v>
      </c>
    </row>
    <row r="41" spans="1:28" ht="17">
      <c r="A41" s="8" t="s">
        <v>92</v>
      </c>
      <c r="B41" t="s">
        <v>93</v>
      </c>
      <c r="C41" t="s">
        <v>171</v>
      </c>
      <c r="D41" s="8" t="s">
        <v>235</v>
      </c>
      <c r="E41" s="8" t="s">
        <v>94</v>
      </c>
      <c r="F41" s="8" t="s">
        <v>23</v>
      </c>
      <c r="G41">
        <v>0</v>
      </c>
      <c r="H41" t="s">
        <v>30</v>
      </c>
      <c r="I41" s="8" t="s">
        <v>226</v>
      </c>
      <c r="J41" t="s">
        <v>228</v>
      </c>
      <c r="K41" s="8" t="s">
        <v>31</v>
      </c>
      <c r="L41" t="s">
        <v>217</v>
      </c>
      <c r="M41" s="8" t="s">
        <v>238</v>
      </c>
      <c r="N41" t="s">
        <v>101</v>
      </c>
      <c r="O41" s="8">
        <v>8</v>
      </c>
      <c r="P41" s="8">
        <v>1</v>
      </c>
      <c r="Q41" s="8" t="s">
        <v>227</v>
      </c>
      <c r="R41" s="8">
        <v>0</v>
      </c>
      <c r="S41">
        <v>4</v>
      </c>
      <c r="T41">
        <f t="shared" si="4"/>
        <v>0.55425219941348969</v>
      </c>
      <c r="U41">
        <f>81+635+28+942</f>
        <v>1686</v>
      </c>
      <c r="V41">
        <v>1705</v>
      </c>
      <c r="W41">
        <v>0.98899999999999999</v>
      </c>
      <c r="X41" s="8" t="s">
        <v>20</v>
      </c>
      <c r="Y41">
        <f t="shared" si="5"/>
        <v>0.98885630498533728</v>
      </c>
      <c r="Z41" s="8">
        <v>1</v>
      </c>
      <c r="AA41" s="8">
        <v>100</v>
      </c>
      <c r="AB41" s="8" t="s">
        <v>95</v>
      </c>
    </row>
    <row r="42" spans="1:28" ht="17">
      <c r="A42" s="8" t="s">
        <v>92</v>
      </c>
      <c r="B42" t="s">
        <v>93</v>
      </c>
      <c r="C42" t="s">
        <v>171</v>
      </c>
      <c r="D42" s="8" t="s">
        <v>235</v>
      </c>
      <c r="E42" s="8" t="s">
        <v>94</v>
      </c>
      <c r="F42" s="8" t="s">
        <v>23</v>
      </c>
      <c r="G42">
        <v>0</v>
      </c>
      <c r="H42" t="s">
        <v>197</v>
      </c>
      <c r="I42" s="8" t="s">
        <v>225</v>
      </c>
      <c r="J42" t="s">
        <v>223</v>
      </c>
      <c r="K42" s="8" t="s">
        <v>31</v>
      </c>
      <c r="L42" t="s">
        <v>217</v>
      </c>
      <c r="M42" s="8" t="s">
        <v>238</v>
      </c>
      <c r="N42" s="8" t="s">
        <v>99</v>
      </c>
      <c r="O42" s="8">
        <v>1</v>
      </c>
      <c r="P42" s="8">
        <v>0</v>
      </c>
      <c r="Q42">
        <v>25</v>
      </c>
      <c r="R42" s="8">
        <v>1</v>
      </c>
      <c r="S42">
        <v>4</v>
      </c>
      <c r="T42">
        <f t="shared" si="4"/>
        <v>0.55425219941348969</v>
      </c>
      <c r="U42">
        <f>79+521+23+820</f>
        <v>1443</v>
      </c>
      <c r="V42">
        <v>1705</v>
      </c>
      <c r="W42">
        <v>0.84599999999999997</v>
      </c>
      <c r="X42" s="8" t="s">
        <v>20</v>
      </c>
      <c r="Y42">
        <f t="shared" si="5"/>
        <v>0.84633431085043986</v>
      </c>
      <c r="Z42" s="8">
        <v>1</v>
      </c>
      <c r="AA42" s="8">
        <v>100</v>
      </c>
      <c r="AB42" s="8" t="s">
        <v>95</v>
      </c>
    </row>
    <row r="43" spans="1:28" ht="17">
      <c r="A43" s="8" t="s">
        <v>92</v>
      </c>
      <c r="B43" t="s">
        <v>93</v>
      </c>
      <c r="C43" t="s">
        <v>171</v>
      </c>
      <c r="D43" s="8" t="s">
        <v>235</v>
      </c>
      <c r="E43" s="8" t="s">
        <v>94</v>
      </c>
      <c r="F43" s="8" t="s">
        <v>23</v>
      </c>
      <c r="G43">
        <v>0</v>
      </c>
      <c r="H43" t="s">
        <v>198</v>
      </c>
      <c r="I43" s="8" t="s">
        <v>221</v>
      </c>
      <c r="J43" t="s">
        <v>224</v>
      </c>
      <c r="K43" s="8" t="s">
        <v>31</v>
      </c>
      <c r="L43" t="s">
        <v>217</v>
      </c>
      <c r="M43" s="8" t="s">
        <v>238</v>
      </c>
      <c r="N43" t="s">
        <v>103</v>
      </c>
      <c r="O43" s="8">
        <v>9</v>
      </c>
      <c r="P43" s="8">
        <v>1</v>
      </c>
      <c r="Q43" s="8" t="s">
        <v>227</v>
      </c>
      <c r="R43" s="8">
        <v>0</v>
      </c>
      <c r="S43">
        <v>4</v>
      </c>
      <c r="T43">
        <f t="shared" si="4"/>
        <v>0.55425219941348969</v>
      </c>
      <c r="U43">
        <f>81+642+32+936</f>
        <v>1691</v>
      </c>
      <c r="V43">
        <v>1705</v>
      </c>
      <c r="W43">
        <v>0.99099999999999999</v>
      </c>
      <c r="X43" s="8" t="s">
        <v>20</v>
      </c>
      <c r="Y43">
        <f t="shared" si="5"/>
        <v>0.99178885630498537</v>
      </c>
      <c r="Z43" s="8">
        <v>1</v>
      </c>
      <c r="AA43" s="8">
        <v>100</v>
      </c>
      <c r="AB43" s="8" t="s">
        <v>95</v>
      </c>
    </row>
    <row r="44" spans="1:28" ht="17">
      <c r="A44" s="11" t="s">
        <v>104</v>
      </c>
      <c r="B44" s="14" t="s">
        <v>105</v>
      </c>
      <c r="C44" t="s">
        <v>171</v>
      </c>
      <c r="D44" s="8" t="s">
        <v>235</v>
      </c>
      <c r="E44" s="8" t="s">
        <v>106</v>
      </c>
      <c r="F44" s="8" t="s">
        <v>23</v>
      </c>
      <c r="G44">
        <v>1</v>
      </c>
      <c r="H44" t="s">
        <v>196</v>
      </c>
      <c r="I44" s="8" t="s">
        <v>225</v>
      </c>
      <c r="J44" t="s">
        <v>224</v>
      </c>
      <c r="K44" t="s">
        <v>159</v>
      </c>
      <c r="L44" t="s">
        <v>217</v>
      </c>
      <c r="M44" s="8" t="s">
        <v>239</v>
      </c>
      <c r="N44" s="8" t="s">
        <v>20</v>
      </c>
      <c r="O44" s="8" t="s">
        <v>227</v>
      </c>
      <c r="P44" s="15">
        <v>1</v>
      </c>
      <c r="Q44">
        <v>10</v>
      </c>
      <c r="R44" s="8">
        <v>1</v>
      </c>
      <c r="S44">
        <v>13</v>
      </c>
      <c r="T44">
        <f>29664/V44</f>
        <v>0.71065114273393704</v>
      </c>
      <c r="U44" t="s">
        <v>20</v>
      </c>
      <c r="V44">
        <v>41742</v>
      </c>
      <c r="W44">
        <v>0.88739999999999997</v>
      </c>
      <c r="X44">
        <f>0.03/100</f>
        <v>2.9999999999999997E-4</v>
      </c>
      <c r="Y44" t="s">
        <v>20</v>
      </c>
      <c r="Z44" s="8">
        <v>0</v>
      </c>
      <c r="AA44" s="8">
        <v>100</v>
      </c>
      <c r="AB44" s="8" t="s">
        <v>107</v>
      </c>
    </row>
    <row r="45" spans="1:28" s="8" customFormat="1" ht="34">
      <c r="A45" s="8" t="s">
        <v>110</v>
      </c>
      <c r="B45" t="s">
        <v>109</v>
      </c>
      <c r="C45" s="8" t="s">
        <v>17</v>
      </c>
      <c r="D45" s="8" t="s">
        <v>236</v>
      </c>
      <c r="E45" t="s">
        <v>112</v>
      </c>
      <c r="F45" s="8" t="s">
        <v>23</v>
      </c>
      <c r="G45" s="8">
        <v>0</v>
      </c>
      <c r="H45" t="s">
        <v>111</v>
      </c>
      <c r="I45" s="8" t="s">
        <v>221</v>
      </c>
      <c r="J45" t="s">
        <v>228</v>
      </c>
      <c r="K45" t="s">
        <v>121</v>
      </c>
      <c r="L45" s="8" t="s">
        <v>231</v>
      </c>
      <c r="M45" s="8" t="s">
        <v>239</v>
      </c>
      <c r="N45" s="13" t="s">
        <v>20</v>
      </c>
      <c r="O45" s="8" t="s">
        <v>227</v>
      </c>
      <c r="P45" s="8">
        <v>1</v>
      </c>
      <c r="Q45" s="8" t="s">
        <v>227</v>
      </c>
      <c r="R45" s="8">
        <v>0</v>
      </c>
      <c r="S45" s="8">
        <v>2</v>
      </c>
      <c r="T45">
        <f>(3070+1)/V45</f>
        <v>0.98745980707395498</v>
      </c>
      <c r="U45">
        <f>39+3070</f>
        <v>3109</v>
      </c>
      <c r="V45">
        <f>39+3070+1+0</f>
        <v>3110</v>
      </c>
      <c r="W45" s="8">
        <v>0.99960000000000004</v>
      </c>
      <c r="X45" s="8" t="s">
        <v>20</v>
      </c>
      <c r="Y45" s="8">
        <f t="shared" ref="Y45:Y71" si="6">U45/V45</f>
        <v>0.9996784565916399</v>
      </c>
      <c r="Z45" s="8">
        <v>1</v>
      </c>
      <c r="AA45" s="8">
        <v>100</v>
      </c>
      <c r="AB45" s="8" t="s">
        <v>108</v>
      </c>
    </row>
    <row r="46" spans="1:28" ht="34">
      <c r="A46" s="8" t="s">
        <v>110</v>
      </c>
      <c r="B46" t="s">
        <v>109</v>
      </c>
      <c r="C46" s="8" t="s">
        <v>17</v>
      </c>
      <c r="D46" s="8" t="s">
        <v>236</v>
      </c>
      <c r="E46" t="s">
        <v>112</v>
      </c>
      <c r="F46" s="8" t="s">
        <v>23</v>
      </c>
      <c r="G46">
        <v>0</v>
      </c>
      <c r="H46" t="s">
        <v>111</v>
      </c>
      <c r="I46" s="8" t="s">
        <v>221</v>
      </c>
      <c r="J46" t="s">
        <v>228</v>
      </c>
      <c r="K46" t="s">
        <v>120</v>
      </c>
      <c r="L46" s="8" t="s">
        <v>231</v>
      </c>
      <c r="M46" s="8" t="s">
        <v>239</v>
      </c>
      <c r="N46" s="13" t="s">
        <v>20</v>
      </c>
      <c r="O46" s="8" t="s">
        <v>227</v>
      </c>
      <c r="P46" s="8">
        <v>1</v>
      </c>
      <c r="Q46" s="8" t="s">
        <v>227</v>
      </c>
      <c r="R46" s="8">
        <v>0</v>
      </c>
      <c r="S46" s="8">
        <v>2</v>
      </c>
      <c r="T46">
        <f>(3068+12)/V46</f>
        <v>0.99035369774919613</v>
      </c>
      <c r="U46">
        <f>28+3068</f>
        <v>3096</v>
      </c>
      <c r="V46">
        <f>28+3068+12+2</f>
        <v>3110</v>
      </c>
      <c r="W46" s="8">
        <v>0.99550000000000005</v>
      </c>
      <c r="X46" s="8" t="s">
        <v>20</v>
      </c>
      <c r="Y46" s="8">
        <f t="shared" si="6"/>
        <v>0.99549839228295822</v>
      </c>
      <c r="Z46" s="8">
        <v>1</v>
      </c>
      <c r="AA46" s="8">
        <v>100</v>
      </c>
    </row>
    <row r="47" spans="1:28" ht="34">
      <c r="A47" s="8" t="s">
        <v>110</v>
      </c>
      <c r="B47" t="s">
        <v>109</v>
      </c>
      <c r="C47" s="8" t="s">
        <v>17</v>
      </c>
      <c r="D47" s="8" t="s">
        <v>236</v>
      </c>
      <c r="E47" t="s">
        <v>112</v>
      </c>
      <c r="F47" s="8" t="s">
        <v>23</v>
      </c>
      <c r="G47">
        <v>0</v>
      </c>
      <c r="H47" t="s">
        <v>111</v>
      </c>
      <c r="I47" s="8" t="s">
        <v>221</v>
      </c>
      <c r="J47" t="s">
        <v>228</v>
      </c>
      <c r="K47" t="s">
        <v>119</v>
      </c>
      <c r="L47" s="8" t="s">
        <v>231</v>
      </c>
      <c r="M47" s="8" t="s">
        <v>239</v>
      </c>
      <c r="N47" s="13" t="s">
        <v>20</v>
      </c>
      <c r="O47" s="8" t="s">
        <v>227</v>
      </c>
      <c r="P47" s="8">
        <v>1</v>
      </c>
      <c r="Q47" s="8" t="s">
        <v>227</v>
      </c>
      <c r="R47" s="8">
        <v>0</v>
      </c>
      <c r="S47" s="8">
        <v>2</v>
      </c>
      <c r="T47">
        <f>(3017+72)/V47</f>
        <v>0.99324758842443728</v>
      </c>
      <c r="U47">
        <f>17+3017</f>
        <v>3034</v>
      </c>
      <c r="V47">
        <f>17+3017+72+4</f>
        <v>3110</v>
      </c>
      <c r="W47" s="8">
        <v>0.97556270096463005</v>
      </c>
      <c r="X47" s="8" t="s">
        <v>20</v>
      </c>
      <c r="Y47" s="8">
        <f t="shared" si="6"/>
        <v>0.97556270096463027</v>
      </c>
      <c r="Z47" s="8">
        <v>1</v>
      </c>
      <c r="AA47" s="8">
        <v>100</v>
      </c>
    </row>
    <row r="48" spans="1:28" ht="34">
      <c r="A48" s="8" t="s">
        <v>110</v>
      </c>
      <c r="B48" t="s">
        <v>109</v>
      </c>
      <c r="C48" s="8" t="s">
        <v>17</v>
      </c>
      <c r="D48" s="8" t="s">
        <v>236</v>
      </c>
      <c r="E48" t="s">
        <v>112</v>
      </c>
      <c r="F48" s="8" t="s">
        <v>23</v>
      </c>
      <c r="G48">
        <v>0</v>
      </c>
      <c r="H48" t="s">
        <v>111</v>
      </c>
      <c r="I48" s="8" t="s">
        <v>221</v>
      </c>
      <c r="J48" t="s">
        <v>228</v>
      </c>
      <c r="K48" t="s">
        <v>118</v>
      </c>
      <c r="L48" s="8" t="s">
        <v>231</v>
      </c>
      <c r="M48" s="8" t="s">
        <v>239</v>
      </c>
      <c r="N48" s="13" t="s">
        <v>20</v>
      </c>
      <c r="O48" s="8" t="s">
        <v>227</v>
      </c>
      <c r="P48" s="8">
        <v>1</v>
      </c>
      <c r="Q48" s="8" t="s">
        <v>227</v>
      </c>
      <c r="R48" s="8">
        <v>0</v>
      </c>
      <c r="S48" s="8">
        <v>2</v>
      </c>
      <c r="T48">
        <f>(3094+1)/V48</f>
        <v>0.99517684887459812</v>
      </c>
      <c r="U48">
        <f>8+3094</f>
        <v>3102</v>
      </c>
      <c r="V48">
        <f>8+3094+1+7</f>
        <v>3110</v>
      </c>
      <c r="W48" s="8">
        <v>0.99742765273311895</v>
      </c>
      <c r="X48" s="8" t="s">
        <v>20</v>
      </c>
      <c r="Y48" s="8">
        <f t="shared" si="6"/>
        <v>0.99742765273311895</v>
      </c>
      <c r="Z48" s="8">
        <v>1</v>
      </c>
      <c r="AA48" s="8">
        <v>100</v>
      </c>
    </row>
    <row r="49" spans="1:27" ht="34">
      <c r="A49" s="8" t="s">
        <v>110</v>
      </c>
      <c r="B49" t="s">
        <v>109</v>
      </c>
      <c r="C49" s="8" t="s">
        <v>17</v>
      </c>
      <c r="D49" s="8" t="s">
        <v>236</v>
      </c>
      <c r="E49" t="s">
        <v>112</v>
      </c>
      <c r="F49" s="8" t="s">
        <v>23</v>
      </c>
      <c r="G49">
        <v>0</v>
      </c>
      <c r="H49" t="s">
        <v>111</v>
      </c>
      <c r="I49" s="8" t="s">
        <v>221</v>
      </c>
      <c r="J49" t="s">
        <v>228</v>
      </c>
      <c r="K49" t="s">
        <v>117</v>
      </c>
      <c r="L49" s="8" t="s">
        <v>231</v>
      </c>
      <c r="M49" s="8" t="s">
        <v>239</v>
      </c>
      <c r="N49" s="13" t="s">
        <v>20</v>
      </c>
      <c r="O49" s="8" t="s">
        <v>227</v>
      </c>
      <c r="P49" s="8">
        <v>1</v>
      </c>
      <c r="Q49" s="8" t="s">
        <v>227</v>
      </c>
      <c r="R49" s="8">
        <v>0</v>
      </c>
      <c r="S49" s="8">
        <v>2</v>
      </c>
      <c r="T49">
        <f>(3091+0)/V49</f>
        <v>0.9938906752411576</v>
      </c>
      <c r="U49">
        <f>9+3091</f>
        <v>3100</v>
      </c>
      <c r="V49">
        <f>9+3091+0+10</f>
        <v>3110</v>
      </c>
      <c r="W49" s="8">
        <v>0.99678456591639875</v>
      </c>
      <c r="X49" s="8" t="s">
        <v>20</v>
      </c>
      <c r="Y49" s="8">
        <f t="shared" si="6"/>
        <v>0.99678456591639875</v>
      </c>
      <c r="Z49" s="8">
        <v>1</v>
      </c>
      <c r="AA49" s="8">
        <v>100</v>
      </c>
    </row>
    <row r="50" spans="1:27" ht="34">
      <c r="A50" s="8" t="s">
        <v>110</v>
      </c>
      <c r="B50" t="s">
        <v>109</v>
      </c>
      <c r="C50" s="8" t="s">
        <v>17</v>
      </c>
      <c r="D50" s="8" t="s">
        <v>236</v>
      </c>
      <c r="E50" t="s">
        <v>112</v>
      </c>
      <c r="F50" s="8" t="s">
        <v>23</v>
      </c>
      <c r="G50">
        <v>0</v>
      </c>
      <c r="H50" t="s">
        <v>111</v>
      </c>
      <c r="I50" s="8" t="s">
        <v>221</v>
      </c>
      <c r="J50" t="s">
        <v>228</v>
      </c>
      <c r="K50" t="s">
        <v>116</v>
      </c>
      <c r="L50" s="8" t="s">
        <v>231</v>
      </c>
      <c r="M50" s="8" t="s">
        <v>239</v>
      </c>
      <c r="N50" s="13" t="s">
        <v>20</v>
      </c>
      <c r="O50" s="8" t="s">
        <v>227</v>
      </c>
      <c r="P50" s="8">
        <v>1</v>
      </c>
      <c r="Q50" s="8" t="s">
        <v>227</v>
      </c>
      <c r="R50" s="8">
        <v>0</v>
      </c>
      <c r="S50" s="8">
        <v>2</v>
      </c>
      <c r="T50">
        <f>(3088+3)/V50</f>
        <v>0.9938906752411576</v>
      </c>
      <c r="U50">
        <f>18+3088</f>
        <v>3106</v>
      </c>
      <c r="V50">
        <f>18+3088+3+1</f>
        <v>3110</v>
      </c>
      <c r="W50" s="8">
        <v>0.99871382636655948</v>
      </c>
      <c r="X50" s="8" t="s">
        <v>20</v>
      </c>
      <c r="Y50" s="8">
        <f t="shared" si="6"/>
        <v>0.99871382636655948</v>
      </c>
      <c r="Z50" s="8">
        <v>1</v>
      </c>
      <c r="AA50" s="8">
        <v>100</v>
      </c>
    </row>
    <row r="51" spans="1:27" ht="34">
      <c r="A51" s="8" t="s">
        <v>110</v>
      </c>
      <c r="B51" t="s">
        <v>109</v>
      </c>
      <c r="C51" s="8" t="s">
        <v>17</v>
      </c>
      <c r="D51" s="8" t="s">
        <v>236</v>
      </c>
      <c r="E51" t="s">
        <v>112</v>
      </c>
      <c r="F51" s="8" t="s">
        <v>23</v>
      </c>
      <c r="G51">
        <v>0</v>
      </c>
      <c r="H51" t="s">
        <v>111</v>
      </c>
      <c r="I51" s="8" t="s">
        <v>221</v>
      </c>
      <c r="J51" t="s">
        <v>228</v>
      </c>
      <c r="K51" t="s">
        <v>115</v>
      </c>
      <c r="L51" s="8" t="s">
        <v>231</v>
      </c>
      <c r="M51" s="8" t="s">
        <v>239</v>
      </c>
      <c r="N51" s="13" t="s">
        <v>20</v>
      </c>
      <c r="O51" s="8" t="s">
        <v>227</v>
      </c>
      <c r="P51" s="8">
        <v>1</v>
      </c>
      <c r="Q51" s="8" t="s">
        <v>227</v>
      </c>
      <c r="R51" s="8">
        <v>0</v>
      </c>
      <c r="S51" s="8">
        <v>2</v>
      </c>
      <c r="T51">
        <f>(3090+1)/V51</f>
        <v>0.9938906752411576</v>
      </c>
      <c r="U51">
        <f>13+3090</f>
        <v>3103</v>
      </c>
      <c r="V51">
        <f>13+3090+1+6</f>
        <v>3110</v>
      </c>
      <c r="W51" s="8">
        <v>0.99774919614147906</v>
      </c>
      <c r="X51" s="8" t="s">
        <v>20</v>
      </c>
      <c r="Y51" s="8">
        <f t="shared" si="6"/>
        <v>0.99774919614147906</v>
      </c>
      <c r="Z51" s="8">
        <v>1</v>
      </c>
      <c r="AA51" s="8">
        <v>100</v>
      </c>
    </row>
    <row r="52" spans="1:27" ht="34">
      <c r="A52" s="8" t="s">
        <v>110</v>
      </c>
      <c r="B52" t="s">
        <v>109</v>
      </c>
      <c r="C52" s="8" t="s">
        <v>17</v>
      </c>
      <c r="D52" s="8" t="s">
        <v>236</v>
      </c>
      <c r="E52" t="s">
        <v>112</v>
      </c>
      <c r="F52" s="8" t="s">
        <v>23</v>
      </c>
      <c r="G52">
        <v>0</v>
      </c>
      <c r="H52" t="s">
        <v>111</v>
      </c>
      <c r="I52" s="8" t="s">
        <v>221</v>
      </c>
      <c r="J52" t="s">
        <v>228</v>
      </c>
      <c r="K52" t="s">
        <v>114</v>
      </c>
      <c r="L52" s="8" t="s">
        <v>231</v>
      </c>
      <c r="M52" s="8" t="s">
        <v>239</v>
      </c>
      <c r="N52" s="13" t="s">
        <v>20</v>
      </c>
      <c r="O52" s="8" t="s">
        <v>227</v>
      </c>
      <c r="P52" s="8">
        <v>1</v>
      </c>
      <c r="Q52" s="8" t="s">
        <v>227</v>
      </c>
      <c r="R52" s="8">
        <v>0</v>
      </c>
      <c r="S52" s="8">
        <v>2</v>
      </c>
      <c r="T52">
        <f>(3090+1)/V52</f>
        <v>0.9938906752411576</v>
      </c>
      <c r="U52">
        <f>12+3090</f>
        <v>3102</v>
      </c>
      <c r="V52">
        <f>12+3090+1+7</f>
        <v>3110</v>
      </c>
      <c r="W52" s="8">
        <v>0.99742765273311895</v>
      </c>
      <c r="X52" s="8" t="s">
        <v>20</v>
      </c>
      <c r="Y52" s="8">
        <f t="shared" si="6"/>
        <v>0.99742765273311895</v>
      </c>
      <c r="Z52" s="8">
        <v>1</v>
      </c>
      <c r="AA52" s="8">
        <v>100</v>
      </c>
    </row>
    <row r="53" spans="1:27" ht="34">
      <c r="A53" s="8" t="s">
        <v>110</v>
      </c>
      <c r="B53" t="s">
        <v>109</v>
      </c>
      <c r="C53" s="8" t="s">
        <v>17</v>
      </c>
      <c r="D53" s="8" t="s">
        <v>236</v>
      </c>
      <c r="E53" t="s">
        <v>112</v>
      </c>
      <c r="F53" s="8" t="s">
        <v>23</v>
      </c>
      <c r="G53">
        <v>0</v>
      </c>
      <c r="H53" t="s">
        <v>111</v>
      </c>
      <c r="I53" s="8" t="s">
        <v>221</v>
      </c>
      <c r="J53" t="s">
        <v>228</v>
      </c>
      <c r="K53" t="s">
        <v>113</v>
      </c>
      <c r="L53" s="8" t="s">
        <v>231</v>
      </c>
      <c r="M53" s="8" t="s">
        <v>239</v>
      </c>
      <c r="N53" s="13" t="s">
        <v>20</v>
      </c>
      <c r="O53" s="8" t="s">
        <v>227</v>
      </c>
      <c r="P53" s="8">
        <v>1</v>
      </c>
      <c r="Q53" s="8" t="s">
        <v>227</v>
      </c>
      <c r="R53" s="8">
        <v>0</v>
      </c>
      <c r="S53" s="8">
        <v>2</v>
      </c>
      <c r="T53">
        <f>(3090+1)/V53</f>
        <v>0.9938906752411576</v>
      </c>
      <c r="U53">
        <f>19+3091</f>
        <v>3110</v>
      </c>
      <c r="V53">
        <f>19+3091+0+0</f>
        <v>3110</v>
      </c>
      <c r="W53" s="8">
        <v>1</v>
      </c>
      <c r="X53" s="8" t="s">
        <v>20</v>
      </c>
      <c r="Y53" s="8">
        <f t="shared" si="6"/>
        <v>1</v>
      </c>
      <c r="Z53" s="8">
        <v>1</v>
      </c>
      <c r="AA53" s="8">
        <v>100</v>
      </c>
    </row>
    <row r="54" spans="1:27" ht="34">
      <c r="A54" s="8" t="s">
        <v>110</v>
      </c>
      <c r="B54" t="s">
        <v>109</v>
      </c>
      <c r="C54" s="8" t="s">
        <v>17</v>
      </c>
      <c r="D54" s="8" t="s">
        <v>236</v>
      </c>
      <c r="E54" t="s">
        <v>56</v>
      </c>
      <c r="F54" s="8" t="s">
        <v>23</v>
      </c>
      <c r="G54">
        <v>0</v>
      </c>
      <c r="H54" t="s">
        <v>111</v>
      </c>
      <c r="I54" s="8" t="s">
        <v>221</v>
      </c>
      <c r="J54" t="s">
        <v>228</v>
      </c>
      <c r="K54" t="s">
        <v>121</v>
      </c>
      <c r="L54" s="8" t="s">
        <v>231</v>
      </c>
      <c r="M54" s="8" t="s">
        <v>239</v>
      </c>
      <c r="N54" s="13" t="s">
        <v>20</v>
      </c>
      <c r="O54" s="8" t="s">
        <v>227</v>
      </c>
      <c r="P54" s="8">
        <v>1</v>
      </c>
      <c r="Q54" s="8" t="s">
        <v>227</v>
      </c>
      <c r="R54" s="8">
        <v>0</v>
      </c>
      <c r="S54" s="8">
        <v>2</v>
      </c>
      <c r="T54">
        <f>(4430+10)/V54</f>
        <v>0.99062918340026773</v>
      </c>
      <c r="U54">
        <f>42+4430</f>
        <v>4472</v>
      </c>
      <c r="V54">
        <f>42+4430+10+0</f>
        <v>4482</v>
      </c>
      <c r="W54" s="8">
        <v>0.99776885319053998</v>
      </c>
      <c r="X54" s="8" t="s">
        <v>20</v>
      </c>
      <c r="Y54" s="8">
        <f t="shared" si="6"/>
        <v>0.99776885319053998</v>
      </c>
      <c r="Z54" s="8">
        <v>1</v>
      </c>
      <c r="AA54" s="8">
        <v>100</v>
      </c>
    </row>
    <row r="55" spans="1:27" ht="34">
      <c r="A55" s="8" t="s">
        <v>110</v>
      </c>
      <c r="B55" t="s">
        <v>109</v>
      </c>
      <c r="C55" s="8" t="s">
        <v>17</v>
      </c>
      <c r="D55" s="8" t="s">
        <v>236</v>
      </c>
      <c r="E55" t="s">
        <v>56</v>
      </c>
      <c r="F55" s="8" t="s">
        <v>23</v>
      </c>
      <c r="G55">
        <v>0</v>
      </c>
      <c r="H55" t="s">
        <v>111</v>
      </c>
      <c r="I55" s="8" t="s">
        <v>221</v>
      </c>
      <c r="J55" t="s">
        <v>228</v>
      </c>
      <c r="K55" t="s">
        <v>120</v>
      </c>
      <c r="L55" s="8" t="s">
        <v>231</v>
      </c>
      <c r="M55" s="8" t="s">
        <v>239</v>
      </c>
      <c r="N55" s="13" t="s">
        <v>20</v>
      </c>
      <c r="O55" s="8" t="s">
        <v>227</v>
      </c>
      <c r="P55" s="8">
        <v>1</v>
      </c>
      <c r="Q55" s="8" t="s">
        <v>227</v>
      </c>
      <c r="R55" s="8">
        <v>0</v>
      </c>
      <c r="S55" s="8">
        <v>2</v>
      </c>
      <c r="T55">
        <f>(4359+10)/V55</f>
        <v>0.97478804105310124</v>
      </c>
      <c r="U55">
        <f>113+4359</f>
        <v>4472</v>
      </c>
      <c r="V55">
        <f>113+4359+10+0</f>
        <v>4482</v>
      </c>
      <c r="W55" s="8">
        <v>0.99776885319053998</v>
      </c>
      <c r="X55" s="8" t="s">
        <v>20</v>
      </c>
      <c r="Y55" s="8">
        <f t="shared" si="6"/>
        <v>0.99776885319053998</v>
      </c>
      <c r="Z55" s="8">
        <v>1</v>
      </c>
      <c r="AA55" s="8">
        <v>100</v>
      </c>
    </row>
    <row r="56" spans="1:27" ht="34">
      <c r="A56" s="8" t="s">
        <v>110</v>
      </c>
      <c r="B56" t="s">
        <v>109</v>
      </c>
      <c r="C56" s="8" t="s">
        <v>17</v>
      </c>
      <c r="D56" s="8" t="s">
        <v>236</v>
      </c>
      <c r="E56" t="s">
        <v>56</v>
      </c>
      <c r="F56" s="8" t="s">
        <v>23</v>
      </c>
      <c r="G56">
        <v>0</v>
      </c>
      <c r="H56" t="s">
        <v>111</v>
      </c>
      <c r="I56" s="8" t="s">
        <v>221</v>
      </c>
      <c r="J56" t="s">
        <v>228</v>
      </c>
      <c r="K56" t="s">
        <v>119</v>
      </c>
      <c r="L56" s="8" t="s">
        <v>231</v>
      </c>
      <c r="M56" s="8" t="s">
        <v>239</v>
      </c>
      <c r="N56" s="13" t="s">
        <v>20</v>
      </c>
      <c r="O56" s="8" t="s">
        <v>227</v>
      </c>
      <c r="P56" s="8">
        <v>1</v>
      </c>
      <c r="Q56" s="8" t="s">
        <v>227</v>
      </c>
      <c r="R56" s="8">
        <v>0</v>
      </c>
      <c r="S56" s="8">
        <v>2</v>
      </c>
      <c r="T56">
        <f>(4418+7)/V56</f>
        <v>0.9872824631860776</v>
      </c>
      <c r="U56">
        <f>57+4418</f>
        <v>4475</v>
      </c>
      <c r="V56">
        <f>57+4418+7+0</f>
        <v>4482</v>
      </c>
      <c r="W56" s="8">
        <v>0.99843819723337801</v>
      </c>
      <c r="X56" s="8" t="s">
        <v>20</v>
      </c>
      <c r="Y56" s="8">
        <f t="shared" si="6"/>
        <v>0.99843819723337801</v>
      </c>
      <c r="Z56" s="8">
        <v>1</v>
      </c>
      <c r="AA56" s="8">
        <v>100</v>
      </c>
    </row>
    <row r="57" spans="1:27" ht="34">
      <c r="A57" s="8" t="s">
        <v>110</v>
      </c>
      <c r="B57" t="s">
        <v>109</v>
      </c>
      <c r="C57" s="8" t="s">
        <v>17</v>
      </c>
      <c r="D57" s="8" t="s">
        <v>236</v>
      </c>
      <c r="E57" t="s">
        <v>56</v>
      </c>
      <c r="F57" s="8" t="s">
        <v>23</v>
      </c>
      <c r="G57">
        <v>0</v>
      </c>
      <c r="H57" t="s">
        <v>111</v>
      </c>
      <c r="I57" s="8" t="s">
        <v>221</v>
      </c>
      <c r="J57" t="s">
        <v>228</v>
      </c>
      <c r="K57" t="s">
        <v>118</v>
      </c>
      <c r="L57" s="8" t="s">
        <v>231</v>
      </c>
      <c r="M57" s="8" t="s">
        <v>239</v>
      </c>
      <c r="N57" s="13" t="s">
        <v>20</v>
      </c>
      <c r="O57" s="8" t="s">
        <v>227</v>
      </c>
      <c r="P57" s="8">
        <v>1</v>
      </c>
      <c r="Q57" s="8" t="s">
        <v>227</v>
      </c>
      <c r="R57" s="8">
        <v>0</v>
      </c>
      <c r="S57" s="8">
        <v>2</v>
      </c>
      <c r="T57">
        <f>(4449+1)/V57</f>
        <v>0.99286033020972775</v>
      </c>
      <c r="U57">
        <f>13+4449</f>
        <v>4462</v>
      </c>
      <c r="V57">
        <f>13+4449+1+19</f>
        <v>4482</v>
      </c>
      <c r="W57" s="8">
        <v>0.99553770638107986</v>
      </c>
      <c r="X57" s="8" t="s">
        <v>20</v>
      </c>
      <c r="Y57" s="8">
        <f t="shared" si="6"/>
        <v>0.99553770638107986</v>
      </c>
      <c r="Z57" s="8">
        <v>1</v>
      </c>
      <c r="AA57" s="8">
        <v>100</v>
      </c>
    </row>
    <row r="58" spans="1:27" ht="34">
      <c r="A58" s="8" t="s">
        <v>110</v>
      </c>
      <c r="B58" t="s">
        <v>109</v>
      </c>
      <c r="C58" s="8" t="s">
        <v>17</v>
      </c>
      <c r="D58" s="8" t="s">
        <v>236</v>
      </c>
      <c r="E58" t="s">
        <v>56</v>
      </c>
      <c r="F58" s="8" t="s">
        <v>23</v>
      </c>
      <c r="G58">
        <v>0</v>
      </c>
      <c r="H58" t="s">
        <v>111</v>
      </c>
      <c r="I58" s="8" t="s">
        <v>221</v>
      </c>
      <c r="J58" t="s">
        <v>228</v>
      </c>
      <c r="K58" t="s">
        <v>117</v>
      </c>
      <c r="L58" s="8" t="s">
        <v>231</v>
      </c>
      <c r="M58" s="8" t="s">
        <v>239</v>
      </c>
      <c r="N58" s="13" t="s">
        <v>20</v>
      </c>
      <c r="O58" s="8" t="s">
        <v>227</v>
      </c>
      <c r="P58" s="8">
        <v>1</v>
      </c>
      <c r="Q58" s="8" t="s">
        <v>227</v>
      </c>
      <c r="R58" s="8">
        <v>0</v>
      </c>
      <c r="S58" s="8">
        <v>2</v>
      </c>
      <c r="T58">
        <f>(4442+0)/U58</f>
        <v>0.99440340273113947</v>
      </c>
      <c r="U58">
        <f>25+4442</f>
        <v>4467</v>
      </c>
      <c r="V58">
        <f>25+4442+0+15</f>
        <v>4482</v>
      </c>
      <c r="W58" s="8">
        <v>0.99665327978580986</v>
      </c>
      <c r="X58" s="8" t="s">
        <v>20</v>
      </c>
      <c r="Y58" s="8">
        <f t="shared" si="6"/>
        <v>0.99665327978580986</v>
      </c>
      <c r="Z58" s="8">
        <v>1</v>
      </c>
      <c r="AA58" s="8">
        <v>100</v>
      </c>
    </row>
    <row r="59" spans="1:27" ht="34">
      <c r="A59" s="8" t="s">
        <v>110</v>
      </c>
      <c r="B59" t="s">
        <v>109</v>
      </c>
      <c r="C59" s="8" t="s">
        <v>17</v>
      </c>
      <c r="D59" s="8" t="s">
        <v>236</v>
      </c>
      <c r="E59" t="s">
        <v>56</v>
      </c>
      <c r="F59" s="8" t="s">
        <v>23</v>
      </c>
      <c r="G59">
        <v>0</v>
      </c>
      <c r="H59" t="s">
        <v>111</v>
      </c>
      <c r="I59" s="8" t="s">
        <v>221</v>
      </c>
      <c r="J59" t="s">
        <v>228</v>
      </c>
      <c r="K59" t="s">
        <v>116</v>
      </c>
      <c r="L59" s="8" t="s">
        <v>231</v>
      </c>
      <c r="M59" s="8" t="s">
        <v>239</v>
      </c>
      <c r="N59" s="13" t="s">
        <v>20</v>
      </c>
      <c r="O59" s="8" t="s">
        <v>227</v>
      </c>
      <c r="P59" s="8">
        <v>1</v>
      </c>
      <c r="Q59" s="8" t="s">
        <v>227</v>
      </c>
      <c r="R59" s="8">
        <v>0</v>
      </c>
      <c r="S59" s="8">
        <v>2</v>
      </c>
      <c r="T59">
        <f>(4437+5)/V59</f>
        <v>0.99107541276215971</v>
      </c>
      <c r="U59">
        <f>40+4437</f>
        <v>4477</v>
      </c>
      <c r="V59">
        <f>40+4437+5+0</f>
        <v>4482</v>
      </c>
      <c r="W59" s="8">
        <v>0.99888442659526999</v>
      </c>
      <c r="X59" s="8" t="s">
        <v>20</v>
      </c>
      <c r="Y59" s="8">
        <f t="shared" si="6"/>
        <v>0.99888442659526999</v>
      </c>
      <c r="Z59" s="8">
        <v>1</v>
      </c>
      <c r="AA59" s="8">
        <v>100</v>
      </c>
    </row>
    <row r="60" spans="1:27" ht="34">
      <c r="A60" s="8" t="s">
        <v>110</v>
      </c>
      <c r="B60" t="s">
        <v>109</v>
      </c>
      <c r="C60" s="8" t="s">
        <v>17</v>
      </c>
      <c r="D60" s="8" t="s">
        <v>236</v>
      </c>
      <c r="E60" t="s">
        <v>56</v>
      </c>
      <c r="F60" s="8" t="s">
        <v>23</v>
      </c>
      <c r="G60">
        <v>0</v>
      </c>
      <c r="H60" t="s">
        <v>111</v>
      </c>
      <c r="I60" s="8" t="s">
        <v>221</v>
      </c>
      <c r="J60" t="s">
        <v>228</v>
      </c>
      <c r="K60" t="s">
        <v>115</v>
      </c>
      <c r="L60" s="8" t="s">
        <v>231</v>
      </c>
      <c r="M60" s="8" t="s">
        <v>239</v>
      </c>
      <c r="N60" s="13" t="s">
        <v>20</v>
      </c>
      <c r="O60" s="8" t="s">
        <v>227</v>
      </c>
      <c r="P60" s="8">
        <v>1</v>
      </c>
      <c r="Q60" s="8" t="s">
        <v>227</v>
      </c>
      <c r="R60" s="8">
        <v>0</v>
      </c>
      <c r="S60" s="8">
        <v>2</v>
      </c>
      <c r="T60">
        <f>(4441+1)/V60</f>
        <v>0.99173922750613974</v>
      </c>
      <c r="U60">
        <f>37+4441</f>
        <v>4478</v>
      </c>
      <c r="V60">
        <f>37+4441+1+0</f>
        <v>4479</v>
      </c>
      <c r="W60" s="8">
        <v>0.99977673587854432</v>
      </c>
      <c r="X60" s="8" t="s">
        <v>20</v>
      </c>
      <c r="Y60" s="8">
        <f t="shared" si="6"/>
        <v>0.99977673587854432</v>
      </c>
      <c r="Z60" s="8">
        <v>1</v>
      </c>
      <c r="AA60" s="8">
        <v>100</v>
      </c>
    </row>
    <row r="61" spans="1:27" ht="34">
      <c r="A61" s="8" t="s">
        <v>110</v>
      </c>
      <c r="B61" t="s">
        <v>109</v>
      </c>
      <c r="C61" s="8" t="s">
        <v>17</v>
      </c>
      <c r="D61" s="8" t="s">
        <v>236</v>
      </c>
      <c r="E61" t="s">
        <v>56</v>
      </c>
      <c r="F61" s="8" t="s">
        <v>23</v>
      </c>
      <c r="G61">
        <v>0</v>
      </c>
      <c r="H61" t="s">
        <v>111</v>
      </c>
      <c r="I61" s="8" t="s">
        <v>221</v>
      </c>
      <c r="J61" t="s">
        <v>228</v>
      </c>
      <c r="K61" t="s">
        <v>114</v>
      </c>
      <c r="L61" s="8" t="s">
        <v>231</v>
      </c>
      <c r="M61" s="8" t="s">
        <v>239</v>
      </c>
      <c r="N61" s="13" t="s">
        <v>20</v>
      </c>
      <c r="O61" s="8" t="s">
        <v>227</v>
      </c>
      <c r="P61" s="8">
        <v>1</v>
      </c>
      <c r="Q61" s="8" t="s">
        <v>227</v>
      </c>
      <c r="R61" s="8">
        <v>0</v>
      </c>
      <c r="S61" s="8">
        <v>2</v>
      </c>
      <c r="T61">
        <f>(4442+0)/V61</f>
        <v>0.99107541276215971</v>
      </c>
      <c r="U61">
        <f>38+4442</f>
        <v>4480</v>
      </c>
      <c r="V61">
        <f>38+4442+0+2</f>
        <v>4482</v>
      </c>
      <c r="W61" s="8">
        <v>0.99955377063810802</v>
      </c>
      <c r="X61" s="8" t="s">
        <v>20</v>
      </c>
      <c r="Y61" s="8">
        <f t="shared" si="6"/>
        <v>0.99955377063810802</v>
      </c>
      <c r="Z61" s="8">
        <v>1</v>
      </c>
      <c r="AA61" s="8">
        <v>100</v>
      </c>
    </row>
    <row r="62" spans="1:27" ht="34">
      <c r="A62" s="8" t="s">
        <v>110</v>
      </c>
      <c r="B62" t="s">
        <v>109</v>
      </c>
      <c r="C62" s="8" t="s">
        <v>17</v>
      </c>
      <c r="D62" s="8" t="s">
        <v>236</v>
      </c>
      <c r="E62" t="s">
        <v>56</v>
      </c>
      <c r="F62" s="8" t="s">
        <v>23</v>
      </c>
      <c r="G62">
        <v>0</v>
      </c>
      <c r="H62" t="s">
        <v>111</v>
      </c>
      <c r="I62" s="8" t="s">
        <v>221</v>
      </c>
      <c r="J62" t="s">
        <v>228</v>
      </c>
      <c r="K62" t="s">
        <v>113</v>
      </c>
      <c r="L62" s="8" t="s">
        <v>231</v>
      </c>
      <c r="M62" s="8" t="s">
        <v>239</v>
      </c>
      <c r="N62" s="13" t="s">
        <v>20</v>
      </c>
      <c r="O62" s="8" t="s">
        <v>227</v>
      </c>
      <c r="P62" s="8">
        <v>1</v>
      </c>
      <c r="Q62" s="8" t="s">
        <v>227</v>
      </c>
      <c r="R62" s="8">
        <v>0</v>
      </c>
      <c r="S62" s="8">
        <v>2</v>
      </c>
      <c r="T62">
        <f>(4442+0)/V62</f>
        <v>0.99107541276215971</v>
      </c>
      <c r="U62">
        <f>40+4442</f>
        <v>4482</v>
      </c>
      <c r="V62">
        <f>40+4442+0+0</f>
        <v>4482</v>
      </c>
      <c r="W62" s="8">
        <v>1</v>
      </c>
      <c r="X62" s="8" t="s">
        <v>20</v>
      </c>
      <c r="Y62" s="8">
        <f t="shared" si="6"/>
        <v>1</v>
      </c>
      <c r="Z62" s="8">
        <v>1</v>
      </c>
      <c r="AA62" s="8">
        <v>100</v>
      </c>
    </row>
    <row r="63" spans="1:27" ht="34">
      <c r="A63" s="8" t="s">
        <v>110</v>
      </c>
      <c r="B63" t="s">
        <v>109</v>
      </c>
      <c r="C63" s="8" t="s">
        <v>17</v>
      </c>
      <c r="D63" s="8" t="s">
        <v>236</v>
      </c>
      <c r="E63" t="s">
        <v>79</v>
      </c>
      <c r="F63" s="8" t="s">
        <v>23</v>
      </c>
      <c r="G63">
        <v>0</v>
      </c>
      <c r="H63" t="s">
        <v>111</v>
      </c>
      <c r="I63" s="8" t="s">
        <v>221</v>
      </c>
      <c r="J63" t="s">
        <v>228</v>
      </c>
      <c r="K63" t="s">
        <v>121</v>
      </c>
      <c r="L63" s="8" t="s">
        <v>231</v>
      </c>
      <c r="M63" s="8" t="s">
        <v>239</v>
      </c>
      <c r="N63" s="13" t="s">
        <v>20</v>
      </c>
      <c r="O63" s="8" t="s">
        <v>227</v>
      </c>
      <c r="P63" s="8">
        <v>1</v>
      </c>
      <c r="Q63" s="8" t="s">
        <v>227</v>
      </c>
      <c r="R63" s="8">
        <v>0</v>
      </c>
      <c r="S63" s="8">
        <v>2</v>
      </c>
      <c r="T63">
        <f>(3882+1024)/V63</f>
        <v>0.97573587907716786</v>
      </c>
      <c r="U63">
        <f>122+3882</f>
        <v>4004</v>
      </c>
      <c r="V63">
        <f>122+3882+1024+0</f>
        <v>5028</v>
      </c>
      <c r="W63" s="8">
        <v>0.79634049323786793</v>
      </c>
      <c r="X63" s="8" t="s">
        <v>20</v>
      </c>
      <c r="Y63" s="8">
        <f t="shared" si="6"/>
        <v>0.79634049323786793</v>
      </c>
      <c r="Z63" s="8">
        <v>1</v>
      </c>
      <c r="AA63" s="8">
        <v>100</v>
      </c>
    </row>
    <row r="64" spans="1:27" ht="34">
      <c r="A64" s="8" t="s">
        <v>110</v>
      </c>
      <c r="B64" t="s">
        <v>109</v>
      </c>
      <c r="C64" s="8" t="s">
        <v>17</v>
      </c>
      <c r="D64" s="8" t="s">
        <v>236</v>
      </c>
      <c r="E64" t="s">
        <v>79</v>
      </c>
      <c r="F64" s="8" t="s">
        <v>23</v>
      </c>
      <c r="G64">
        <v>0</v>
      </c>
      <c r="H64" t="s">
        <v>111</v>
      </c>
      <c r="I64" s="8" t="s">
        <v>221</v>
      </c>
      <c r="J64" t="s">
        <v>228</v>
      </c>
      <c r="K64" t="s">
        <v>120</v>
      </c>
      <c r="L64" s="8" t="s">
        <v>231</v>
      </c>
      <c r="M64" s="8" t="s">
        <v>239</v>
      </c>
      <c r="N64" s="13" t="s">
        <v>20</v>
      </c>
      <c r="O64" s="8" t="s">
        <v>227</v>
      </c>
      <c r="P64" s="8">
        <v>1</v>
      </c>
      <c r="Q64" s="8" t="s">
        <v>227</v>
      </c>
      <c r="R64" s="8">
        <v>0</v>
      </c>
      <c r="S64" s="8">
        <v>2</v>
      </c>
      <c r="T64">
        <f>(3078+1024)/V64</f>
        <v>0.9711174242424242</v>
      </c>
      <c r="U64">
        <f>84+3078</f>
        <v>3162</v>
      </c>
      <c r="V64">
        <f>84+3078+1024+38</f>
        <v>4224</v>
      </c>
      <c r="W64" s="8">
        <v>0.74857954545454541</v>
      </c>
      <c r="X64" s="8" t="s">
        <v>20</v>
      </c>
      <c r="Y64" s="8">
        <f t="shared" si="6"/>
        <v>0.74857954545454541</v>
      </c>
      <c r="Z64" s="8">
        <v>1</v>
      </c>
      <c r="AA64" s="8">
        <v>100</v>
      </c>
    </row>
    <row r="65" spans="1:28" ht="34">
      <c r="A65" s="8" t="s">
        <v>110</v>
      </c>
      <c r="B65" t="s">
        <v>109</v>
      </c>
      <c r="C65" s="8" t="s">
        <v>17</v>
      </c>
      <c r="D65" s="8" t="s">
        <v>236</v>
      </c>
      <c r="E65" t="s">
        <v>79</v>
      </c>
      <c r="F65" s="8" t="s">
        <v>23</v>
      </c>
      <c r="G65">
        <v>0</v>
      </c>
      <c r="H65" t="s">
        <v>111</v>
      </c>
      <c r="I65" s="8" t="s">
        <v>221</v>
      </c>
      <c r="J65" t="s">
        <v>228</v>
      </c>
      <c r="K65" t="s">
        <v>119</v>
      </c>
      <c r="L65" s="8" t="s">
        <v>231</v>
      </c>
      <c r="M65" s="8" t="s">
        <v>239</v>
      </c>
      <c r="N65" s="13" t="s">
        <v>20</v>
      </c>
      <c r="O65" s="8" t="s">
        <v>227</v>
      </c>
      <c r="P65" s="8">
        <v>1</v>
      </c>
      <c r="Q65" s="8" t="s">
        <v>227</v>
      </c>
      <c r="R65" s="8">
        <v>0</v>
      </c>
      <c r="S65" s="8">
        <v>2</v>
      </c>
      <c r="T65">
        <f>(3883+219)/V65</f>
        <v>0.9711174242424242</v>
      </c>
      <c r="U65">
        <f>16+3883</f>
        <v>3899</v>
      </c>
      <c r="V65">
        <f>16+3883+219+106</f>
        <v>4224</v>
      </c>
      <c r="W65" s="8">
        <v>0.92305871212121215</v>
      </c>
      <c r="X65" s="8" t="s">
        <v>20</v>
      </c>
      <c r="Y65" s="8">
        <f t="shared" si="6"/>
        <v>0.92305871212121215</v>
      </c>
      <c r="Z65" s="8">
        <v>1</v>
      </c>
      <c r="AA65" s="8">
        <v>100</v>
      </c>
    </row>
    <row r="66" spans="1:28" ht="34">
      <c r="A66" s="8" t="s">
        <v>110</v>
      </c>
      <c r="B66" t="s">
        <v>109</v>
      </c>
      <c r="C66" s="8" t="s">
        <v>17</v>
      </c>
      <c r="D66" s="8" t="s">
        <v>236</v>
      </c>
      <c r="E66" t="s">
        <v>79</v>
      </c>
      <c r="F66" s="8" t="s">
        <v>23</v>
      </c>
      <c r="G66">
        <v>0</v>
      </c>
      <c r="H66" t="s">
        <v>111</v>
      </c>
      <c r="I66" s="8" t="s">
        <v>221</v>
      </c>
      <c r="J66" t="s">
        <v>228</v>
      </c>
      <c r="K66" t="s">
        <v>118</v>
      </c>
      <c r="L66" s="8" t="s">
        <v>231</v>
      </c>
      <c r="M66" s="8" t="s">
        <v>239</v>
      </c>
      <c r="N66" s="13" t="s">
        <v>20</v>
      </c>
      <c r="O66" s="8" t="s">
        <v>227</v>
      </c>
      <c r="P66" s="8">
        <v>1</v>
      </c>
      <c r="Q66" s="8" t="s">
        <v>227</v>
      </c>
      <c r="R66" s="8">
        <v>0</v>
      </c>
      <c r="S66" s="8">
        <v>2</v>
      </c>
      <c r="T66">
        <f>(4102+0)/V66</f>
        <v>0.9711174242424242</v>
      </c>
      <c r="U66">
        <f>8+4102</f>
        <v>4110</v>
      </c>
      <c r="V66">
        <f>8+4102+0+114</f>
        <v>4224</v>
      </c>
      <c r="W66" s="8">
        <v>0.97301136363636365</v>
      </c>
      <c r="X66" s="8" t="s">
        <v>20</v>
      </c>
      <c r="Y66" s="8">
        <f t="shared" si="6"/>
        <v>0.97301136363636365</v>
      </c>
      <c r="Z66" s="8">
        <v>1</v>
      </c>
      <c r="AA66" s="8">
        <v>100</v>
      </c>
    </row>
    <row r="67" spans="1:28" ht="34">
      <c r="A67" s="8" t="s">
        <v>110</v>
      </c>
      <c r="B67" t="s">
        <v>109</v>
      </c>
      <c r="C67" s="8" t="s">
        <v>17</v>
      </c>
      <c r="D67" s="8" t="s">
        <v>236</v>
      </c>
      <c r="E67" t="s">
        <v>79</v>
      </c>
      <c r="F67" s="8" t="s">
        <v>23</v>
      </c>
      <c r="G67">
        <v>0</v>
      </c>
      <c r="H67" t="s">
        <v>111</v>
      </c>
      <c r="I67" s="8" t="s">
        <v>221</v>
      </c>
      <c r="J67" t="s">
        <v>228</v>
      </c>
      <c r="K67" t="s">
        <v>117</v>
      </c>
      <c r="L67" s="8" t="s">
        <v>231</v>
      </c>
      <c r="M67" s="8" t="s">
        <v>239</v>
      </c>
      <c r="N67" s="13" t="s">
        <v>20</v>
      </c>
      <c r="O67" s="8" t="s">
        <v>227</v>
      </c>
      <c r="P67" s="8">
        <v>1</v>
      </c>
      <c r="Q67" s="8" t="s">
        <v>227</v>
      </c>
      <c r="R67" s="8">
        <v>0</v>
      </c>
      <c r="S67" s="8">
        <v>2</v>
      </c>
      <c r="T67">
        <f>(4163+1)/V67</f>
        <v>0.98579545454545459</v>
      </c>
      <c r="U67">
        <f>1+4163</f>
        <v>4164</v>
      </c>
      <c r="V67">
        <f>1+4163+1+59</f>
        <v>4224</v>
      </c>
      <c r="W67" s="8">
        <v>0.98579545454545459</v>
      </c>
      <c r="X67" s="8" t="s">
        <v>20</v>
      </c>
      <c r="Y67" s="8">
        <f t="shared" si="6"/>
        <v>0.98579545454545459</v>
      </c>
      <c r="Z67" s="8">
        <v>1</v>
      </c>
      <c r="AA67" s="8">
        <v>100</v>
      </c>
    </row>
    <row r="68" spans="1:28" ht="34">
      <c r="A68" s="8" t="s">
        <v>110</v>
      </c>
      <c r="B68" t="s">
        <v>109</v>
      </c>
      <c r="C68" s="8" t="s">
        <v>17</v>
      </c>
      <c r="D68" s="8" t="s">
        <v>236</v>
      </c>
      <c r="E68" t="s">
        <v>79</v>
      </c>
      <c r="F68" s="8" t="s">
        <v>23</v>
      </c>
      <c r="G68">
        <v>0</v>
      </c>
      <c r="H68" t="s">
        <v>111</v>
      </c>
      <c r="I68" s="8" t="s">
        <v>221</v>
      </c>
      <c r="J68" t="s">
        <v>228</v>
      </c>
      <c r="K68" t="s">
        <v>116</v>
      </c>
      <c r="L68" s="8" t="s">
        <v>231</v>
      </c>
      <c r="M68" s="8" t="s">
        <v>239</v>
      </c>
      <c r="N68" s="13" t="s">
        <v>20</v>
      </c>
      <c r="O68" s="8" t="s">
        <v>227</v>
      </c>
      <c r="P68" s="8">
        <v>1</v>
      </c>
      <c r="Q68" s="8" t="s">
        <v>227</v>
      </c>
      <c r="R68" s="8">
        <v>0</v>
      </c>
      <c r="S68" s="8">
        <v>2</v>
      </c>
      <c r="T68">
        <f>(4098+4)/V68</f>
        <v>0.9711174242424242</v>
      </c>
      <c r="U68">
        <f>52+4098</f>
        <v>4150</v>
      </c>
      <c r="V68">
        <f>52+4098+4+70</f>
        <v>4224</v>
      </c>
      <c r="W68" s="8">
        <v>0.98248106060606055</v>
      </c>
      <c r="X68" s="8" t="s">
        <v>20</v>
      </c>
      <c r="Y68" s="8">
        <f t="shared" si="6"/>
        <v>0.98248106060606055</v>
      </c>
      <c r="Z68" s="8">
        <v>1</v>
      </c>
      <c r="AA68" s="8">
        <v>100</v>
      </c>
    </row>
    <row r="69" spans="1:28" ht="34">
      <c r="A69" s="8" t="s">
        <v>110</v>
      </c>
      <c r="B69" t="s">
        <v>109</v>
      </c>
      <c r="C69" s="8" t="s">
        <v>17</v>
      </c>
      <c r="D69" s="8" t="s">
        <v>236</v>
      </c>
      <c r="E69" t="s">
        <v>79</v>
      </c>
      <c r="F69" s="8" t="s">
        <v>23</v>
      </c>
      <c r="G69">
        <v>0</v>
      </c>
      <c r="H69" t="s">
        <v>111</v>
      </c>
      <c r="I69" s="8" t="s">
        <v>221</v>
      </c>
      <c r="J69" t="s">
        <v>228</v>
      </c>
      <c r="K69" t="s">
        <v>115</v>
      </c>
      <c r="L69" s="8" t="s">
        <v>231</v>
      </c>
      <c r="M69" s="8" t="s">
        <v>239</v>
      </c>
      <c r="N69" s="13" t="s">
        <v>20</v>
      </c>
      <c r="O69" s="8" t="s">
        <v>227</v>
      </c>
      <c r="P69" s="8">
        <v>1</v>
      </c>
      <c r="Q69" s="8" t="s">
        <v>227</v>
      </c>
      <c r="R69" s="8">
        <v>0</v>
      </c>
      <c r="S69" s="8">
        <v>2</v>
      </c>
      <c r="T69">
        <f>(4097+5)/V69</f>
        <v>0.9711174242424242</v>
      </c>
      <c r="U69">
        <f>100+4097</f>
        <v>4197</v>
      </c>
      <c r="V69">
        <f>100+4097+5+22</f>
        <v>4224</v>
      </c>
      <c r="W69" s="8">
        <v>0.99360795454545459</v>
      </c>
      <c r="X69" s="8" t="s">
        <v>20</v>
      </c>
      <c r="Y69" s="8">
        <f t="shared" si="6"/>
        <v>0.99360795454545459</v>
      </c>
      <c r="Z69" s="8">
        <v>1</v>
      </c>
      <c r="AA69" s="8">
        <v>100</v>
      </c>
    </row>
    <row r="70" spans="1:28" ht="34">
      <c r="A70" s="8" t="s">
        <v>110</v>
      </c>
      <c r="B70" t="s">
        <v>109</v>
      </c>
      <c r="C70" s="8" t="s">
        <v>17</v>
      </c>
      <c r="D70" s="8" t="s">
        <v>236</v>
      </c>
      <c r="E70" t="s">
        <v>79</v>
      </c>
      <c r="F70" s="8" t="s">
        <v>23</v>
      </c>
      <c r="G70">
        <v>0</v>
      </c>
      <c r="H70" t="s">
        <v>111</v>
      </c>
      <c r="I70" s="8" t="s">
        <v>221</v>
      </c>
      <c r="J70" t="s">
        <v>228</v>
      </c>
      <c r="K70" t="s">
        <v>114</v>
      </c>
      <c r="L70" s="8" t="s">
        <v>231</v>
      </c>
      <c r="M70" s="8" t="s">
        <v>239</v>
      </c>
      <c r="N70" s="13" t="s">
        <v>20</v>
      </c>
      <c r="O70" s="8" t="s">
        <v>227</v>
      </c>
      <c r="P70" s="8">
        <v>1</v>
      </c>
      <c r="Q70" s="8" t="s">
        <v>227</v>
      </c>
      <c r="R70" s="8">
        <v>0</v>
      </c>
      <c r="S70" s="8">
        <v>2</v>
      </c>
      <c r="T70">
        <f>(4044+8)/V70</f>
        <v>0.9707714422616196</v>
      </c>
      <c r="U70">
        <f>90+4044</f>
        <v>4134</v>
      </c>
      <c r="V70">
        <f>90+4044+8+32</f>
        <v>4174</v>
      </c>
      <c r="W70" s="8">
        <v>0.99041686631528514</v>
      </c>
      <c r="X70" s="8" t="s">
        <v>20</v>
      </c>
      <c r="Y70" s="8">
        <f t="shared" si="6"/>
        <v>0.99041686631528514</v>
      </c>
      <c r="Z70" s="8">
        <v>1</v>
      </c>
      <c r="AA70" s="8">
        <v>100</v>
      </c>
    </row>
    <row r="71" spans="1:28" ht="34">
      <c r="A71" s="8" t="s">
        <v>110</v>
      </c>
      <c r="B71" t="s">
        <v>109</v>
      </c>
      <c r="C71" s="8" t="s">
        <v>17</v>
      </c>
      <c r="D71" s="8" t="s">
        <v>236</v>
      </c>
      <c r="E71" t="s">
        <v>79</v>
      </c>
      <c r="F71" s="8" t="s">
        <v>23</v>
      </c>
      <c r="G71">
        <v>0</v>
      </c>
      <c r="H71" t="s">
        <v>111</v>
      </c>
      <c r="I71" s="8" t="s">
        <v>221</v>
      </c>
      <c r="J71" t="s">
        <v>228</v>
      </c>
      <c r="K71" t="s">
        <v>113</v>
      </c>
      <c r="L71" s="8" t="s">
        <v>231</v>
      </c>
      <c r="M71" s="8" t="s">
        <v>239</v>
      </c>
      <c r="N71" s="13" t="s">
        <v>20</v>
      </c>
      <c r="O71" s="8" t="s">
        <v>227</v>
      </c>
      <c r="P71" s="8">
        <v>1</v>
      </c>
      <c r="Q71" s="8" t="s">
        <v>227</v>
      </c>
      <c r="R71" s="8">
        <v>0</v>
      </c>
      <c r="S71" s="8">
        <v>2</v>
      </c>
      <c r="T71">
        <f>(4073+29)/U71</f>
        <v>0.98653198653198648</v>
      </c>
      <c r="U71">
        <f>85+4073</f>
        <v>4158</v>
      </c>
      <c r="V71">
        <f>85+4073+29+37</f>
        <v>4224</v>
      </c>
      <c r="W71" s="8">
        <v>0.984375</v>
      </c>
      <c r="X71" s="8" t="s">
        <v>20</v>
      </c>
      <c r="Y71" s="8">
        <f t="shared" si="6"/>
        <v>0.984375</v>
      </c>
      <c r="Z71" s="8">
        <v>1</v>
      </c>
      <c r="AA71" s="8">
        <v>100</v>
      </c>
    </row>
    <row r="72" spans="1:28" ht="17">
      <c r="A72" s="8" t="s">
        <v>123</v>
      </c>
      <c r="B72" t="s">
        <v>122</v>
      </c>
      <c r="C72" s="8" t="s">
        <v>219</v>
      </c>
      <c r="D72" s="8" t="s">
        <v>235</v>
      </c>
      <c r="E72" t="s">
        <v>125</v>
      </c>
      <c r="F72" s="8" t="s">
        <v>23</v>
      </c>
      <c r="G72">
        <v>1</v>
      </c>
      <c r="H72" s="14" t="s">
        <v>195</v>
      </c>
      <c r="I72" s="14" t="s">
        <v>225</v>
      </c>
      <c r="J72" t="s">
        <v>228</v>
      </c>
      <c r="K72" t="s">
        <v>88</v>
      </c>
      <c r="L72" s="8" t="s">
        <v>88</v>
      </c>
      <c r="M72" s="8" t="s">
        <v>238</v>
      </c>
      <c r="N72" s="13" t="s">
        <v>20</v>
      </c>
      <c r="O72" s="8" t="s">
        <v>227</v>
      </c>
      <c r="P72" s="15">
        <v>1</v>
      </c>
      <c r="Q72" s="8" t="s">
        <v>227</v>
      </c>
      <c r="R72" s="8">
        <v>0</v>
      </c>
      <c r="S72" s="8">
        <v>4</v>
      </c>
      <c r="T72" t="s">
        <v>20</v>
      </c>
      <c r="U72" t="s">
        <v>20</v>
      </c>
      <c r="V72" s="8" t="s">
        <v>20</v>
      </c>
      <c r="W72">
        <v>0.89</v>
      </c>
      <c r="X72" s="8" t="s">
        <v>20</v>
      </c>
      <c r="Y72" s="8" t="s">
        <v>20</v>
      </c>
      <c r="Z72" s="8">
        <v>0</v>
      </c>
      <c r="AA72" s="8">
        <v>100</v>
      </c>
      <c r="AB72" t="s">
        <v>124</v>
      </c>
    </row>
    <row r="73" spans="1:28" ht="17">
      <c r="A73" s="8" t="s">
        <v>123</v>
      </c>
      <c r="B73" t="s">
        <v>122</v>
      </c>
      <c r="C73" s="8" t="s">
        <v>219</v>
      </c>
      <c r="D73" s="8" t="s">
        <v>235</v>
      </c>
      <c r="E73" t="s">
        <v>125</v>
      </c>
      <c r="F73" s="8" t="s">
        <v>23</v>
      </c>
      <c r="G73">
        <v>1</v>
      </c>
      <c r="H73" s="14" t="s">
        <v>195</v>
      </c>
      <c r="I73" s="14" t="s">
        <v>225</v>
      </c>
      <c r="J73" t="s">
        <v>228</v>
      </c>
      <c r="K73" t="s">
        <v>126</v>
      </c>
      <c r="L73" t="s">
        <v>217</v>
      </c>
      <c r="M73" s="8" t="s">
        <v>238</v>
      </c>
      <c r="N73" s="13" t="s">
        <v>20</v>
      </c>
      <c r="O73" s="8" t="s">
        <v>227</v>
      </c>
      <c r="P73" s="15">
        <v>1</v>
      </c>
      <c r="Q73" s="8" t="s">
        <v>227</v>
      </c>
      <c r="R73" s="8">
        <v>0</v>
      </c>
      <c r="S73" s="8">
        <v>4</v>
      </c>
      <c r="T73" t="s">
        <v>20</v>
      </c>
      <c r="U73" t="s">
        <v>20</v>
      </c>
      <c r="V73" s="8" t="s">
        <v>20</v>
      </c>
      <c r="W73">
        <v>0.96</v>
      </c>
      <c r="X73" s="8" t="s">
        <v>20</v>
      </c>
      <c r="Y73" s="8" t="s">
        <v>20</v>
      </c>
      <c r="Z73" s="8">
        <v>0</v>
      </c>
      <c r="AA73" s="8">
        <v>100</v>
      </c>
      <c r="AB73" t="s">
        <v>124</v>
      </c>
    </row>
    <row r="74" spans="1:28" ht="17">
      <c r="A74" s="8" t="s">
        <v>123</v>
      </c>
      <c r="B74" t="s">
        <v>122</v>
      </c>
      <c r="C74" s="8" t="s">
        <v>219</v>
      </c>
      <c r="D74" s="8" t="s">
        <v>235</v>
      </c>
      <c r="E74" t="s">
        <v>125</v>
      </c>
      <c r="F74" s="8" t="s">
        <v>23</v>
      </c>
      <c r="G74">
        <v>1</v>
      </c>
      <c r="H74" s="14" t="s">
        <v>195</v>
      </c>
      <c r="I74" s="14" t="s">
        <v>225</v>
      </c>
      <c r="J74" t="s">
        <v>228</v>
      </c>
      <c r="K74" t="s">
        <v>232</v>
      </c>
      <c r="L74" s="8" t="s">
        <v>231</v>
      </c>
      <c r="M74" s="8" t="s">
        <v>238</v>
      </c>
      <c r="N74" s="13" t="s">
        <v>20</v>
      </c>
      <c r="O74" s="8" t="s">
        <v>227</v>
      </c>
      <c r="P74" s="15">
        <v>1</v>
      </c>
      <c r="Q74" s="8" t="s">
        <v>227</v>
      </c>
      <c r="R74" s="8">
        <v>0</v>
      </c>
      <c r="S74" s="8">
        <v>4</v>
      </c>
      <c r="T74" t="s">
        <v>20</v>
      </c>
      <c r="U74" t="s">
        <v>20</v>
      </c>
      <c r="V74" s="8" t="s">
        <v>20</v>
      </c>
      <c r="W74">
        <v>0.85</v>
      </c>
      <c r="X74" s="8" t="s">
        <v>20</v>
      </c>
      <c r="Y74" s="8" t="s">
        <v>20</v>
      </c>
      <c r="Z74" s="8">
        <v>0</v>
      </c>
      <c r="AA74" s="8">
        <v>100</v>
      </c>
      <c r="AB74" t="s">
        <v>124</v>
      </c>
    </row>
    <row r="75" spans="1:28" ht="17">
      <c r="A75" s="8" t="s">
        <v>123</v>
      </c>
      <c r="B75" t="s">
        <v>122</v>
      </c>
      <c r="C75" s="8" t="s">
        <v>219</v>
      </c>
      <c r="D75" s="8" t="s">
        <v>235</v>
      </c>
      <c r="E75" t="s">
        <v>125</v>
      </c>
      <c r="F75" s="8" t="s">
        <v>23</v>
      </c>
      <c r="G75">
        <v>1</v>
      </c>
      <c r="H75" s="14" t="s">
        <v>195</v>
      </c>
      <c r="I75" s="14" t="s">
        <v>225</v>
      </c>
      <c r="J75" t="s">
        <v>228</v>
      </c>
      <c r="K75" t="s">
        <v>48</v>
      </c>
      <c r="L75" t="s">
        <v>218</v>
      </c>
      <c r="M75" s="8" t="s">
        <v>238</v>
      </c>
      <c r="N75" s="13" t="s">
        <v>20</v>
      </c>
      <c r="O75" s="8" t="s">
        <v>227</v>
      </c>
      <c r="P75" s="15">
        <v>1</v>
      </c>
      <c r="Q75" s="8" t="s">
        <v>227</v>
      </c>
      <c r="R75" s="8">
        <v>0</v>
      </c>
      <c r="S75" s="8">
        <v>4</v>
      </c>
      <c r="T75" t="s">
        <v>20</v>
      </c>
      <c r="U75" t="s">
        <v>20</v>
      </c>
      <c r="V75" s="8" t="s">
        <v>20</v>
      </c>
      <c r="W75">
        <v>0.77</v>
      </c>
      <c r="X75" s="8" t="s">
        <v>20</v>
      </c>
      <c r="Y75" s="8" t="s">
        <v>20</v>
      </c>
      <c r="Z75" s="8">
        <v>0</v>
      </c>
      <c r="AA75" s="8">
        <v>100</v>
      </c>
      <c r="AB75" t="s">
        <v>124</v>
      </c>
    </row>
    <row r="76" spans="1:28" ht="17">
      <c r="A76" s="8" t="s">
        <v>123</v>
      </c>
      <c r="B76" t="s">
        <v>122</v>
      </c>
      <c r="C76" s="8" t="s">
        <v>219</v>
      </c>
      <c r="D76" s="8" t="s">
        <v>235</v>
      </c>
      <c r="E76" t="s">
        <v>125</v>
      </c>
      <c r="F76" s="8" t="s">
        <v>23</v>
      </c>
      <c r="G76">
        <v>1</v>
      </c>
      <c r="H76" s="14" t="s">
        <v>195</v>
      </c>
      <c r="I76" s="14" t="s">
        <v>225</v>
      </c>
      <c r="J76" t="s">
        <v>228</v>
      </c>
      <c r="K76" t="s">
        <v>160</v>
      </c>
      <c r="L76" t="s">
        <v>217</v>
      </c>
      <c r="M76" s="8" t="s">
        <v>238</v>
      </c>
      <c r="N76" s="13" t="s">
        <v>20</v>
      </c>
      <c r="O76" s="8" t="s">
        <v>227</v>
      </c>
      <c r="P76" s="15">
        <v>1</v>
      </c>
      <c r="Q76" s="8" t="s">
        <v>227</v>
      </c>
      <c r="R76" s="8">
        <v>0</v>
      </c>
      <c r="S76" s="8">
        <v>4</v>
      </c>
      <c r="T76" t="s">
        <v>20</v>
      </c>
      <c r="U76" t="s">
        <v>20</v>
      </c>
      <c r="V76" s="8" t="s">
        <v>20</v>
      </c>
      <c r="W76">
        <v>0.93</v>
      </c>
      <c r="X76" s="8" t="s">
        <v>20</v>
      </c>
      <c r="Y76" s="8" t="s">
        <v>20</v>
      </c>
      <c r="Z76" s="8">
        <v>0</v>
      </c>
      <c r="AA76" s="8">
        <v>100</v>
      </c>
      <c r="AB76" t="s">
        <v>124</v>
      </c>
    </row>
    <row r="77" spans="1:28" ht="17">
      <c r="A77" s="8" t="s">
        <v>131</v>
      </c>
      <c r="B77" t="s">
        <v>130</v>
      </c>
      <c r="C77" s="8" t="s">
        <v>132</v>
      </c>
      <c r="D77" s="8" t="s">
        <v>235</v>
      </c>
      <c r="E77" t="s">
        <v>135</v>
      </c>
      <c r="F77" s="8" t="s">
        <v>23</v>
      </c>
      <c r="G77" s="8">
        <v>0</v>
      </c>
      <c r="H77" s="14" t="s">
        <v>195</v>
      </c>
      <c r="I77" s="14" t="s">
        <v>225</v>
      </c>
      <c r="J77" t="s">
        <v>228</v>
      </c>
      <c r="K77" s="13" t="s">
        <v>134</v>
      </c>
      <c r="L77" s="8" t="s">
        <v>231</v>
      </c>
      <c r="M77" s="8" t="s">
        <v>238</v>
      </c>
      <c r="N77" s="13" t="s">
        <v>136</v>
      </c>
      <c r="O77" s="8">
        <v>4</v>
      </c>
      <c r="P77" s="15">
        <v>1</v>
      </c>
      <c r="Q77">
        <v>10</v>
      </c>
      <c r="R77" s="15">
        <v>1</v>
      </c>
      <c r="S77" s="8">
        <v>3</v>
      </c>
      <c r="T77">
        <f>(3156693+3751+10858)/V77</f>
        <v>0.98755567900988517</v>
      </c>
      <c r="U77">
        <f>3156693+16280+9217</f>
        <v>3182190</v>
      </c>
      <c r="V77">
        <f>(3156693+3751+10858)+2961+6449+16280+1772+3283+9217</f>
        <v>3211264</v>
      </c>
      <c r="W77">
        <v>0.99</v>
      </c>
      <c r="X77" s="8" t="s">
        <v>20</v>
      </c>
      <c r="Y77">
        <f t="shared" ref="Y77:Y82" si="7">U77/V77</f>
        <v>0.99094624422034439</v>
      </c>
      <c r="Z77" s="8">
        <v>1</v>
      </c>
      <c r="AA77" s="8">
        <v>100</v>
      </c>
    </row>
    <row r="78" spans="1:28" ht="17">
      <c r="A78" s="8" t="s">
        <v>131</v>
      </c>
      <c r="B78" t="s">
        <v>130</v>
      </c>
      <c r="C78" s="8" t="s">
        <v>132</v>
      </c>
      <c r="D78" s="8" t="s">
        <v>235</v>
      </c>
      <c r="E78" t="s">
        <v>135</v>
      </c>
      <c r="F78" s="8" t="s">
        <v>23</v>
      </c>
      <c r="G78" s="8">
        <v>0</v>
      </c>
      <c r="H78" s="14" t="s">
        <v>195</v>
      </c>
      <c r="I78" s="14" t="s">
        <v>225</v>
      </c>
      <c r="J78" t="s">
        <v>228</v>
      </c>
      <c r="K78" s="13" t="s">
        <v>134</v>
      </c>
      <c r="L78" s="8" t="s">
        <v>231</v>
      </c>
      <c r="M78" s="8" t="s">
        <v>238</v>
      </c>
      <c r="N78" s="13" t="s">
        <v>133</v>
      </c>
      <c r="O78">
        <v>1</v>
      </c>
      <c r="P78" s="15">
        <v>1</v>
      </c>
      <c r="Q78">
        <v>10</v>
      </c>
      <c r="R78" s="8">
        <v>1</v>
      </c>
      <c r="S78" s="8">
        <v>3</v>
      </c>
      <c r="T78">
        <f>(3142166+10653+18483)/V78</f>
        <v>0.98755567900988517</v>
      </c>
      <c r="U78">
        <f xml:space="preserve"> 3142166+13882+6922</f>
        <v>3162970</v>
      </c>
      <c r="V78">
        <f>3142166+5869+8129+10653+13882+2387+18483+2773+6922</f>
        <v>3211264</v>
      </c>
      <c r="W78">
        <v>0.98</v>
      </c>
      <c r="X78" s="8" t="s">
        <v>20</v>
      </c>
      <c r="Y78">
        <f t="shared" si="7"/>
        <v>0.98496106206154332</v>
      </c>
      <c r="Z78" s="8">
        <v>1</v>
      </c>
      <c r="AA78" s="8">
        <v>100</v>
      </c>
    </row>
    <row r="79" spans="1:28" ht="17">
      <c r="A79" s="8" t="s">
        <v>131</v>
      </c>
      <c r="B79" t="s">
        <v>130</v>
      </c>
      <c r="C79" s="8" t="s">
        <v>132</v>
      </c>
      <c r="D79" s="8" t="s">
        <v>235</v>
      </c>
      <c r="E79" t="s">
        <v>135</v>
      </c>
      <c r="F79" s="8" t="s">
        <v>23</v>
      </c>
      <c r="G79" s="8">
        <v>0</v>
      </c>
      <c r="H79" s="8" t="s">
        <v>196</v>
      </c>
      <c r="I79" s="14" t="s">
        <v>225</v>
      </c>
      <c r="J79" t="s">
        <v>224</v>
      </c>
      <c r="K79" s="13" t="s">
        <v>134</v>
      </c>
      <c r="L79" s="8" t="s">
        <v>231</v>
      </c>
      <c r="M79" s="8" t="s">
        <v>238</v>
      </c>
      <c r="N79" s="13" t="s">
        <v>137</v>
      </c>
      <c r="O79">
        <v>5</v>
      </c>
      <c r="P79" s="15">
        <v>1</v>
      </c>
      <c r="Q79">
        <v>10</v>
      </c>
      <c r="R79" s="8">
        <v>1</v>
      </c>
      <c r="S79" s="8">
        <v>3</v>
      </c>
      <c r="T79">
        <f>(3158082+7373+5847)/V79</f>
        <v>0.98755567900988517</v>
      </c>
      <c r="U79">
        <f>3158082+16824+7244</f>
        <v>3182150</v>
      </c>
      <c r="V79">
        <v>3211264</v>
      </c>
      <c r="W79">
        <v>0.99</v>
      </c>
      <c r="X79" s="8" t="s">
        <v>20</v>
      </c>
      <c r="Y79">
        <f t="shared" si="7"/>
        <v>0.99093378806600763</v>
      </c>
      <c r="Z79" s="8">
        <v>1</v>
      </c>
      <c r="AA79" s="8">
        <v>100</v>
      </c>
    </row>
    <row r="80" spans="1:28" ht="17">
      <c r="A80" s="8" t="s">
        <v>131</v>
      </c>
      <c r="B80" t="s">
        <v>130</v>
      </c>
      <c r="C80" s="8" t="s">
        <v>132</v>
      </c>
      <c r="D80" s="8" t="s">
        <v>235</v>
      </c>
      <c r="E80" t="s">
        <v>135</v>
      </c>
      <c r="F80" s="8" t="s">
        <v>23</v>
      </c>
      <c r="G80" s="8">
        <v>0</v>
      </c>
      <c r="H80" s="8" t="s">
        <v>196</v>
      </c>
      <c r="I80" s="14" t="s">
        <v>225</v>
      </c>
      <c r="J80" t="s">
        <v>224</v>
      </c>
      <c r="K80" t="s">
        <v>48</v>
      </c>
      <c r="L80" t="s">
        <v>218</v>
      </c>
      <c r="M80" s="8" t="s">
        <v>238</v>
      </c>
      <c r="N80" s="13" t="s">
        <v>137</v>
      </c>
      <c r="O80" s="8">
        <v>5</v>
      </c>
      <c r="P80" s="15">
        <v>1</v>
      </c>
      <c r="Q80">
        <v>10</v>
      </c>
      <c r="R80" s="8">
        <v>1</v>
      </c>
      <c r="S80" s="8">
        <v>3</v>
      </c>
      <c r="T80">
        <v>0.98755567900988517</v>
      </c>
      <c r="U80">
        <f>3022186+15442+17869</f>
        <v>3055497</v>
      </c>
      <c r="V80">
        <v>3211264</v>
      </c>
      <c r="W80">
        <v>0.95</v>
      </c>
      <c r="X80" s="8" t="s">
        <v>20</v>
      </c>
      <c r="Y80">
        <f t="shared" si="7"/>
        <v>0.95149355518574619</v>
      </c>
      <c r="Z80" s="8">
        <v>1</v>
      </c>
      <c r="AA80" s="8">
        <v>100</v>
      </c>
    </row>
    <row r="81" spans="1:28" ht="17">
      <c r="A81" s="8" t="s">
        <v>131</v>
      </c>
      <c r="B81" t="s">
        <v>130</v>
      </c>
      <c r="C81" s="8" t="s">
        <v>132</v>
      </c>
      <c r="D81" s="8" t="s">
        <v>235</v>
      </c>
      <c r="E81" t="s">
        <v>135</v>
      </c>
      <c r="F81" s="8" t="s">
        <v>23</v>
      </c>
      <c r="G81" s="8">
        <v>0</v>
      </c>
      <c r="H81" s="14" t="s">
        <v>195</v>
      </c>
      <c r="I81" s="14" t="s">
        <v>225</v>
      </c>
      <c r="J81" s="8" t="s">
        <v>228</v>
      </c>
      <c r="K81" t="s">
        <v>48</v>
      </c>
      <c r="L81" t="s">
        <v>218</v>
      </c>
      <c r="M81" s="8" t="s">
        <v>238</v>
      </c>
      <c r="N81" s="13" t="s">
        <v>136</v>
      </c>
      <c r="O81" s="8">
        <v>4</v>
      </c>
      <c r="P81" s="15">
        <v>1</v>
      </c>
      <c r="Q81">
        <v>10</v>
      </c>
      <c r="R81" s="8">
        <v>1</v>
      </c>
      <c r="S81" s="8">
        <v>3</v>
      </c>
      <c r="T81">
        <v>0.98755567900988517</v>
      </c>
      <c r="U81">
        <f>3011964+16307+13356</f>
        <v>3041627</v>
      </c>
      <c r="V81">
        <v>3211264</v>
      </c>
      <c r="W81">
        <v>0.95</v>
      </c>
      <c r="X81" s="8" t="s">
        <v>20</v>
      </c>
      <c r="Y81">
        <f t="shared" si="7"/>
        <v>0.94717438366948337</v>
      </c>
      <c r="Z81" s="8">
        <v>1</v>
      </c>
      <c r="AA81" s="8">
        <v>100</v>
      </c>
    </row>
    <row r="82" spans="1:28" ht="17">
      <c r="A82" s="8" t="s">
        <v>131</v>
      </c>
      <c r="B82" t="s">
        <v>130</v>
      </c>
      <c r="C82" s="8" t="s">
        <v>132</v>
      </c>
      <c r="D82" s="8" t="s">
        <v>235</v>
      </c>
      <c r="E82" t="s">
        <v>135</v>
      </c>
      <c r="F82" s="8" t="s">
        <v>23</v>
      </c>
      <c r="G82" s="8">
        <v>0</v>
      </c>
      <c r="H82" s="14" t="s">
        <v>195</v>
      </c>
      <c r="I82" s="14" t="s">
        <v>225</v>
      </c>
      <c r="J82" s="8" t="s">
        <v>228</v>
      </c>
      <c r="K82" s="13" t="s">
        <v>134</v>
      </c>
      <c r="L82" s="8" t="s">
        <v>231</v>
      </c>
      <c r="M82" s="8" t="s">
        <v>239</v>
      </c>
      <c r="N82" s="13" t="s">
        <v>136</v>
      </c>
      <c r="O82" s="8">
        <v>4</v>
      </c>
      <c r="P82" s="15">
        <v>1</v>
      </c>
      <c r="Q82">
        <v>10</v>
      </c>
      <c r="R82" s="15">
        <v>1</v>
      </c>
      <c r="S82" s="8">
        <v>3</v>
      </c>
      <c r="T82">
        <f>(300+3)/V82</f>
        <v>0.75</v>
      </c>
      <c r="U82">
        <f>300+45+47</f>
        <v>392</v>
      </c>
      <c r="V82">
        <f>300+3+1+45+3+5+47</f>
        <v>404</v>
      </c>
      <c r="W82">
        <v>0.97</v>
      </c>
      <c r="X82" s="8" t="s">
        <v>20</v>
      </c>
      <c r="Y82">
        <f t="shared" si="7"/>
        <v>0.97029702970297027</v>
      </c>
      <c r="Z82" s="8">
        <v>1</v>
      </c>
      <c r="AA82" s="8">
        <v>100</v>
      </c>
      <c r="AB82" t="s">
        <v>138</v>
      </c>
    </row>
    <row r="83" spans="1:28" ht="68">
      <c r="A83" s="8" t="s">
        <v>193</v>
      </c>
      <c r="B83" t="s">
        <v>199</v>
      </c>
      <c r="C83" s="8" t="s">
        <v>219</v>
      </c>
      <c r="D83" s="8" t="s">
        <v>235</v>
      </c>
      <c r="E83" s="8" t="s">
        <v>194</v>
      </c>
      <c r="F83" s="8" t="s">
        <v>23</v>
      </c>
      <c r="G83" s="8">
        <v>1</v>
      </c>
      <c r="H83" s="8" t="s">
        <v>196</v>
      </c>
      <c r="I83" s="14" t="s">
        <v>225</v>
      </c>
      <c r="J83" t="s">
        <v>224</v>
      </c>
      <c r="K83" s="8" t="s">
        <v>18</v>
      </c>
      <c r="L83" t="s">
        <v>217</v>
      </c>
      <c r="M83" t="s">
        <v>238</v>
      </c>
      <c r="N83" s="8" t="s">
        <v>200</v>
      </c>
      <c r="O83" s="8">
        <v>14</v>
      </c>
      <c r="P83" s="15">
        <v>1</v>
      </c>
      <c r="Q83" s="8">
        <v>10</v>
      </c>
      <c r="R83" s="8">
        <v>1</v>
      </c>
      <c r="S83" s="8">
        <v>8</v>
      </c>
      <c r="T83">
        <v>0.51</v>
      </c>
      <c r="U83" s="8" t="s">
        <v>20</v>
      </c>
      <c r="V83" s="8">
        <f>49500*0.3</f>
        <v>14850</v>
      </c>
      <c r="W83" s="8">
        <v>0.81</v>
      </c>
      <c r="X83" s="8" t="s">
        <v>20</v>
      </c>
      <c r="Y83" s="8" t="s">
        <v>20</v>
      </c>
      <c r="Z83" s="8">
        <v>0</v>
      </c>
      <c r="AA83" s="8">
        <v>100</v>
      </c>
    </row>
    <row r="84" spans="1:28" ht="68">
      <c r="A84" s="8" t="s">
        <v>193</v>
      </c>
      <c r="B84" t="s">
        <v>199</v>
      </c>
      <c r="C84" t="s">
        <v>219</v>
      </c>
      <c r="D84" s="8" t="s">
        <v>235</v>
      </c>
      <c r="E84" s="8" t="s">
        <v>194</v>
      </c>
      <c r="F84" s="8" t="s">
        <v>23</v>
      </c>
      <c r="G84" s="8">
        <v>1</v>
      </c>
      <c r="H84" s="8" t="s">
        <v>196</v>
      </c>
      <c r="I84" s="14" t="s">
        <v>225</v>
      </c>
      <c r="J84" t="s">
        <v>224</v>
      </c>
      <c r="K84" s="8" t="s">
        <v>18</v>
      </c>
      <c r="L84" t="s">
        <v>217</v>
      </c>
      <c r="M84" t="s">
        <v>238</v>
      </c>
      <c r="N84" s="8" t="s">
        <v>200</v>
      </c>
      <c r="O84" s="8">
        <v>14</v>
      </c>
      <c r="P84" s="15">
        <v>1</v>
      </c>
      <c r="Q84" s="8">
        <v>10</v>
      </c>
      <c r="R84" s="8">
        <v>1</v>
      </c>
      <c r="S84" s="8">
        <v>10</v>
      </c>
      <c r="T84">
        <v>0.43</v>
      </c>
      <c r="U84" s="8" t="s">
        <v>20</v>
      </c>
      <c r="V84" s="8">
        <f>49500*0.3</f>
        <v>14850</v>
      </c>
      <c r="W84" s="8">
        <v>0.73</v>
      </c>
      <c r="X84" s="8" t="s">
        <v>20</v>
      </c>
      <c r="Y84" s="8" t="s">
        <v>20</v>
      </c>
      <c r="Z84" s="8">
        <v>0</v>
      </c>
      <c r="AA84" s="8">
        <v>100</v>
      </c>
    </row>
    <row r="85" spans="1:28" ht="34">
      <c r="A85" s="8" t="s">
        <v>185</v>
      </c>
      <c r="B85" t="s">
        <v>186</v>
      </c>
      <c r="C85" t="s">
        <v>219</v>
      </c>
      <c r="D85" s="8" t="s">
        <v>235</v>
      </c>
      <c r="E85" s="8" t="s">
        <v>202</v>
      </c>
      <c r="F85" s="8" t="s">
        <v>23</v>
      </c>
      <c r="G85" s="8">
        <v>0</v>
      </c>
      <c r="H85" s="14" t="s">
        <v>195</v>
      </c>
      <c r="I85" s="14" t="s">
        <v>225</v>
      </c>
      <c r="J85" t="s">
        <v>228</v>
      </c>
      <c r="K85" s="8" t="s">
        <v>203</v>
      </c>
      <c r="L85" s="8" t="s">
        <v>231</v>
      </c>
      <c r="M85" s="8" t="s">
        <v>239</v>
      </c>
      <c r="N85" t="s">
        <v>212</v>
      </c>
      <c r="O85" s="8">
        <v>10</v>
      </c>
      <c r="P85" s="15">
        <v>0</v>
      </c>
      <c r="Q85" s="8">
        <v>10</v>
      </c>
      <c r="R85" s="8">
        <v>1</v>
      </c>
      <c r="S85" s="8">
        <v>12</v>
      </c>
      <c r="T85">
        <f>170/V85</f>
        <v>0.14166666666666666</v>
      </c>
      <c r="U85" s="8" t="s">
        <v>20</v>
      </c>
      <c r="V85">
        <v>1200</v>
      </c>
      <c r="W85" s="8">
        <v>0.73</v>
      </c>
      <c r="X85" s="8" t="s">
        <v>20</v>
      </c>
      <c r="Y85" s="8" t="s">
        <v>20</v>
      </c>
      <c r="Z85" s="8">
        <v>0</v>
      </c>
      <c r="AA85" s="8">
        <v>100</v>
      </c>
      <c r="AB85" s="8" t="s">
        <v>201</v>
      </c>
    </row>
    <row r="86" spans="1:28" ht="34">
      <c r="A86" s="8" t="s">
        <v>185</v>
      </c>
      <c r="B86" t="s">
        <v>186</v>
      </c>
      <c r="C86" t="s">
        <v>219</v>
      </c>
      <c r="D86" s="8" t="s">
        <v>235</v>
      </c>
      <c r="E86" s="8" t="s">
        <v>202</v>
      </c>
      <c r="F86" s="8" t="s">
        <v>23</v>
      </c>
      <c r="G86" s="8">
        <v>1</v>
      </c>
      <c r="H86" s="14" t="s">
        <v>195</v>
      </c>
      <c r="I86" s="14" t="s">
        <v>225</v>
      </c>
      <c r="J86" t="s">
        <v>228</v>
      </c>
      <c r="K86" s="8" t="s">
        <v>203</v>
      </c>
      <c r="L86" s="8" t="s">
        <v>231</v>
      </c>
      <c r="M86" s="8" t="s">
        <v>239</v>
      </c>
      <c r="N86" t="s">
        <v>212</v>
      </c>
      <c r="O86" s="8">
        <v>10</v>
      </c>
      <c r="P86" s="15">
        <v>0</v>
      </c>
      <c r="Q86" s="8">
        <v>10</v>
      </c>
      <c r="R86" s="8">
        <v>1</v>
      </c>
      <c r="S86" s="8">
        <v>12</v>
      </c>
      <c r="T86">
        <f>170/V86</f>
        <v>0.14166666666666666</v>
      </c>
      <c r="U86" s="8" t="s">
        <v>20</v>
      </c>
      <c r="V86">
        <v>1200</v>
      </c>
      <c r="W86" s="8">
        <v>0.74829999999999997</v>
      </c>
      <c r="X86" s="8" t="s">
        <v>20</v>
      </c>
      <c r="Y86" s="8" t="s">
        <v>20</v>
      </c>
      <c r="Z86" s="8">
        <v>0</v>
      </c>
      <c r="AA86" s="8">
        <v>100</v>
      </c>
      <c r="AB86" s="8" t="s">
        <v>201</v>
      </c>
    </row>
    <row r="87" spans="1:28" ht="34">
      <c r="A87" s="8" t="s">
        <v>182</v>
      </c>
      <c r="B87" t="s">
        <v>184</v>
      </c>
      <c r="C87" t="s">
        <v>219</v>
      </c>
      <c r="D87" s="8" t="s">
        <v>235</v>
      </c>
      <c r="E87" s="8" t="s">
        <v>214</v>
      </c>
      <c r="F87" s="8" t="s">
        <v>23</v>
      </c>
      <c r="G87" s="8">
        <v>0</v>
      </c>
      <c r="H87" s="14" t="s">
        <v>195</v>
      </c>
      <c r="I87" s="14" t="s">
        <v>225</v>
      </c>
      <c r="J87" t="s">
        <v>228</v>
      </c>
      <c r="K87" s="8" t="s">
        <v>213</v>
      </c>
      <c r="L87" t="s">
        <v>217</v>
      </c>
      <c r="M87" s="8" t="s">
        <v>239</v>
      </c>
      <c r="N87" t="s">
        <v>211</v>
      </c>
      <c r="O87" s="8">
        <v>10</v>
      </c>
      <c r="P87" s="15">
        <v>1</v>
      </c>
      <c r="Q87" s="8">
        <v>10</v>
      </c>
      <c r="R87" s="8">
        <v>1</v>
      </c>
      <c r="S87" s="8">
        <v>2</v>
      </c>
      <c r="T87">
        <f>60243/V87</f>
        <v>0.73514588697572825</v>
      </c>
      <c r="U87" s="8" t="s">
        <v>20</v>
      </c>
      <c r="V87">
        <v>81947</v>
      </c>
      <c r="W87" s="8">
        <v>0.95199999999999996</v>
      </c>
      <c r="X87" s="8" t="s">
        <v>20</v>
      </c>
      <c r="Y87" s="8" t="s">
        <v>20</v>
      </c>
      <c r="Z87" s="8">
        <v>0</v>
      </c>
      <c r="AA87" s="8">
        <v>100</v>
      </c>
    </row>
    <row r="88" spans="1:28" ht="34">
      <c r="A88" s="8" t="s">
        <v>179</v>
      </c>
      <c r="B88" t="s">
        <v>180</v>
      </c>
      <c r="C88" s="8" t="s">
        <v>215</v>
      </c>
      <c r="D88" s="11" t="s">
        <v>234</v>
      </c>
      <c r="E88" s="8" t="s">
        <v>147</v>
      </c>
      <c r="F88" s="8" t="s">
        <v>23</v>
      </c>
      <c r="G88" s="8">
        <v>0</v>
      </c>
      <c r="H88" s="14" t="s">
        <v>195</v>
      </c>
      <c r="I88" s="14" t="s">
        <v>225</v>
      </c>
      <c r="J88" t="s">
        <v>228</v>
      </c>
      <c r="K88" s="8" t="s">
        <v>216</v>
      </c>
      <c r="L88" t="s">
        <v>217</v>
      </c>
      <c r="M88" s="8" t="s">
        <v>240</v>
      </c>
      <c r="N88" s="8" t="s">
        <v>181</v>
      </c>
      <c r="O88" s="15">
        <v>1</v>
      </c>
      <c r="P88">
        <v>1</v>
      </c>
      <c r="Q88" s="8">
        <v>10</v>
      </c>
      <c r="R88" s="8">
        <v>1</v>
      </c>
      <c r="S88" s="8">
        <v>2</v>
      </c>
      <c r="T88">
        <f>546/V88</f>
        <v>0.61904761904761907</v>
      </c>
      <c r="U88" s="8" t="s">
        <v>20</v>
      </c>
      <c r="V88">
        <v>882</v>
      </c>
      <c r="W88" s="8">
        <v>0.83</v>
      </c>
      <c r="X88" s="8" t="s">
        <v>20</v>
      </c>
      <c r="Y88" s="8" t="s">
        <v>20</v>
      </c>
      <c r="Z88" s="8">
        <v>0</v>
      </c>
      <c r="AA88" s="8">
        <v>100</v>
      </c>
    </row>
    <row r="89" spans="1:28" ht="17">
      <c r="A89" s="8" t="s">
        <v>145</v>
      </c>
      <c r="B89" t="s">
        <v>144</v>
      </c>
      <c r="C89" s="8" t="s">
        <v>219</v>
      </c>
      <c r="D89" s="8" t="s">
        <v>235</v>
      </c>
      <c r="E89" t="s">
        <v>147</v>
      </c>
      <c r="F89" s="8" t="s">
        <v>148</v>
      </c>
      <c r="G89" s="8">
        <v>0</v>
      </c>
      <c r="H89" s="8" t="s">
        <v>149</v>
      </c>
      <c r="I89" s="8" t="s">
        <v>221</v>
      </c>
      <c r="J89" s="8" t="s">
        <v>228</v>
      </c>
      <c r="K89" s="12" t="s">
        <v>156</v>
      </c>
      <c r="L89" s="8" t="s">
        <v>231</v>
      </c>
      <c r="M89" s="8" t="s">
        <v>239</v>
      </c>
      <c r="N89" s="13" t="s">
        <v>20</v>
      </c>
      <c r="O89" s="8" t="s">
        <v>227</v>
      </c>
      <c r="P89" s="13">
        <v>0</v>
      </c>
      <c r="Q89">
        <v>0.5</v>
      </c>
      <c r="R89" s="8">
        <v>1</v>
      </c>
      <c r="S89" s="8">
        <v>2</v>
      </c>
      <c r="T89">
        <f>(V89*(1-0.14))/V89</f>
        <v>0.86</v>
      </c>
      <c r="U89" t="s">
        <v>20</v>
      </c>
      <c r="V89">
        <v>75782016</v>
      </c>
      <c r="W89">
        <v>0.85340000000000005</v>
      </c>
      <c r="X89" s="8" t="s">
        <v>20</v>
      </c>
      <c r="Y89" s="8" t="s">
        <v>20</v>
      </c>
      <c r="Z89" s="8">
        <v>0</v>
      </c>
      <c r="AA89" s="8">
        <v>100</v>
      </c>
      <c r="AB89" t="s">
        <v>146</v>
      </c>
    </row>
    <row r="90" spans="1:28" ht="17">
      <c r="A90" s="8" t="s">
        <v>145</v>
      </c>
      <c r="B90" t="s">
        <v>144</v>
      </c>
      <c r="C90" s="8" t="s">
        <v>219</v>
      </c>
      <c r="D90" s="8" t="s">
        <v>235</v>
      </c>
      <c r="E90" t="s">
        <v>147</v>
      </c>
      <c r="F90" s="8" t="s">
        <v>148</v>
      </c>
      <c r="G90" s="8">
        <v>0</v>
      </c>
      <c r="H90" s="8" t="s">
        <v>149</v>
      </c>
      <c r="I90" s="8" t="s">
        <v>221</v>
      </c>
      <c r="J90" s="8" t="s">
        <v>228</v>
      </c>
      <c r="K90" s="12" t="s">
        <v>155</v>
      </c>
      <c r="L90" s="8" t="s">
        <v>231</v>
      </c>
      <c r="M90" s="8" t="s">
        <v>239</v>
      </c>
      <c r="N90" s="13" t="s">
        <v>20</v>
      </c>
      <c r="O90" s="8" t="s">
        <v>227</v>
      </c>
      <c r="P90" s="13">
        <v>0</v>
      </c>
      <c r="Q90">
        <v>0.2</v>
      </c>
      <c r="R90" s="8">
        <v>1</v>
      </c>
      <c r="S90" s="8">
        <v>2</v>
      </c>
      <c r="T90">
        <f t="shared" ref="T90:T95" si="8">(V90*(1-0.14))/V90</f>
        <v>0.86</v>
      </c>
      <c r="U90" t="s">
        <v>20</v>
      </c>
      <c r="V90">
        <v>75782016</v>
      </c>
      <c r="W90">
        <v>0.9274</v>
      </c>
      <c r="X90" s="8" t="s">
        <v>20</v>
      </c>
      <c r="Y90" s="8" t="s">
        <v>20</v>
      </c>
      <c r="Z90" s="8">
        <v>0</v>
      </c>
      <c r="AA90" s="8">
        <v>100</v>
      </c>
    </row>
    <row r="91" spans="1:28" ht="17">
      <c r="A91" s="8" t="s">
        <v>145</v>
      </c>
      <c r="B91" t="s">
        <v>144</v>
      </c>
      <c r="C91" s="8" t="s">
        <v>219</v>
      </c>
      <c r="D91" s="8" t="s">
        <v>235</v>
      </c>
      <c r="E91" t="s">
        <v>147</v>
      </c>
      <c r="F91" s="8" t="s">
        <v>148</v>
      </c>
      <c r="G91" s="8">
        <v>0</v>
      </c>
      <c r="H91" s="8" t="s">
        <v>149</v>
      </c>
      <c r="I91" s="8" t="s">
        <v>221</v>
      </c>
      <c r="J91" s="8" t="s">
        <v>228</v>
      </c>
      <c r="K91" s="12" t="s">
        <v>154</v>
      </c>
      <c r="L91" s="8" t="s">
        <v>231</v>
      </c>
      <c r="M91" s="8" t="s">
        <v>239</v>
      </c>
      <c r="N91" s="13" t="s">
        <v>20</v>
      </c>
      <c r="O91" s="8" t="s">
        <v>227</v>
      </c>
      <c r="P91" s="13">
        <v>0</v>
      </c>
      <c r="Q91">
        <v>0.2</v>
      </c>
      <c r="R91" s="8">
        <v>1</v>
      </c>
      <c r="S91" s="8">
        <v>2</v>
      </c>
      <c r="T91">
        <f t="shared" si="8"/>
        <v>0.86</v>
      </c>
      <c r="U91" t="s">
        <v>20</v>
      </c>
      <c r="V91">
        <v>75782016</v>
      </c>
      <c r="W91">
        <v>0.95719999999999994</v>
      </c>
      <c r="X91" s="8" t="s">
        <v>20</v>
      </c>
      <c r="Y91" s="8" t="s">
        <v>20</v>
      </c>
      <c r="Z91" s="8">
        <v>0</v>
      </c>
      <c r="AA91" s="8">
        <v>100</v>
      </c>
    </row>
    <row r="92" spans="1:28" ht="17">
      <c r="A92" s="8" t="s">
        <v>145</v>
      </c>
      <c r="B92" t="s">
        <v>144</v>
      </c>
      <c r="C92" s="8" t="s">
        <v>219</v>
      </c>
      <c r="D92" s="8" t="s">
        <v>235</v>
      </c>
      <c r="E92" t="s">
        <v>147</v>
      </c>
      <c r="F92" s="8" t="s">
        <v>148</v>
      </c>
      <c r="G92" s="8">
        <v>0</v>
      </c>
      <c r="H92" s="8" t="s">
        <v>149</v>
      </c>
      <c r="I92" s="8" t="s">
        <v>221</v>
      </c>
      <c r="J92" s="8" t="s">
        <v>228</v>
      </c>
      <c r="K92" s="12" t="s">
        <v>153</v>
      </c>
      <c r="L92" s="8" t="s">
        <v>231</v>
      </c>
      <c r="M92" s="8" t="s">
        <v>239</v>
      </c>
      <c r="N92" s="13" t="s">
        <v>20</v>
      </c>
      <c r="O92" s="8" t="s">
        <v>227</v>
      </c>
      <c r="P92" s="13">
        <v>0</v>
      </c>
      <c r="Q92">
        <v>0.2</v>
      </c>
      <c r="R92" s="8">
        <v>1</v>
      </c>
      <c r="S92" s="8">
        <v>2</v>
      </c>
      <c r="T92">
        <f t="shared" si="8"/>
        <v>0.86</v>
      </c>
      <c r="U92" t="s">
        <v>20</v>
      </c>
      <c r="V92">
        <v>75782016</v>
      </c>
      <c r="W92">
        <v>0.96310000000000007</v>
      </c>
      <c r="X92" s="8" t="s">
        <v>20</v>
      </c>
      <c r="Y92" s="8" t="s">
        <v>20</v>
      </c>
      <c r="Z92" s="8">
        <v>0</v>
      </c>
      <c r="AA92" s="8">
        <v>100</v>
      </c>
    </row>
    <row r="93" spans="1:28" ht="17">
      <c r="A93" s="8" t="s">
        <v>145</v>
      </c>
      <c r="B93" t="s">
        <v>144</v>
      </c>
      <c r="C93" s="8" t="s">
        <v>219</v>
      </c>
      <c r="D93" s="8" t="s">
        <v>235</v>
      </c>
      <c r="E93" t="s">
        <v>147</v>
      </c>
      <c r="F93" s="8" t="s">
        <v>148</v>
      </c>
      <c r="G93" s="8">
        <v>0</v>
      </c>
      <c r="H93" s="8" t="s">
        <v>149</v>
      </c>
      <c r="I93" s="8" t="s">
        <v>221</v>
      </c>
      <c r="J93" s="8" t="s">
        <v>228</v>
      </c>
      <c r="K93" s="12" t="s">
        <v>152</v>
      </c>
      <c r="L93" s="8" t="s">
        <v>231</v>
      </c>
      <c r="M93" s="8" t="s">
        <v>239</v>
      </c>
      <c r="N93" s="13" t="s">
        <v>20</v>
      </c>
      <c r="O93" s="8" t="s">
        <v>227</v>
      </c>
      <c r="P93" s="13">
        <v>0</v>
      </c>
      <c r="Q93">
        <v>0.2</v>
      </c>
      <c r="R93" s="8">
        <v>1</v>
      </c>
      <c r="S93" s="8">
        <v>2</v>
      </c>
      <c r="T93">
        <f t="shared" si="8"/>
        <v>0.86</v>
      </c>
      <c r="U93" t="s">
        <v>20</v>
      </c>
      <c r="V93">
        <v>75782016</v>
      </c>
      <c r="W93">
        <v>0.95090000000000008</v>
      </c>
      <c r="X93" s="8" t="s">
        <v>20</v>
      </c>
      <c r="Y93" s="8" t="s">
        <v>20</v>
      </c>
      <c r="Z93" s="8">
        <v>0</v>
      </c>
      <c r="AA93" s="8">
        <v>100</v>
      </c>
    </row>
    <row r="94" spans="1:28" ht="17">
      <c r="A94" s="8" t="s">
        <v>145</v>
      </c>
      <c r="B94" t="s">
        <v>144</v>
      </c>
      <c r="C94" s="8" t="s">
        <v>219</v>
      </c>
      <c r="D94" s="8" t="s">
        <v>235</v>
      </c>
      <c r="E94" t="s">
        <v>147</v>
      </c>
      <c r="F94" s="8" t="s">
        <v>148</v>
      </c>
      <c r="G94" s="8">
        <v>0</v>
      </c>
      <c r="H94" s="8" t="s">
        <v>149</v>
      </c>
      <c r="I94" s="8" t="s">
        <v>221</v>
      </c>
      <c r="J94" s="8" t="s">
        <v>228</v>
      </c>
      <c r="K94" s="12" t="s">
        <v>151</v>
      </c>
      <c r="L94" s="8" t="s">
        <v>231</v>
      </c>
      <c r="M94" s="8" t="s">
        <v>239</v>
      </c>
      <c r="N94" s="13" t="s">
        <v>20</v>
      </c>
      <c r="O94" s="8" t="s">
        <v>227</v>
      </c>
      <c r="P94" s="13">
        <v>0</v>
      </c>
      <c r="Q94">
        <v>0.2</v>
      </c>
      <c r="R94" s="8">
        <v>1</v>
      </c>
      <c r="S94" s="8">
        <v>2</v>
      </c>
      <c r="T94">
        <f t="shared" si="8"/>
        <v>0.86</v>
      </c>
      <c r="U94" t="s">
        <v>20</v>
      </c>
      <c r="V94">
        <v>75782016</v>
      </c>
      <c r="W94">
        <v>0.96129999999999993</v>
      </c>
      <c r="X94" s="8" t="s">
        <v>20</v>
      </c>
      <c r="Y94" s="8" t="s">
        <v>20</v>
      </c>
      <c r="Z94" s="8">
        <v>0</v>
      </c>
      <c r="AA94" s="8">
        <v>100</v>
      </c>
    </row>
    <row r="95" spans="1:28" ht="17">
      <c r="A95" s="8" t="s">
        <v>145</v>
      </c>
      <c r="B95" t="s">
        <v>144</v>
      </c>
      <c r="C95" s="8" t="s">
        <v>219</v>
      </c>
      <c r="D95" s="8" t="s">
        <v>235</v>
      </c>
      <c r="E95" t="s">
        <v>147</v>
      </c>
      <c r="F95" s="8" t="s">
        <v>148</v>
      </c>
      <c r="G95" s="8">
        <v>0</v>
      </c>
      <c r="H95" s="8" t="s">
        <v>149</v>
      </c>
      <c r="I95" s="8" t="s">
        <v>221</v>
      </c>
      <c r="J95" s="8" t="s">
        <v>228</v>
      </c>
      <c r="K95" s="12" t="s">
        <v>150</v>
      </c>
      <c r="L95" s="8" t="s">
        <v>231</v>
      </c>
      <c r="M95" s="8" t="s">
        <v>239</v>
      </c>
      <c r="N95" s="13" t="s">
        <v>20</v>
      </c>
      <c r="O95" s="8" t="s">
        <v>227</v>
      </c>
      <c r="P95" s="13">
        <v>0</v>
      </c>
      <c r="Q95">
        <v>0.2</v>
      </c>
      <c r="R95" s="8">
        <v>1</v>
      </c>
      <c r="S95" s="8">
        <v>2</v>
      </c>
      <c r="T95">
        <f t="shared" si="8"/>
        <v>0.86</v>
      </c>
      <c r="U95" t="s">
        <v>20</v>
      </c>
      <c r="V95">
        <v>75782016</v>
      </c>
      <c r="W95">
        <v>0.97650000000000003</v>
      </c>
      <c r="X95" s="8" t="s">
        <v>20</v>
      </c>
      <c r="Y95" s="8" t="s">
        <v>20</v>
      </c>
      <c r="Z95" s="8">
        <v>0</v>
      </c>
      <c r="AA95" s="8">
        <v>100</v>
      </c>
    </row>
  </sheetData>
  <autoFilter ref="A1:AB95" xr:uid="{0A236D50-4684-D141-BBDF-37C3652D339E}"/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C64"/>
  <sheetViews>
    <sheetView workbookViewId="0">
      <pane ySplit="1" topLeftCell="A2" activePane="bottomLeft" state="frozen"/>
      <selection pane="bottomLeft" activeCell="B17" sqref="B17"/>
    </sheetView>
  </sheetViews>
  <sheetFormatPr baseColWidth="10" defaultRowHeight="16"/>
  <cols>
    <col min="1" max="1" width="16" style="12" customWidth="1"/>
    <col min="2" max="2" width="36.5" style="12" customWidth="1"/>
    <col min="3" max="3" width="79.6640625" style="12" customWidth="1"/>
    <col min="4" max="16384" width="10.83203125" style="12"/>
  </cols>
  <sheetData>
    <row r="1" spans="1:3" s="16" customFormat="1" ht="17">
      <c r="A1" s="16" t="s">
        <v>0</v>
      </c>
      <c r="B1" s="17" t="s">
        <v>1</v>
      </c>
      <c r="C1" s="16" t="s">
        <v>290</v>
      </c>
    </row>
    <row r="2" spans="1:3" ht="17">
      <c r="A2" s="13" t="s">
        <v>128</v>
      </c>
      <c r="B2" s="12" t="s">
        <v>127</v>
      </c>
      <c r="C2" s="12" t="s">
        <v>129</v>
      </c>
    </row>
    <row r="3" spans="1:3" ht="17">
      <c r="A3" s="13" t="s">
        <v>139</v>
      </c>
      <c r="B3" s="12" t="s">
        <v>140</v>
      </c>
      <c r="C3" s="12" t="s">
        <v>141</v>
      </c>
    </row>
    <row r="4" spans="1:3" ht="17">
      <c r="A4" s="13" t="s">
        <v>142</v>
      </c>
      <c r="B4" s="12" t="s">
        <v>143</v>
      </c>
      <c r="C4" s="12" t="s">
        <v>141</v>
      </c>
    </row>
    <row r="5" spans="1:3" ht="17">
      <c r="A5" s="13" t="s">
        <v>158</v>
      </c>
      <c r="B5" s="12" t="s">
        <v>157</v>
      </c>
      <c r="C5" s="12" t="s">
        <v>141</v>
      </c>
    </row>
    <row r="6" spans="1:3" ht="17">
      <c r="A6" s="13" t="s">
        <v>174</v>
      </c>
      <c r="C6" s="13" t="s">
        <v>175</v>
      </c>
    </row>
    <row r="7" spans="1:3" ht="17">
      <c r="A7" s="13" t="s">
        <v>176</v>
      </c>
      <c r="C7" s="13" t="s">
        <v>177</v>
      </c>
    </row>
    <row r="8" spans="1:3" ht="17">
      <c r="A8" s="13" t="s">
        <v>178</v>
      </c>
      <c r="C8" s="13" t="s">
        <v>175</v>
      </c>
    </row>
    <row r="9" spans="1:3" ht="17">
      <c r="A9" s="13" t="s">
        <v>187</v>
      </c>
      <c r="B9" s="12" t="s">
        <v>188</v>
      </c>
      <c r="C9" s="13" t="s">
        <v>189</v>
      </c>
    </row>
    <row r="10" spans="1:3" ht="17">
      <c r="A10" s="13" t="s">
        <v>191</v>
      </c>
      <c r="C10" s="13" t="s">
        <v>192</v>
      </c>
    </row>
    <row r="11" spans="1:3" ht="17">
      <c r="A11" s="13" t="s">
        <v>204</v>
      </c>
      <c r="B11" s="12" t="s">
        <v>205</v>
      </c>
      <c r="C11" s="12" t="s">
        <v>175</v>
      </c>
    </row>
    <row r="12" spans="1:3" ht="17">
      <c r="A12" s="13" t="s">
        <v>206</v>
      </c>
      <c r="C12" s="12" t="s">
        <v>207</v>
      </c>
    </row>
    <row r="13" spans="1:3" ht="17">
      <c r="A13" s="13" t="s">
        <v>179</v>
      </c>
      <c r="B13" s="12" t="s">
        <v>208</v>
      </c>
      <c r="C13" s="12" t="s">
        <v>209</v>
      </c>
    </row>
    <row r="14" spans="1:3" ht="17">
      <c r="A14" s="13" t="s">
        <v>183</v>
      </c>
      <c r="C14" s="12" t="s">
        <v>210</v>
      </c>
    </row>
    <row r="15" spans="1:3" s="13" customFormat="1" ht="17">
      <c r="A15" s="13" t="s">
        <v>161</v>
      </c>
      <c r="B15" s="12" t="s">
        <v>162</v>
      </c>
      <c r="C15" s="13" t="s">
        <v>17</v>
      </c>
    </row>
    <row r="16" spans="1:3" s="13" customFormat="1">
      <c r="B16" s="12"/>
    </row>
    <row r="17" spans="2:2" s="13" customFormat="1">
      <c r="B17" s="12"/>
    </row>
    <row r="18" spans="2:2" s="13" customFormat="1">
      <c r="B18" s="12"/>
    </row>
    <row r="19" spans="2:2" s="13" customFormat="1">
      <c r="B19" s="12"/>
    </row>
    <row r="20" spans="2:2" s="13" customFormat="1">
      <c r="B20" s="12"/>
    </row>
    <row r="21" spans="2:2" s="13" customFormat="1">
      <c r="B21" s="12"/>
    </row>
    <row r="22" spans="2:2" s="13" customFormat="1">
      <c r="B22" s="12"/>
    </row>
    <row r="23" spans="2:2" s="13" customFormat="1">
      <c r="B23" s="12"/>
    </row>
    <row r="24" spans="2:2" s="13" customFormat="1">
      <c r="B24" s="12"/>
    </row>
    <row r="25" spans="2:2" s="13" customFormat="1">
      <c r="B25" s="12"/>
    </row>
    <row r="26" spans="2:2" s="13" customFormat="1">
      <c r="B26" s="12"/>
    </row>
    <row r="27" spans="2:2" s="13" customFormat="1">
      <c r="B27" s="12"/>
    </row>
    <row r="28" spans="2:2" s="13" customFormat="1">
      <c r="B28" s="12"/>
    </row>
    <row r="29" spans="2:2" s="13" customFormat="1">
      <c r="B29" s="12"/>
    </row>
    <row r="30" spans="2:2" s="13" customFormat="1">
      <c r="B30" s="12"/>
    </row>
    <row r="31" spans="2:2" s="13" customFormat="1">
      <c r="B31" s="12"/>
    </row>
    <row r="32" spans="2:2" s="13" customFormat="1">
      <c r="B32" s="12"/>
    </row>
    <row r="33" spans="2:2" s="13" customFormat="1">
      <c r="B33" s="12"/>
    </row>
    <row r="34" spans="2:2" s="13" customFormat="1">
      <c r="B34" s="12"/>
    </row>
    <row r="35" spans="2:2" s="13" customFormat="1">
      <c r="B35" s="12"/>
    </row>
    <row r="36" spans="2:2" s="13" customFormat="1">
      <c r="B36" s="12"/>
    </row>
    <row r="37" spans="2:2" s="13" customFormat="1">
      <c r="B37" s="12"/>
    </row>
    <row r="38" spans="2:2" s="13" customFormat="1">
      <c r="B38" s="12"/>
    </row>
    <row r="39" spans="2:2" s="13" customFormat="1">
      <c r="B39" s="12"/>
    </row>
    <row r="40" spans="2:2" s="13" customFormat="1">
      <c r="B40" s="12"/>
    </row>
    <row r="41" spans="2:2" s="13" customFormat="1">
      <c r="B41" s="12"/>
    </row>
    <row r="42" spans="2:2" s="13" customFormat="1">
      <c r="B42" s="12"/>
    </row>
    <row r="43" spans="2:2" s="13" customFormat="1">
      <c r="B43" s="12"/>
    </row>
    <row r="44" spans="2:2" s="13" customFormat="1">
      <c r="B44" s="12"/>
    </row>
    <row r="45" spans="2:2" s="13" customFormat="1">
      <c r="B45" s="12"/>
    </row>
    <row r="46" spans="2:2" s="13" customFormat="1">
      <c r="B46" s="12"/>
    </row>
    <row r="47" spans="2:2" s="13" customFormat="1">
      <c r="B47" s="12"/>
    </row>
    <row r="48" spans="2:2" s="13" customFormat="1">
      <c r="B48" s="12"/>
    </row>
    <row r="49" spans="2:2" s="13" customFormat="1">
      <c r="B49" s="12"/>
    </row>
    <row r="50" spans="2:2" s="13" customFormat="1">
      <c r="B50" s="12"/>
    </row>
    <row r="51" spans="2:2" s="13" customFormat="1">
      <c r="B51" s="12"/>
    </row>
    <row r="52" spans="2:2" s="13" customFormat="1">
      <c r="B52" s="12"/>
    </row>
    <row r="53" spans="2:2" s="13" customFormat="1">
      <c r="B53" s="12"/>
    </row>
    <row r="54" spans="2:2" s="13" customFormat="1">
      <c r="B54" s="12"/>
    </row>
    <row r="55" spans="2:2" s="13" customFormat="1">
      <c r="B55" s="12"/>
    </row>
    <row r="56" spans="2:2" s="13" customFormat="1">
      <c r="B56" s="12"/>
    </row>
    <row r="57" spans="2:2" s="13" customFormat="1">
      <c r="B57" s="12"/>
    </row>
    <row r="58" spans="2:2" s="13" customFormat="1">
      <c r="B58" s="12"/>
    </row>
    <row r="59" spans="2:2" s="13" customFormat="1">
      <c r="B59" s="12"/>
    </row>
    <row r="60" spans="2:2" s="13" customFormat="1">
      <c r="B60" s="12"/>
    </row>
    <row r="61" spans="2:2" s="13" customFormat="1">
      <c r="B61" s="12"/>
    </row>
    <row r="62" spans="2:2" s="13" customFormat="1">
      <c r="B62" s="12"/>
    </row>
    <row r="63" spans="2:2" s="13" customFormat="1">
      <c r="B63" s="12"/>
    </row>
    <row r="64" spans="2:2" s="13" customFormat="1">
      <c r="B64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study_features</vt:lpstr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2024-09-25T18:56:38Z</dcterms:modified>
</cp:coreProperties>
</file>