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leach/Desktop/thesis_main/"/>
    </mc:Choice>
  </mc:AlternateContent>
  <xr:revisionPtr revIDLastSave="0" documentId="13_ncr:1_{02038E25-89C5-3049-9B14-B88464EC5C28}" xr6:coauthVersionLast="47" xr6:coauthVersionMax="47" xr10:uidLastSave="{00000000-0000-0000-0000-000000000000}"/>
  <bookViews>
    <workbookView xWindow="0" yWindow="8260" windowWidth="28800" windowHeight="9740" xr2:uid="{25FBA88E-EC9F-C04D-861F-F634C314553C}"/>
  </bookViews>
  <sheets>
    <sheet name="Include" sheetId="1" r:id="rId1"/>
    <sheet name="Exclud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8" i="1" l="1"/>
  <c r="V99" i="1"/>
  <c r="S99" i="1"/>
  <c r="S98" i="1"/>
  <c r="R99" i="1"/>
  <c r="R98" i="1"/>
  <c r="S97" i="1"/>
  <c r="R97" i="1"/>
  <c r="S96" i="1"/>
  <c r="R96" i="1"/>
  <c r="S95" i="1"/>
  <c r="R95" i="1"/>
  <c r="S94" i="1"/>
  <c r="V94" i="1"/>
  <c r="R94" i="1"/>
  <c r="Q91" i="1"/>
  <c r="Q90" i="1"/>
  <c r="S90" i="1"/>
  <c r="V90" i="1" s="1"/>
  <c r="S93" i="1"/>
  <c r="R93" i="1"/>
  <c r="V92" i="1"/>
  <c r="S92" i="1"/>
  <c r="R92" i="1"/>
  <c r="S91" i="1"/>
  <c r="R91" i="1"/>
  <c r="V93" i="1"/>
  <c r="R90" i="1"/>
  <c r="Q131" i="1"/>
  <c r="Q132" i="1"/>
  <c r="Q133" i="1"/>
  <c r="Q134" i="1"/>
  <c r="Q135" i="1"/>
  <c r="Q136" i="1"/>
  <c r="Q137" i="1"/>
  <c r="Q138" i="1"/>
  <c r="Q139" i="1"/>
  <c r="Q130" i="1"/>
  <c r="Q121" i="1"/>
  <c r="Q122" i="1"/>
  <c r="Q123" i="1"/>
  <c r="Q124" i="1"/>
  <c r="Q125" i="1"/>
  <c r="Q126" i="1"/>
  <c r="Q127" i="1"/>
  <c r="Q128" i="1"/>
  <c r="Q129" i="1"/>
  <c r="Q120" i="1"/>
  <c r="Q111" i="1"/>
  <c r="Q112" i="1"/>
  <c r="Q113" i="1"/>
  <c r="Q114" i="1"/>
  <c r="Q115" i="1"/>
  <c r="Q116" i="1"/>
  <c r="Q117" i="1"/>
  <c r="Q118" i="1"/>
  <c r="Q119" i="1"/>
  <c r="Q110" i="1"/>
  <c r="Q101" i="1"/>
  <c r="Q102" i="1"/>
  <c r="Q103" i="1"/>
  <c r="Q104" i="1"/>
  <c r="Q105" i="1"/>
  <c r="Q106" i="1"/>
  <c r="Q107" i="1"/>
  <c r="Q108" i="1"/>
  <c r="Q109" i="1"/>
  <c r="Q10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V97" i="1" l="1"/>
  <c r="V96" i="1"/>
  <c r="V95" i="1"/>
  <c r="X90" i="1"/>
  <c r="V91" i="1"/>
  <c r="S82" i="1" l="1"/>
  <c r="Q82" i="1" s="1"/>
  <c r="R82" i="1"/>
  <c r="R80" i="1"/>
  <c r="V80" i="1" s="1"/>
  <c r="R81" i="1"/>
  <c r="V81" i="1" s="1"/>
  <c r="R79" i="1"/>
  <c r="V79" i="1" s="1"/>
  <c r="Q79" i="1"/>
  <c r="R78" i="1"/>
  <c r="S78" i="1"/>
  <c r="Q78" i="1" s="1"/>
  <c r="S77" i="1"/>
  <c r="Q77" i="1" s="1"/>
  <c r="R77" i="1"/>
  <c r="R5" i="2"/>
  <c r="R4" i="2"/>
  <c r="R3" i="2"/>
  <c r="R2" i="2"/>
  <c r="S71" i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R71" i="1"/>
  <c r="Q71" i="1" s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Q58" i="1" s="1"/>
  <c r="R57" i="1"/>
  <c r="R56" i="1"/>
  <c r="R55" i="1"/>
  <c r="R54" i="1"/>
  <c r="R53" i="1"/>
  <c r="R52" i="1"/>
  <c r="V52" i="1" s="1"/>
  <c r="R51" i="1"/>
  <c r="R50" i="1"/>
  <c r="R49" i="1"/>
  <c r="R48" i="1"/>
  <c r="R47" i="1"/>
  <c r="R46" i="1"/>
  <c r="R45" i="1"/>
  <c r="U44" i="1"/>
  <c r="Q44" i="1"/>
  <c r="R43" i="1"/>
  <c r="V43" i="1" s="1"/>
  <c r="Q43" i="1"/>
  <c r="R42" i="1"/>
  <c r="V42" i="1" s="1"/>
  <c r="Q42" i="1"/>
  <c r="R41" i="1"/>
  <c r="V41" i="1" s="1"/>
  <c r="Q41" i="1"/>
  <c r="R40" i="1"/>
  <c r="V40" i="1" s="1"/>
  <c r="R39" i="1"/>
  <c r="V39" i="1" s="1"/>
  <c r="R38" i="1"/>
  <c r="V38" i="1" s="1"/>
  <c r="Q39" i="1"/>
  <c r="Q40" i="1"/>
  <c r="Q38" i="1"/>
  <c r="V60" i="1" l="1"/>
  <c r="V77" i="1"/>
  <c r="V78" i="1"/>
  <c r="V82" i="1"/>
  <c r="V66" i="1"/>
  <c r="V68" i="1"/>
  <c r="V45" i="1"/>
  <c r="V53" i="1"/>
  <c r="V61" i="1"/>
  <c r="V69" i="1"/>
  <c r="V46" i="1"/>
  <c r="V54" i="1"/>
  <c r="V62" i="1"/>
  <c r="V70" i="1"/>
  <c r="V47" i="1"/>
  <c r="V55" i="1"/>
  <c r="V63" i="1"/>
  <c r="V58" i="1"/>
  <c r="V50" i="1"/>
  <c r="V48" i="1"/>
  <c r="V56" i="1"/>
  <c r="V64" i="1"/>
  <c r="V49" i="1"/>
  <c r="V57" i="1"/>
  <c r="V65" i="1"/>
  <c r="V67" i="1"/>
  <c r="V59" i="1"/>
  <c r="V51" i="1"/>
  <c r="V71" i="1"/>
  <c r="Q37" i="1" l="1"/>
  <c r="Q36" i="1"/>
  <c r="Q35" i="1"/>
  <c r="R32" i="1"/>
  <c r="R31" i="1"/>
  <c r="R30" i="1"/>
  <c r="R29" i="1"/>
  <c r="R28" i="1"/>
  <c r="R27" i="1"/>
  <c r="R26" i="1"/>
  <c r="S25" i="1"/>
  <c r="R25" i="1"/>
  <c r="Q25" i="1" s="1"/>
  <c r="S24" i="1"/>
  <c r="Q24" i="1" s="1"/>
  <c r="R24" i="1"/>
  <c r="R23" i="1"/>
  <c r="V23" i="1" s="1"/>
  <c r="Q23" i="1"/>
  <c r="Q22" i="1"/>
  <c r="S22" i="1"/>
  <c r="S21" i="1"/>
  <c r="S20" i="1"/>
  <c r="S14" i="1"/>
  <c r="V14" i="1" s="1"/>
  <c r="S15" i="1"/>
  <c r="V15" i="1" s="1"/>
  <c r="S16" i="1"/>
  <c r="Q16" i="1" s="1"/>
  <c r="S17" i="1"/>
  <c r="V17" i="1" s="1"/>
  <c r="S18" i="1"/>
  <c r="V18" i="1" s="1"/>
  <c r="S19" i="1"/>
  <c r="V19" i="1" s="1"/>
  <c r="S13" i="1"/>
  <c r="Q13" i="1" s="1"/>
  <c r="R13" i="1"/>
  <c r="S11" i="1"/>
  <c r="S12" i="1"/>
  <c r="S10" i="1"/>
  <c r="Q12" i="1"/>
  <c r="Q11" i="1"/>
  <c r="Q10" i="1"/>
  <c r="S8" i="1"/>
  <c r="Q8" i="1"/>
  <c r="Q9" i="1"/>
  <c r="U5" i="1"/>
  <c r="S5" i="1"/>
  <c r="Q5" i="1" s="1"/>
  <c r="R5" i="1"/>
  <c r="S2" i="1"/>
  <c r="Q2" i="1" s="1"/>
  <c r="U4" i="1"/>
  <c r="S4" i="1"/>
  <c r="Q4" i="1" s="1"/>
  <c r="R4" i="1"/>
  <c r="U3" i="1"/>
  <c r="S3" i="1"/>
  <c r="Q3" i="1" s="1"/>
  <c r="R3" i="1"/>
  <c r="V24" i="1" l="1"/>
  <c r="S28" i="1"/>
  <c r="V28" i="1" s="1"/>
  <c r="S26" i="1"/>
  <c r="V26" i="1" s="1"/>
  <c r="S29" i="1"/>
  <c r="V29" i="1" s="1"/>
  <c r="S27" i="1"/>
  <c r="V27" i="1" s="1"/>
  <c r="S30" i="1"/>
  <c r="V30" i="1" s="1"/>
  <c r="S31" i="1"/>
  <c r="V31" i="1" s="1"/>
  <c r="S32" i="1"/>
  <c r="V32" i="1" s="1"/>
  <c r="V25" i="1"/>
  <c r="Q17" i="1"/>
  <c r="Q14" i="1"/>
  <c r="V16" i="1"/>
  <c r="Q15" i="1"/>
  <c r="Q18" i="1"/>
  <c r="Q19" i="1"/>
  <c r="V13" i="1"/>
  <c r="V3" i="1"/>
  <c r="V4" i="1"/>
  <c r="V2" i="1"/>
  <c r="U2" i="1"/>
  <c r="R8" i="1"/>
  <c r="V8" i="1" s="1"/>
  <c r="R7" i="1"/>
  <c r="S7" i="1" s="1"/>
  <c r="V7" i="1" s="1"/>
  <c r="R6" i="1"/>
  <c r="S6" i="1" s="1"/>
  <c r="V6" i="1" s="1"/>
  <c r="V5" i="1" l="1"/>
</calcChain>
</file>

<file path=xl/sharedStrings.xml><?xml version="1.0" encoding="utf-8"?>
<sst xmlns="http://schemas.openxmlformats.org/spreadsheetml/2006/main" count="1797" uniqueCount="237">
  <si>
    <t>file_name</t>
  </si>
  <si>
    <t>DOI</t>
  </si>
  <si>
    <t>research_theme</t>
  </si>
  <si>
    <t>RS_devices</t>
  </si>
  <si>
    <t>ancillary</t>
  </si>
  <si>
    <t xml:space="preserve">RS_device_specifics </t>
  </si>
  <si>
    <t xml:space="preserve">model_as_named </t>
  </si>
  <si>
    <t>model_group</t>
  </si>
  <si>
    <t>test_trainng_method</t>
  </si>
  <si>
    <t xml:space="preserve">bands </t>
  </si>
  <si>
    <t>RS_spectral_bands_no</t>
  </si>
  <si>
    <t>RS_spatital_resolution_m</t>
  </si>
  <si>
    <t>RS_resultion_given</t>
  </si>
  <si>
    <t>number_classes</t>
  </si>
  <si>
    <t>fraction_majority_class</t>
  </si>
  <si>
    <t>confusion_matrix diagonal</t>
  </si>
  <si>
    <t xml:space="preserve">Confusion_matrix </t>
  </si>
  <si>
    <t>landcover_2</t>
  </si>
  <si>
    <t>10.1016/j.ejrs.2023.05.003</t>
  </si>
  <si>
    <t xml:space="preserve">urban land use </t>
  </si>
  <si>
    <t>Sentinel 2</t>
  </si>
  <si>
    <t>RF</t>
  </si>
  <si>
    <t>B1; B2; B3; B4; B5; B6; B7; B8; B8A; B9; B10; B11; B12</t>
  </si>
  <si>
    <t>NA</t>
  </si>
  <si>
    <t>bio_1</t>
  </si>
  <si>
    <t>10.3390/rs13071231</t>
  </si>
  <si>
    <t>forest plantation species identification</t>
  </si>
  <si>
    <t>satellite</t>
  </si>
  <si>
    <t>Sentinel-2  Multi-Spectral Instrument (MSI)</t>
  </si>
  <si>
    <t>B2; B3; B4; B6; B7; B8; B8A; B11; B12</t>
  </si>
  <si>
    <t>solor_1</t>
  </si>
  <si>
    <t>10.1016/j.egyr.2022.03.039</t>
  </si>
  <si>
    <t xml:space="preserve"> photovoltaic power </t>
  </si>
  <si>
    <t>Red, Nir, Swir1, Swir2</t>
  </si>
  <si>
    <t>crop_1</t>
  </si>
  <si>
    <t>10.1016/j.procs.2021.12.201</t>
  </si>
  <si>
    <t>Landsat-8</t>
  </si>
  <si>
    <t>Random Forest</t>
  </si>
  <si>
    <t>aerosol, blue, green, red, NIR, SWIR1, and SWIR2</t>
  </si>
  <si>
    <t>agriculture</t>
  </si>
  <si>
    <t xml:space="preserve">location </t>
  </si>
  <si>
    <t>Indices</t>
  </si>
  <si>
    <t xml:space="preserve">Indonesia </t>
  </si>
  <si>
    <t xml:space="preserve">Study aim </t>
  </si>
  <si>
    <t xml:space="preserve">predicting stage of crop growth </t>
  </si>
  <si>
    <t xml:space="preserve">china </t>
  </si>
  <si>
    <t>Italy</t>
  </si>
  <si>
    <t>totals(objects_area_validation points_pixels)</t>
  </si>
  <si>
    <t xml:space="preserve">OA_reported </t>
  </si>
  <si>
    <t>OA_calculated</t>
  </si>
  <si>
    <t>SE_reported</t>
  </si>
  <si>
    <t>Landsat-5 Thematic Mapper (TM), Landsat-7 Enhanced Thematic (ETM+)</t>
  </si>
  <si>
    <t xml:space="preserve">Landsat-7 Enhanced Thematic (ETM+), and Landsat-8 Operational Land Imager (OLI) </t>
  </si>
  <si>
    <t xml:space="preserve">segmentation </t>
  </si>
  <si>
    <t>PV power stations mapping by combining image segmentation and object-based classification (ISOC) techniques</t>
  </si>
  <si>
    <t>types of tree: EUNIS II level classification. T1: broadleaved deciduous forest habitat-type, T2: broadleaved evergreen forest habitat-type, T3: needleleaved forest habitat-type</t>
  </si>
  <si>
    <t xml:space="preserve">types of tree:broadleaved deciduous forest habitat-type EUNIS III level classification </t>
  </si>
  <si>
    <t xml:space="preserve">types of tree: broadleaved evergreen forest habitat type EUNIS III level classification </t>
  </si>
  <si>
    <t xml:space="preserve">types of tree:needleleaved forest habitat type EUNIS III level classification </t>
  </si>
  <si>
    <t xml:space="preserve">predicting stage of crop growth: with oversampling technique </t>
  </si>
  <si>
    <t>crop_6</t>
  </si>
  <si>
    <t>10.1016/j.rsase.2020.100287</t>
  </si>
  <si>
    <t xml:space="preserve">agrocluture </t>
  </si>
  <si>
    <t>Landsat 8</t>
  </si>
  <si>
    <t>SVM</t>
  </si>
  <si>
    <t>B1, B2, B3, B4, B5, B6, B7</t>
  </si>
  <si>
    <t>DT</t>
  </si>
  <si>
    <t>CART</t>
  </si>
  <si>
    <t>Malaysia</t>
  </si>
  <si>
    <t>this study focuses on producing oil palm land cover map</t>
  </si>
  <si>
    <t>To discuss</t>
  </si>
  <si>
    <t>A total of 70% from the whole created samples (4307 points) were used to classify the Landsat images and the remaining 30% of the samples (1846 points) were used to validate and assess the accuracy of the algorithms used.</t>
  </si>
  <si>
    <t>forest_1</t>
  </si>
  <si>
    <t>10.1016/j.rsase.2023.100924</t>
  </si>
  <si>
    <t>X-band</t>
  </si>
  <si>
    <t>India</t>
  </si>
  <si>
    <t>TerraSAR-X</t>
  </si>
  <si>
    <t xml:space="preserve"> identification/classification of tree plantation species</t>
  </si>
  <si>
    <t>NN</t>
  </si>
  <si>
    <t>Kuwait</t>
  </si>
  <si>
    <t xml:space="preserve"> land use maps : cover change detection and urban sprawl prediction </t>
  </si>
  <si>
    <t>landcover_3</t>
  </si>
  <si>
    <t>10.3390/rs11050601</t>
  </si>
  <si>
    <t>B2; B3; B4; B5; B6; B7; B8</t>
  </si>
  <si>
    <t>Iran</t>
  </si>
  <si>
    <t>Land Use Land Cover map</t>
  </si>
  <si>
    <t xml:space="preserve">The fraction of m.class is based on area not pixels </t>
  </si>
  <si>
    <t>landcover_5</t>
  </si>
  <si>
    <t>10.1080/17538947.2022.2130461</t>
  </si>
  <si>
    <t>landuse</t>
  </si>
  <si>
    <t>LCCS Level 3 classification/ Random Forest</t>
  </si>
  <si>
    <t>B1; B2; B3; B4; B5; B6; B7; B8</t>
  </si>
  <si>
    <t>Australia</t>
  </si>
  <si>
    <t xml:space="preserve">landuse map types of vegitation, bare surfaces and waterbodies </t>
  </si>
  <si>
    <t>landcover_6</t>
  </si>
  <si>
    <t>10.3390/rs13091666</t>
  </si>
  <si>
    <t>Sentinel-1</t>
  </si>
  <si>
    <t>SAR: C-band:VV
and VH polarizations</t>
  </si>
  <si>
    <t>Xgboost</t>
  </si>
  <si>
    <t xml:space="preserve"> South Africa</t>
  </si>
  <si>
    <t xml:space="preserve">The SVM has an overall accuracy of 97.1%, cross-validation score value of 0.89 +/−0,05: so they are reporting the confusion matrix for the trainning set not the test set </t>
  </si>
  <si>
    <t>0.96 +/−0.02</t>
  </si>
  <si>
    <t>Mapping and Area Estimate for Smallholder Maize Farms</t>
  </si>
  <si>
    <t>urban_6</t>
  </si>
  <si>
    <t>10.1016/j.compenvurbsys.2018.01.004</t>
  </si>
  <si>
    <t>Afghanistan</t>
  </si>
  <si>
    <t xml:space="preserve">Identifying residential neighbourhood types from settlement points </t>
  </si>
  <si>
    <t xml:space="preserve">different location with the same model </t>
  </si>
  <si>
    <t>urban_3</t>
  </si>
  <si>
    <t>10.3390/rs14051226</t>
  </si>
  <si>
    <t xml:space="preserve"> GeoEye-1 + Landsat imagery for TM, ETM+, and OLI</t>
  </si>
  <si>
    <t>Sustainable Development Goal 11.1.1</t>
  </si>
  <si>
    <t xml:space="preserve"> GeoEye-1 sensor</t>
  </si>
  <si>
    <t>Saudi Arabia</t>
  </si>
  <si>
    <t xml:space="preserve"> Informal Settlement Identification</t>
  </si>
  <si>
    <t>crop_2</t>
  </si>
  <si>
    <t>10.1016/j.ifacol.2019.12.511</t>
  </si>
  <si>
    <t>MPL</t>
  </si>
  <si>
    <t>KNN</t>
  </si>
  <si>
    <t>SVC</t>
  </si>
  <si>
    <t>USA</t>
  </si>
  <si>
    <t>fraction is guess</t>
  </si>
  <si>
    <t xml:space="preserve">Landsat 5; Landsat 7; Landsat 8 </t>
  </si>
  <si>
    <t xml:space="preserve">Prediction of Cover Crop Adoption </t>
  </si>
  <si>
    <t>forest_4</t>
  </si>
  <si>
    <t>10.3390/su142416687</t>
  </si>
  <si>
    <t>Ghana</t>
  </si>
  <si>
    <t>Quantifying Mangrove Extent</t>
  </si>
  <si>
    <t>B1;B2;B3;B4;B5;B6;B7</t>
  </si>
  <si>
    <t>B1;B2;B3;B4;B5;B6;B7;+</t>
  </si>
  <si>
    <t>ALOS PALSAR-2</t>
  </si>
  <si>
    <t>Landsat 7</t>
  </si>
  <si>
    <t>Landsat 7; ALOS PALSAR-2</t>
  </si>
  <si>
    <t>Landsat 8; Sentinel-1</t>
  </si>
  <si>
    <t>SAR: C-Band</t>
  </si>
  <si>
    <t>SAR:  L-Band</t>
  </si>
  <si>
    <t>B1;B2;B3;B4;B5;B6;B7;NIR</t>
  </si>
  <si>
    <t>B1;B2;B3;B4;B5;B6;B7;NIR;SAR: L-Band</t>
  </si>
  <si>
    <t>B1;B2;B3;B4;B5;B6;B7;NIR; SAR: C-Band</t>
  </si>
  <si>
    <t xml:space="preserve">They discuss a training and test set but all the results are based on training set </t>
  </si>
  <si>
    <t>wetland_1</t>
  </si>
  <si>
    <t>10.1016/j.rse.2023.113793</t>
  </si>
  <si>
    <t>East Asia</t>
  </si>
  <si>
    <t>Sentinel-1; Sentinel-2</t>
  </si>
  <si>
    <t xml:space="preserve">biodiversity: wetland mapping </t>
  </si>
  <si>
    <t>biodiversity:forest plantation species identification</t>
  </si>
  <si>
    <t>biodiversity:forest</t>
  </si>
  <si>
    <t xml:space="preserve">wetland maping </t>
  </si>
  <si>
    <t>detection of Brick Kilns for slavery prediction</t>
  </si>
  <si>
    <t>10.1109/JSTARS.2020.3001980</t>
  </si>
  <si>
    <t>urban_4</t>
  </si>
  <si>
    <t>kiln detection: proxy for slavery</t>
  </si>
  <si>
    <t>GeoEye-1;WorldView-2;WorldView-3;QuickBird;Pleiades;RapidEye;EROS</t>
  </si>
  <si>
    <t>Pakistan</t>
  </si>
  <si>
    <t>Kiln-Net (Two Stage YOLOv3)</t>
  </si>
  <si>
    <t>Two Stage SSD</t>
  </si>
  <si>
    <t>Two Stage Faster R-CNN</t>
  </si>
  <si>
    <t>YOLOv3</t>
  </si>
  <si>
    <t>SSD</t>
  </si>
  <si>
    <t>Faster R-CNN</t>
  </si>
  <si>
    <t>Inception-v3</t>
  </si>
  <si>
    <t>Inception-ResNet-v2</t>
  </si>
  <si>
    <t>ResNet-152</t>
  </si>
  <si>
    <t xml:space="preserve">Sum of TN+FP changes </t>
  </si>
  <si>
    <t>10.3390/agronomy13010165</t>
  </si>
  <si>
    <t>soil_1</t>
  </si>
  <si>
    <t>Soil Suitability</t>
  </si>
  <si>
    <t xml:space="preserve"> soil-suitability maps (SSM)</t>
  </si>
  <si>
    <t>Morocco</t>
  </si>
  <si>
    <t>Sentinel-2</t>
  </si>
  <si>
    <t>XgbTree</t>
  </si>
  <si>
    <t>Artificial Neural Network (ANN) model, the Multi-Layer Perceptron (MLP)</t>
  </si>
  <si>
    <t>10.1016/j.scitotenv.2020.139197</t>
  </si>
  <si>
    <t>forest_5</t>
  </si>
  <si>
    <t>deforestation</t>
  </si>
  <si>
    <t>Landsat 8; Landsat 5</t>
  </si>
  <si>
    <t>B1; B2; B3; B4; B5; B6; B7; B8; B9; B10; B11</t>
  </si>
  <si>
    <t>Overall accuracy is given for the map making model which I don't think uses ML. No overall accucary for the ML models, and no confusion matrix. Maybe possible to make one from total areas but not sure</t>
  </si>
  <si>
    <t>10.1016/j.isprsjprs.2023.03.017</t>
  </si>
  <si>
    <t>forest_3</t>
  </si>
  <si>
    <t xml:space="preserve">deforestation </t>
  </si>
  <si>
    <t xml:space="preserve">Sentinel-1; Sentinel-2 </t>
  </si>
  <si>
    <t>SAR</t>
  </si>
  <si>
    <t>DL (U-Net 3D)</t>
  </si>
  <si>
    <t>Mexico</t>
  </si>
  <si>
    <t>B2;B3;B4;B5</t>
  </si>
  <si>
    <t xml:space="preserve">Sentinel-2 </t>
  </si>
  <si>
    <t>B2;B3;B4;B5;SAR</t>
  </si>
  <si>
    <t>map accuracy assessment using the predictions</t>
  </si>
  <si>
    <t>crop_5</t>
  </si>
  <si>
    <t>10.1016/j.jia.2022.10.008</t>
  </si>
  <si>
    <t xml:space="preserve">No Machine learning model </t>
  </si>
  <si>
    <t>crop_4</t>
  </si>
  <si>
    <t>10.1016/j.jag.2020.102176</t>
  </si>
  <si>
    <t>10.1016/j.iswcr.2023.11.004</t>
  </si>
  <si>
    <t xml:space="preserve">erosion_1 </t>
  </si>
  <si>
    <t xml:space="preserve">erosion </t>
  </si>
  <si>
    <t xml:space="preserve">monitoring soil erosion </t>
  </si>
  <si>
    <t xml:space="preserve">China </t>
  </si>
  <si>
    <t>aerial photographic images</t>
  </si>
  <si>
    <t>UltraCam Eagle camera</t>
  </si>
  <si>
    <t>FUSION-CEN</t>
  </si>
  <si>
    <t>FUSION-AVG</t>
  </si>
  <si>
    <t>FUSION-GAT</t>
  </si>
  <si>
    <t>SINGLE-DOM(SegFormer)</t>
  </si>
  <si>
    <t>SINGLE-DOM(RefineNet)</t>
  </si>
  <si>
    <t>SINGLE-DOM(Deeplabv3)</t>
  </si>
  <si>
    <t>SINGLE-Slope(RefineNet)</t>
  </si>
  <si>
    <t>The methods with “FUSION” in their names include segmenta- tion methods that perform multimodal fusion. FUSION-GAT is based on the gated multimodal unit model (Arevalo et al., 2017), whereas FUSION-AVG learns DOM and DSM (slope) modalities separately and then fuses the results based on the classification probabilities of the two modalities. FUSION-CEN is a proposed fusion method based on the channel exchanging network.</t>
  </si>
  <si>
    <t xml:space="preserve">denotes false predictions for negative samples. In the experiments, accuracy is the proportion of correctly predicted pixels to all pixels. </t>
  </si>
  <si>
    <t>10.1016/j.jag.2022.103100</t>
  </si>
  <si>
    <t>aquaculture</t>
  </si>
  <si>
    <t>random forest and hierarchical decision tree algorithms</t>
  </si>
  <si>
    <t xml:space="preserve">Random Forest </t>
  </si>
  <si>
    <t>landcover_1</t>
  </si>
  <si>
    <t>10.1080/15481603.2022.2115589</t>
  </si>
  <si>
    <t xml:space="preserve">satellite </t>
  </si>
  <si>
    <t>IKONOS</t>
  </si>
  <si>
    <t>LeNet</t>
  </si>
  <si>
    <t xml:space="preserve">Red; Green; Blue; NIR; Panchromatic  </t>
  </si>
  <si>
    <t>ResNet</t>
  </si>
  <si>
    <t>FCN</t>
  </si>
  <si>
    <t>SegNet</t>
  </si>
  <si>
    <t>MSNN</t>
  </si>
  <si>
    <t>WCRN</t>
  </si>
  <si>
    <t>RNN with LSTM</t>
  </si>
  <si>
    <t>RNN with GRU</t>
  </si>
  <si>
    <t>DRRNN with LSTM</t>
  </si>
  <si>
    <t>DRRNN with GRU</t>
  </si>
  <si>
    <t>ROSIS</t>
  </si>
  <si>
    <t>hyperspectral</t>
  </si>
  <si>
    <t>Gaofen-2</t>
  </si>
  <si>
    <t>Red; Green; Blue; NIR</t>
  </si>
  <si>
    <t xml:space="preserve">WorldView-3 </t>
  </si>
  <si>
    <t>Red; Green; Blue</t>
  </si>
  <si>
    <t>WorldView-3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</si>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</sst>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quotePrefix="1" applyNumberFormat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3" borderId="0" xfId="0" applyFill="1" applyAlignment="1">
      <alignment wrapText="1"/>
    </xf>
    <xf numFmtId="0" fontId="0" fillId="3" borderId="0" xfId="0" applyFill="1"/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6D50-4684-D141-BBDF-37C3652D339E}">
  <dimension ref="A1:Z139"/>
  <sheetViews>
    <sheetView tabSelected="1" topLeftCell="F1" zoomScale="76" zoomScaleNormal="76" workbookViewId="0">
      <pane ySplit="1" topLeftCell="A92" activePane="bottomLeft" state="frozen"/>
      <selection pane="bottomLeft" activeCell="V97" sqref="V97:V99"/>
    </sheetView>
  </sheetViews>
  <sheetFormatPr baseColWidth="10" defaultColWidth="15.83203125" defaultRowHeight="16" x14ac:dyDescent="0.2"/>
  <cols>
    <col min="2" max="2" width="8.6640625" style="16" customWidth="1"/>
    <col min="3" max="3" width="26.5" customWidth="1"/>
    <col min="4" max="4" width="13.5" customWidth="1"/>
    <col min="5" max="5" width="24" customWidth="1"/>
    <col min="7" max="7" width="19.1640625" customWidth="1"/>
    <col min="8" max="8" width="22.5" customWidth="1"/>
    <col min="11" max="11" width="18.5" customWidth="1"/>
    <col min="13" max="13" width="15.83203125" style="7"/>
    <col min="24" max="24" width="63" customWidth="1"/>
    <col min="25" max="25" width="23.5" customWidth="1"/>
  </cols>
  <sheetData>
    <row r="1" spans="1:26" s="1" customFormat="1" ht="34" x14ac:dyDescent="0.2">
      <c r="A1" s="1" t="s">
        <v>0</v>
      </c>
      <c r="B1" s="15" t="s">
        <v>1</v>
      </c>
      <c r="C1" s="1" t="s">
        <v>2</v>
      </c>
      <c r="D1" s="1" t="s">
        <v>40</v>
      </c>
      <c r="E1" s="1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" t="s">
        <v>53</v>
      </c>
      <c r="K1" s="1" t="s">
        <v>9</v>
      </c>
      <c r="L1" s="1" t="s">
        <v>10</v>
      </c>
      <c r="M1" s="4" t="s">
        <v>41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236</v>
      </c>
      <c r="T1" s="1" t="s">
        <v>48</v>
      </c>
      <c r="U1" s="1" t="s">
        <v>50</v>
      </c>
      <c r="V1" s="1" t="s">
        <v>49</v>
      </c>
      <c r="W1" s="1" t="s">
        <v>16</v>
      </c>
      <c r="X1" s="1" t="s">
        <v>43</v>
      </c>
      <c r="Y1" s="12" t="s">
        <v>70</v>
      </c>
    </row>
    <row r="2" spans="1:26" s="3" customFormat="1" ht="51" x14ac:dyDescent="0.2">
      <c r="A2" s="3" t="s">
        <v>24</v>
      </c>
      <c r="B2" s="16" t="s">
        <v>25</v>
      </c>
      <c r="C2" s="3" t="s">
        <v>145</v>
      </c>
      <c r="D2" s="3" t="s">
        <v>46</v>
      </c>
      <c r="E2" s="3" t="s">
        <v>27</v>
      </c>
      <c r="F2" s="3">
        <v>1</v>
      </c>
      <c r="G2" t="s">
        <v>28</v>
      </c>
      <c r="H2" s="3" t="s">
        <v>37</v>
      </c>
      <c r="I2" s="3" t="s">
        <v>21</v>
      </c>
      <c r="J2" s="3">
        <v>0</v>
      </c>
      <c r="K2" s="3" t="s">
        <v>29</v>
      </c>
      <c r="L2" s="3">
        <v>10</v>
      </c>
      <c r="M2" s="5">
        <v>1</v>
      </c>
      <c r="N2" s="3">
        <v>20</v>
      </c>
      <c r="O2" s="3">
        <v>1</v>
      </c>
      <c r="P2" s="3">
        <v>3</v>
      </c>
      <c r="Q2" s="3">
        <f>1153/S2</f>
        <v>0.57022749752720081</v>
      </c>
      <c r="R2" s="3">
        <v>1763</v>
      </c>
      <c r="S2" s="3">
        <f>1153+644+225</f>
        <v>2022</v>
      </c>
      <c r="T2" s="3">
        <v>0.872</v>
      </c>
      <c r="U2" s="3">
        <f>0.75/100</f>
        <v>7.4999999999999997E-3</v>
      </c>
      <c r="V2" s="3">
        <f t="shared" ref="V2:V8" si="0">R2/S2</f>
        <v>0.87190900098911972</v>
      </c>
      <c r="W2" s="3">
        <v>1</v>
      </c>
      <c r="X2" s="3" t="s">
        <v>55</v>
      </c>
      <c r="Y2"/>
    </row>
    <row r="3" spans="1:26" s="3" customFormat="1" ht="34" x14ac:dyDescent="0.2">
      <c r="A3" s="3" t="s">
        <v>24</v>
      </c>
      <c r="B3" s="16" t="s">
        <v>25</v>
      </c>
      <c r="C3" s="3" t="s">
        <v>145</v>
      </c>
      <c r="D3" s="3" t="s">
        <v>46</v>
      </c>
      <c r="E3" s="3" t="s">
        <v>27</v>
      </c>
      <c r="F3" s="3">
        <v>1</v>
      </c>
      <c r="G3" t="s">
        <v>28</v>
      </c>
      <c r="H3" s="3" t="s">
        <v>37</v>
      </c>
      <c r="I3" s="3" t="s">
        <v>21</v>
      </c>
      <c r="J3" s="3">
        <v>0</v>
      </c>
      <c r="K3" s="3" t="s">
        <v>29</v>
      </c>
      <c r="L3" s="3">
        <v>10</v>
      </c>
      <c r="M3" s="5">
        <v>1</v>
      </c>
      <c r="N3" s="3">
        <v>20</v>
      </c>
      <c r="O3" s="3">
        <v>1</v>
      </c>
      <c r="P3" s="3">
        <v>12</v>
      </c>
      <c r="Q3" s="3">
        <f>417/S3</f>
        <v>0.36387434554973824</v>
      </c>
      <c r="R3" s="3">
        <f>36+22+357+17+206+87+9+2+2+5+11+20</f>
        <v>774</v>
      </c>
      <c r="S3" s="3">
        <f>71+40+417+45+281+148+23+6+5+31+47+32</f>
        <v>1146</v>
      </c>
      <c r="T3" s="3">
        <v>0.67600000000000005</v>
      </c>
      <c r="U3" s="3">
        <f>1.5/100</f>
        <v>1.4999999999999999E-2</v>
      </c>
      <c r="V3" s="3">
        <f t="shared" si="0"/>
        <v>0.67539267015706805</v>
      </c>
      <c r="W3" s="3">
        <v>1</v>
      </c>
      <c r="X3" s="3" t="s">
        <v>56</v>
      </c>
      <c r="Y3"/>
    </row>
    <row r="4" spans="1:26" s="3" customFormat="1" ht="34" x14ac:dyDescent="0.2">
      <c r="A4" s="3" t="s">
        <v>24</v>
      </c>
      <c r="B4" s="16" t="s">
        <v>25</v>
      </c>
      <c r="C4" s="3" t="s">
        <v>145</v>
      </c>
      <c r="D4" s="3" t="s">
        <v>46</v>
      </c>
      <c r="E4" s="3" t="s">
        <v>27</v>
      </c>
      <c r="F4" s="3">
        <v>1</v>
      </c>
      <c r="G4" t="s">
        <v>28</v>
      </c>
      <c r="H4" s="3" t="s">
        <v>37</v>
      </c>
      <c r="I4" s="3" t="s">
        <v>21</v>
      </c>
      <c r="J4" s="3">
        <v>0</v>
      </c>
      <c r="K4" s="3" t="s">
        <v>29</v>
      </c>
      <c r="L4" s="3">
        <v>10</v>
      </c>
      <c r="M4" s="5">
        <v>1</v>
      </c>
      <c r="N4" s="3">
        <v>20</v>
      </c>
      <c r="O4" s="3">
        <v>1</v>
      </c>
      <c r="P4" s="3">
        <v>12</v>
      </c>
      <c r="Q4" s="3">
        <f>571/S4</f>
        <v>0.88664596273291929</v>
      </c>
      <c r="R4" s="3">
        <f>551+5+29+4</f>
        <v>589</v>
      </c>
      <c r="S4" s="3">
        <f>571+17+48+8</f>
        <v>644</v>
      </c>
      <c r="T4" s="3">
        <v>0.91500000000000004</v>
      </c>
      <c r="U4" s="3">
        <f>1.12/100</f>
        <v>1.1200000000000002E-2</v>
      </c>
      <c r="V4" s="3">
        <f t="shared" si="0"/>
        <v>0.9145962732919255</v>
      </c>
      <c r="W4" s="3">
        <v>1</v>
      </c>
      <c r="X4" s="3" t="s">
        <v>57</v>
      </c>
      <c r="Y4"/>
    </row>
    <row r="5" spans="1:26" s="3" customFormat="1" ht="34" x14ac:dyDescent="0.2">
      <c r="A5" s="3" t="s">
        <v>24</v>
      </c>
      <c r="B5" s="16" t="s">
        <v>25</v>
      </c>
      <c r="C5" s="3" t="s">
        <v>145</v>
      </c>
      <c r="D5" s="3" t="s">
        <v>46</v>
      </c>
      <c r="E5" s="3" t="s">
        <v>27</v>
      </c>
      <c r="F5" s="3">
        <v>1</v>
      </c>
      <c r="G5" t="s">
        <v>28</v>
      </c>
      <c r="H5" s="3" t="s">
        <v>37</v>
      </c>
      <c r="I5" s="3" t="s">
        <v>21</v>
      </c>
      <c r="J5" s="3">
        <v>0</v>
      </c>
      <c r="K5" s="3" t="s">
        <v>29</v>
      </c>
      <c r="L5" s="3">
        <v>10</v>
      </c>
      <c r="M5" s="5">
        <v>1</v>
      </c>
      <c r="N5" s="3">
        <v>20</v>
      </c>
      <c r="O5" s="3">
        <v>1</v>
      </c>
      <c r="P5" s="3">
        <v>12</v>
      </c>
      <c r="Q5" s="3">
        <f>70/S5</f>
        <v>0.21943573667711599</v>
      </c>
      <c r="R5" s="3">
        <f>44+46+21+25+34+10+53+10</f>
        <v>243</v>
      </c>
      <c r="S5" s="3">
        <f>65+70+25+34+45+11+56+13</f>
        <v>319</v>
      </c>
      <c r="T5" s="3">
        <v>0.76200000000000001</v>
      </c>
      <c r="U5" s="3">
        <f>5.86/100</f>
        <v>5.8600000000000006E-2</v>
      </c>
      <c r="V5" s="3">
        <f t="shared" si="0"/>
        <v>0.76175548589341691</v>
      </c>
      <c r="W5" s="3">
        <v>1</v>
      </c>
      <c r="X5" s="3" t="s">
        <v>58</v>
      </c>
      <c r="Y5"/>
    </row>
    <row r="6" spans="1:26" s="3" customFormat="1" ht="34" x14ac:dyDescent="0.2">
      <c r="A6" s="3" t="s">
        <v>30</v>
      </c>
      <c r="B6" s="16" t="s">
        <v>31</v>
      </c>
      <c r="C6" s="3" t="s">
        <v>32</v>
      </c>
      <c r="D6" s="3" t="s">
        <v>45</v>
      </c>
      <c r="E6" s="3" t="s">
        <v>27</v>
      </c>
      <c r="F6" s="3">
        <v>0</v>
      </c>
      <c r="G6" t="s">
        <v>51</v>
      </c>
      <c r="H6" s="3" t="s">
        <v>37</v>
      </c>
      <c r="I6" s="3" t="s">
        <v>21</v>
      </c>
      <c r="J6" s="3">
        <v>1</v>
      </c>
      <c r="K6" s="3" t="s">
        <v>33</v>
      </c>
      <c r="L6" s="3">
        <v>7</v>
      </c>
      <c r="M6" s="6">
        <v>1</v>
      </c>
      <c r="N6" s="3">
        <v>30</v>
      </c>
      <c r="O6" s="3">
        <v>1</v>
      </c>
      <c r="P6" s="3">
        <v>2</v>
      </c>
      <c r="Q6" s="3">
        <v>0.5</v>
      </c>
      <c r="R6" s="3">
        <f>200+171</f>
        <v>371</v>
      </c>
      <c r="S6" s="3">
        <f>R6+29</f>
        <v>400</v>
      </c>
      <c r="T6" s="3">
        <v>0.92800000000000005</v>
      </c>
      <c r="U6" s="3" t="s">
        <v>23</v>
      </c>
      <c r="V6" s="3">
        <f t="shared" si="0"/>
        <v>0.92749999999999999</v>
      </c>
      <c r="W6" s="3">
        <v>1</v>
      </c>
      <c r="X6" s="3" t="s">
        <v>54</v>
      </c>
      <c r="Y6"/>
    </row>
    <row r="7" spans="1:26" s="3" customFormat="1" ht="34" x14ac:dyDescent="0.2">
      <c r="A7" s="3" t="s">
        <v>30</v>
      </c>
      <c r="B7" s="16" t="s">
        <v>31</v>
      </c>
      <c r="C7" s="3" t="s">
        <v>32</v>
      </c>
      <c r="D7" s="3" t="s">
        <v>45</v>
      </c>
      <c r="E7" s="3" t="s">
        <v>27</v>
      </c>
      <c r="F7" s="3">
        <v>0</v>
      </c>
      <c r="G7" t="s">
        <v>52</v>
      </c>
      <c r="H7" s="3" t="s">
        <v>37</v>
      </c>
      <c r="I7" s="3" t="s">
        <v>21</v>
      </c>
      <c r="J7" s="3">
        <v>1</v>
      </c>
      <c r="K7" s="3" t="s">
        <v>33</v>
      </c>
      <c r="L7" s="3">
        <v>7</v>
      </c>
      <c r="M7" s="6">
        <v>1</v>
      </c>
      <c r="N7" s="3">
        <v>30</v>
      </c>
      <c r="O7" s="3">
        <v>1</v>
      </c>
      <c r="P7" s="3">
        <v>2</v>
      </c>
      <c r="Q7" s="3">
        <v>0.5</v>
      </c>
      <c r="R7" s="3">
        <f>200+167</f>
        <v>367</v>
      </c>
      <c r="S7" s="3">
        <f>R7+33</f>
        <v>400</v>
      </c>
      <c r="T7" s="3">
        <v>0.91800000000000004</v>
      </c>
      <c r="U7" s="3" t="s">
        <v>23</v>
      </c>
      <c r="V7" s="3">
        <f t="shared" si="0"/>
        <v>0.91749999999999998</v>
      </c>
      <c r="W7" s="3">
        <v>1</v>
      </c>
      <c r="X7" s="3" t="s">
        <v>54</v>
      </c>
      <c r="Y7"/>
    </row>
    <row r="8" spans="1:26" s="3" customFormat="1" ht="51" x14ac:dyDescent="0.2">
      <c r="A8" s="3" t="s">
        <v>34</v>
      </c>
      <c r="B8" s="16" t="s">
        <v>35</v>
      </c>
      <c r="C8" s="3" t="s">
        <v>39</v>
      </c>
      <c r="D8" s="3" t="s">
        <v>42</v>
      </c>
      <c r="E8" s="3" t="s">
        <v>27</v>
      </c>
      <c r="F8" s="3">
        <v>0</v>
      </c>
      <c r="G8" t="s">
        <v>36</v>
      </c>
      <c r="H8" s="3" t="s">
        <v>37</v>
      </c>
      <c r="I8" s="3" t="s">
        <v>21</v>
      </c>
      <c r="J8" s="8">
        <v>1</v>
      </c>
      <c r="K8" s="3" t="s">
        <v>38</v>
      </c>
      <c r="L8" s="3">
        <v>7</v>
      </c>
      <c r="M8" s="5">
        <v>1</v>
      </c>
      <c r="N8" s="3">
        <v>15</v>
      </c>
      <c r="O8" s="3">
        <v>1</v>
      </c>
      <c r="P8" s="3">
        <v>6</v>
      </c>
      <c r="Q8" s="3">
        <f>69+2+6+4</f>
        <v>81</v>
      </c>
      <c r="R8" s="3">
        <f>41+37+34+69+19+11</f>
        <v>211</v>
      </c>
      <c r="S8" s="3">
        <f>41+4+3+4+9+37+7+1+1+1+34+3+4+6+69+2+2+19+1+11</f>
        <v>259</v>
      </c>
      <c r="T8" s="3">
        <v>0.81459999999999999</v>
      </c>
      <c r="U8" s="3" t="s">
        <v>23</v>
      </c>
      <c r="V8" s="3">
        <f t="shared" si="0"/>
        <v>0.81467181467181471</v>
      </c>
      <c r="W8" s="3">
        <v>1</v>
      </c>
      <c r="X8" s="3" t="s">
        <v>59</v>
      </c>
      <c r="Y8"/>
    </row>
    <row r="9" spans="1:26" s="3" customFormat="1" ht="51" x14ac:dyDescent="0.2">
      <c r="A9" s="3" t="s">
        <v>34</v>
      </c>
      <c r="B9" s="16" t="s">
        <v>35</v>
      </c>
      <c r="C9" s="3" t="s">
        <v>39</v>
      </c>
      <c r="D9" s="3" t="s">
        <v>42</v>
      </c>
      <c r="E9" s="3" t="s">
        <v>27</v>
      </c>
      <c r="F9" s="3">
        <v>0</v>
      </c>
      <c r="G9" t="s">
        <v>36</v>
      </c>
      <c r="H9" s="3" t="s">
        <v>37</v>
      </c>
      <c r="I9" s="3" t="s">
        <v>21</v>
      </c>
      <c r="J9" s="8">
        <v>1</v>
      </c>
      <c r="K9" s="3" t="s">
        <v>38</v>
      </c>
      <c r="L9" s="3">
        <v>7</v>
      </c>
      <c r="M9" s="5">
        <v>1</v>
      </c>
      <c r="N9" s="3">
        <v>15</v>
      </c>
      <c r="O9" s="3">
        <v>1</v>
      </c>
      <c r="P9" s="3">
        <v>6</v>
      </c>
      <c r="Q9" s="3">
        <f>69+2+6+4</f>
        <v>81</v>
      </c>
      <c r="R9" s="3" t="s">
        <v>23</v>
      </c>
      <c r="S9" s="3" t="s">
        <v>23</v>
      </c>
      <c r="T9" s="3">
        <v>0.74309999999999998</v>
      </c>
      <c r="U9" s="3" t="s">
        <v>23</v>
      </c>
      <c r="V9" s="3" t="s">
        <v>23</v>
      </c>
      <c r="W9" s="3">
        <v>0</v>
      </c>
      <c r="X9" s="3" t="s">
        <v>44</v>
      </c>
      <c r="Y9"/>
    </row>
    <row r="10" spans="1:26" s="3" customFormat="1" ht="34" x14ac:dyDescent="0.2">
      <c r="A10" s="3" t="s">
        <v>60</v>
      </c>
      <c r="B10" s="16" t="s">
        <v>61</v>
      </c>
      <c r="C10" s="3" t="s">
        <v>62</v>
      </c>
      <c r="D10" s="3" t="s">
        <v>68</v>
      </c>
      <c r="E10" s="3" t="s">
        <v>27</v>
      </c>
      <c r="F10" s="3">
        <v>0</v>
      </c>
      <c r="G10" t="s">
        <v>63</v>
      </c>
      <c r="H10" s="3" t="s">
        <v>64</v>
      </c>
      <c r="I10" s="3" t="s">
        <v>64</v>
      </c>
      <c r="J10" s="8" t="s">
        <v>23</v>
      </c>
      <c r="K10" s="3" t="s">
        <v>65</v>
      </c>
      <c r="L10" s="3">
        <v>7</v>
      </c>
      <c r="M10" s="3">
        <v>1</v>
      </c>
      <c r="N10" s="3">
        <v>30</v>
      </c>
      <c r="O10" s="3">
        <v>1</v>
      </c>
      <c r="P10" s="3">
        <v>7</v>
      </c>
      <c r="Q10" s="3">
        <f>470/(213+311+126+470+331+ 276 +119)</f>
        <v>0.25460455037919827</v>
      </c>
      <c r="R10" s="3" t="s">
        <v>23</v>
      </c>
      <c r="S10" s="3">
        <f>213+311+126+470+331+ 276+119</f>
        <v>1846</v>
      </c>
      <c r="T10" s="3">
        <v>0.93159999999999998</v>
      </c>
      <c r="U10" s="3" t="s">
        <v>23</v>
      </c>
      <c r="V10" s="3" t="s">
        <v>23</v>
      </c>
      <c r="W10" s="3">
        <v>0</v>
      </c>
      <c r="X10" s="3" t="s">
        <v>69</v>
      </c>
      <c r="Y10" t="s">
        <v>71</v>
      </c>
    </row>
    <row r="11" spans="1:26" s="3" customFormat="1" ht="34" x14ac:dyDescent="0.2">
      <c r="A11" s="3" t="s">
        <v>60</v>
      </c>
      <c r="B11" s="16" t="s">
        <v>61</v>
      </c>
      <c r="C11" s="3" t="s">
        <v>62</v>
      </c>
      <c r="D11" s="3" t="s">
        <v>68</v>
      </c>
      <c r="E11" s="3" t="s">
        <v>27</v>
      </c>
      <c r="F11" s="3">
        <v>0</v>
      </c>
      <c r="G11" t="s">
        <v>63</v>
      </c>
      <c r="H11" s="3" t="s">
        <v>37</v>
      </c>
      <c r="I11" s="3" t="s">
        <v>21</v>
      </c>
      <c r="J11" s="8" t="s">
        <v>23</v>
      </c>
      <c r="K11" s="3" t="s">
        <v>65</v>
      </c>
      <c r="L11" s="3">
        <v>7</v>
      </c>
      <c r="M11" s="3">
        <v>1</v>
      </c>
      <c r="N11" s="3">
        <v>30</v>
      </c>
      <c r="O11" s="3">
        <v>1</v>
      </c>
      <c r="P11" s="3">
        <v>7</v>
      </c>
      <c r="Q11" s="3">
        <f>470/(213+311+126+470+331+ 276 +119)</f>
        <v>0.25460455037919827</v>
      </c>
      <c r="R11" s="3" t="s">
        <v>23</v>
      </c>
      <c r="S11" s="3">
        <f>213+311+126+470+331+ 276+119</f>
        <v>1846</v>
      </c>
      <c r="T11" s="3">
        <v>0.86499999999999999</v>
      </c>
      <c r="U11" s="3" t="s">
        <v>23</v>
      </c>
      <c r="V11" s="3" t="s">
        <v>23</v>
      </c>
      <c r="W11" s="3">
        <v>0</v>
      </c>
      <c r="X11" s="3" t="s">
        <v>69</v>
      </c>
      <c r="Y11"/>
    </row>
    <row r="12" spans="1:26" s="3" customFormat="1" ht="34" x14ac:dyDescent="0.2">
      <c r="A12" s="3" t="s">
        <v>60</v>
      </c>
      <c r="B12" s="16" t="s">
        <v>61</v>
      </c>
      <c r="C12" s="3" t="s">
        <v>62</v>
      </c>
      <c r="D12" s="3" t="s">
        <v>68</v>
      </c>
      <c r="E12" s="3" t="s">
        <v>27</v>
      </c>
      <c r="F12" s="3">
        <v>0</v>
      </c>
      <c r="G12" t="s">
        <v>63</v>
      </c>
      <c r="H12" s="3" t="s">
        <v>67</v>
      </c>
      <c r="I12" s="3" t="s">
        <v>66</v>
      </c>
      <c r="J12" s="8" t="s">
        <v>23</v>
      </c>
      <c r="K12" s="3" t="s">
        <v>65</v>
      </c>
      <c r="L12" s="3">
        <v>7</v>
      </c>
      <c r="M12" s="3">
        <v>1</v>
      </c>
      <c r="N12" s="3">
        <v>30</v>
      </c>
      <c r="O12" s="3">
        <v>1</v>
      </c>
      <c r="P12" s="3">
        <v>7</v>
      </c>
      <c r="Q12" s="3">
        <f>470/(213+311+126+470+331+ 276 +119)</f>
        <v>0.25460455037919827</v>
      </c>
      <c r="R12" s="3" t="s">
        <v>23</v>
      </c>
      <c r="S12" s="3">
        <f>213+311+126+470+331+ 276+119</f>
        <v>1846</v>
      </c>
      <c r="T12" s="3">
        <v>0.80079999999999996</v>
      </c>
      <c r="U12" s="3" t="s">
        <v>23</v>
      </c>
      <c r="V12" s="3" t="s">
        <v>23</v>
      </c>
      <c r="W12" s="3">
        <v>0</v>
      </c>
      <c r="X12" s="3" t="s">
        <v>69</v>
      </c>
      <c r="Y12"/>
    </row>
    <row r="13" spans="1:26" s="3" customFormat="1" ht="34" x14ac:dyDescent="0.2">
      <c r="A13" s="3" t="s">
        <v>72</v>
      </c>
      <c r="B13" s="16" t="s">
        <v>73</v>
      </c>
      <c r="C13" s="3" t="s">
        <v>145</v>
      </c>
      <c r="D13" s="3" t="s">
        <v>75</v>
      </c>
      <c r="E13" s="3" t="s">
        <v>27</v>
      </c>
      <c r="F13" s="3">
        <v>0</v>
      </c>
      <c r="G13" t="s">
        <v>76</v>
      </c>
      <c r="H13" s="3" t="s">
        <v>37</v>
      </c>
      <c r="I13" s="3" t="s">
        <v>21</v>
      </c>
      <c r="J13" s="3">
        <v>0</v>
      </c>
      <c r="K13" s="3" t="s">
        <v>74</v>
      </c>
      <c r="L13" s="3">
        <v>1</v>
      </c>
      <c r="M13" s="3">
        <v>0</v>
      </c>
      <c r="N13" s="3" t="s">
        <v>23</v>
      </c>
      <c r="O13" s="3">
        <v>0</v>
      </c>
      <c r="P13" s="3">
        <v>5</v>
      </c>
      <c r="Q13" s="3">
        <f>16793/S13</f>
        <v>0.28073489585074729</v>
      </c>
      <c r="R13" s="3">
        <f>14159+8128+13061+426+3133</f>
        <v>38907</v>
      </c>
      <c r="S13" s="9">
        <f t="shared" ref="S13:S19" si="1">15746 +15692+ 16872+ 6920+ 4588</f>
        <v>59818</v>
      </c>
      <c r="T13" s="3">
        <v>0.65039999999999998</v>
      </c>
      <c r="U13" s="3" t="s">
        <v>23</v>
      </c>
      <c r="V13" s="3">
        <f t="shared" ref="V13:V19" si="2">R13/S13</f>
        <v>0.65042294961382863</v>
      </c>
      <c r="W13" s="3">
        <v>1</v>
      </c>
      <c r="X13" s="3" t="s">
        <v>77</v>
      </c>
      <c r="Y13"/>
    </row>
    <row r="14" spans="1:26" s="3" customFormat="1" ht="51" x14ac:dyDescent="0.2">
      <c r="A14" s="3" t="s">
        <v>72</v>
      </c>
      <c r="B14" s="16" t="s">
        <v>73</v>
      </c>
      <c r="C14" s="3" t="s">
        <v>145</v>
      </c>
      <c r="D14" s="3" t="s">
        <v>75</v>
      </c>
      <c r="E14" s="3" t="s">
        <v>27</v>
      </c>
      <c r="F14" s="3">
        <v>0</v>
      </c>
      <c r="G14" t="s">
        <v>76</v>
      </c>
      <c r="H14" s="3" t="s">
        <v>37</v>
      </c>
      <c r="I14" s="3" t="s">
        <v>21</v>
      </c>
      <c r="J14" s="3">
        <v>0</v>
      </c>
      <c r="K14" s="3" t="s">
        <v>74</v>
      </c>
      <c r="L14" s="3">
        <v>1</v>
      </c>
      <c r="M14" s="3">
        <v>0</v>
      </c>
      <c r="N14" s="3" t="s">
        <v>23</v>
      </c>
      <c r="O14" s="3">
        <v>0</v>
      </c>
      <c r="P14" s="3">
        <v>5</v>
      </c>
      <c r="Q14" s="3">
        <f>29247/S14</f>
        <v>0.48893309706108529</v>
      </c>
      <c r="R14" s="9">
        <v>42212</v>
      </c>
      <c r="S14" s="9">
        <f t="shared" si="1"/>
        <v>59818</v>
      </c>
      <c r="T14" s="3">
        <v>0.7056</v>
      </c>
      <c r="U14" s="3" t="s">
        <v>23</v>
      </c>
      <c r="V14" s="3">
        <f t="shared" si="2"/>
        <v>0.70567387742819887</v>
      </c>
      <c r="W14" s="3">
        <v>1</v>
      </c>
      <c r="X14" s="3" t="s">
        <v>77</v>
      </c>
      <c r="Y14"/>
      <c r="Z14" s="3" t="s">
        <v>26</v>
      </c>
    </row>
    <row r="15" spans="1:26" s="3" customFormat="1" ht="51" x14ac:dyDescent="0.2">
      <c r="A15" s="3" t="s">
        <v>72</v>
      </c>
      <c r="B15" s="16" t="s">
        <v>73</v>
      </c>
      <c r="C15" s="3" t="s">
        <v>145</v>
      </c>
      <c r="D15" s="3" t="s">
        <v>75</v>
      </c>
      <c r="E15" s="3" t="s">
        <v>27</v>
      </c>
      <c r="F15" s="3">
        <v>0</v>
      </c>
      <c r="G15" t="s">
        <v>76</v>
      </c>
      <c r="H15" s="3" t="s">
        <v>37</v>
      </c>
      <c r="I15" s="3" t="s">
        <v>21</v>
      </c>
      <c r="J15" s="3">
        <v>0</v>
      </c>
      <c r="K15" s="3" t="s">
        <v>74</v>
      </c>
      <c r="L15" s="3">
        <v>1</v>
      </c>
      <c r="M15" s="3">
        <v>0</v>
      </c>
      <c r="N15" s="3" t="s">
        <v>23</v>
      </c>
      <c r="O15" s="3">
        <v>0</v>
      </c>
      <c r="P15" s="3">
        <v>5</v>
      </c>
      <c r="Q15" s="3">
        <f>15846/S15</f>
        <v>0.26490354074024541</v>
      </c>
      <c r="R15" s="3">
        <v>41173</v>
      </c>
      <c r="S15" s="9">
        <f t="shared" si="1"/>
        <v>59818</v>
      </c>
      <c r="T15" s="3">
        <v>0.68830000000000002</v>
      </c>
      <c r="U15" s="3" t="s">
        <v>23</v>
      </c>
      <c r="V15" s="3">
        <f t="shared" si="2"/>
        <v>0.68830452372195661</v>
      </c>
      <c r="W15" s="3">
        <v>1</v>
      </c>
      <c r="X15" s="3" t="s">
        <v>77</v>
      </c>
      <c r="Y15"/>
      <c r="Z15" s="3" t="s">
        <v>26</v>
      </c>
    </row>
    <row r="16" spans="1:26" s="3" customFormat="1" ht="51" x14ac:dyDescent="0.2">
      <c r="A16" s="3" t="s">
        <v>72</v>
      </c>
      <c r="B16" s="16" t="s">
        <v>73</v>
      </c>
      <c r="C16" s="3" t="s">
        <v>145</v>
      </c>
      <c r="D16" s="3" t="s">
        <v>75</v>
      </c>
      <c r="E16" s="3" t="s">
        <v>27</v>
      </c>
      <c r="F16" s="3">
        <v>0</v>
      </c>
      <c r="G16" t="s">
        <v>76</v>
      </c>
      <c r="H16" s="3" t="s">
        <v>37</v>
      </c>
      <c r="I16" s="3" t="s">
        <v>21</v>
      </c>
      <c r="J16" s="3">
        <v>0</v>
      </c>
      <c r="K16" s="3" t="s">
        <v>74</v>
      </c>
      <c r="L16" s="3">
        <v>1</v>
      </c>
      <c r="M16" s="3">
        <v>0</v>
      </c>
      <c r="N16" s="3" t="s">
        <v>23</v>
      </c>
      <c r="O16" s="3">
        <v>0</v>
      </c>
      <c r="P16" s="3">
        <v>5</v>
      </c>
      <c r="Q16" s="3">
        <f>16643/S16</f>
        <v>0.27822728944464875</v>
      </c>
      <c r="R16" s="3">
        <v>41957</v>
      </c>
      <c r="S16" s="9">
        <f t="shared" si="1"/>
        <v>59818</v>
      </c>
      <c r="T16" s="3">
        <v>0.70140000000000002</v>
      </c>
      <c r="U16" s="3" t="s">
        <v>23</v>
      </c>
      <c r="V16" s="3">
        <f t="shared" si="2"/>
        <v>0.70141094653783143</v>
      </c>
      <c r="W16" s="3">
        <v>1</v>
      </c>
      <c r="X16" s="3" t="s">
        <v>77</v>
      </c>
      <c r="Y16"/>
      <c r="Z16" s="3" t="s">
        <v>26</v>
      </c>
    </row>
    <row r="17" spans="1:26" s="3" customFormat="1" ht="51" x14ac:dyDescent="0.2">
      <c r="A17" s="3" t="s">
        <v>72</v>
      </c>
      <c r="B17" s="16" t="s">
        <v>73</v>
      </c>
      <c r="C17" s="3" t="s">
        <v>145</v>
      </c>
      <c r="D17" s="3" t="s">
        <v>75</v>
      </c>
      <c r="E17" s="3" t="s">
        <v>27</v>
      </c>
      <c r="F17" s="3">
        <v>0</v>
      </c>
      <c r="G17" t="s">
        <v>76</v>
      </c>
      <c r="H17" s="3" t="s">
        <v>37</v>
      </c>
      <c r="I17" s="3" t="s">
        <v>21</v>
      </c>
      <c r="J17" s="3">
        <v>0</v>
      </c>
      <c r="K17" s="3" t="s">
        <v>74</v>
      </c>
      <c r="L17" s="3">
        <v>1</v>
      </c>
      <c r="M17" s="3">
        <v>0</v>
      </c>
      <c r="N17" s="3" t="s">
        <v>23</v>
      </c>
      <c r="O17" s="3">
        <v>0</v>
      </c>
      <c r="P17" s="3">
        <v>5</v>
      </c>
      <c r="Q17" s="3">
        <f>16793/S17</f>
        <v>0.28073489585074729</v>
      </c>
      <c r="R17" s="3">
        <v>40261</v>
      </c>
      <c r="S17" s="9">
        <f t="shared" si="1"/>
        <v>59818</v>
      </c>
      <c r="T17" s="3">
        <v>0.67300000000000004</v>
      </c>
      <c r="U17" s="3" t="s">
        <v>23</v>
      </c>
      <c r="V17" s="3">
        <f t="shared" si="2"/>
        <v>0.67305827677287777</v>
      </c>
      <c r="W17" s="3">
        <v>1</v>
      </c>
      <c r="X17" s="3" t="s">
        <v>77</v>
      </c>
      <c r="Y17"/>
      <c r="Z17" s="3" t="s">
        <v>26</v>
      </c>
    </row>
    <row r="18" spans="1:26" s="3" customFormat="1" ht="51" x14ac:dyDescent="0.2">
      <c r="A18" s="3" t="s">
        <v>72</v>
      </c>
      <c r="B18" s="16" t="s">
        <v>73</v>
      </c>
      <c r="C18" s="3" t="s">
        <v>145</v>
      </c>
      <c r="D18" s="3" t="s">
        <v>75</v>
      </c>
      <c r="E18" s="3" t="s">
        <v>27</v>
      </c>
      <c r="F18" s="3">
        <v>0</v>
      </c>
      <c r="G18" t="s">
        <v>76</v>
      </c>
      <c r="H18" s="3" t="s">
        <v>37</v>
      </c>
      <c r="I18" s="3" t="s">
        <v>21</v>
      </c>
      <c r="J18" s="3">
        <v>0</v>
      </c>
      <c r="K18" s="3" t="s">
        <v>74</v>
      </c>
      <c r="L18" s="3">
        <v>1</v>
      </c>
      <c r="M18" s="3">
        <v>0</v>
      </c>
      <c r="N18" s="3" t="s">
        <v>23</v>
      </c>
      <c r="O18" s="3">
        <v>0</v>
      </c>
      <c r="P18" s="3">
        <v>5</v>
      </c>
      <c r="Q18" s="3">
        <f>17830/S18</f>
        <v>0.29807081480490821</v>
      </c>
      <c r="R18" s="3">
        <v>42309</v>
      </c>
      <c r="S18" s="9">
        <f t="shared" si="1"/>
        <v>59818</v>
      </c>
      <c r="T18" s="3">
        <v>0.70720000000000005</v>
      </c>
      <c r="U18" s="3" t="s">
        <v>23</v>
      </c>
      <c r="V18" s="3">
        <f t="shared" si="2"/>
        <v>0.70729546290414258</v>
      </c>
      <c r="W18" s="3">
        <v>1</v>
      </c>
      <c r="X18" s="3" t="s">
        <v>77</v>
      </c>
      <c r="Y18"/>
      <c r="Z18" s="3" t="s">
        <v>26</v>
      </c>
    </row>
    <row r="19" spans="1:26" s="3" customFormat="1" ht="51" x14ac:dyDescent="0.2">
      <c r="A19" s="3" t="s">
        <v>72</v>
      </c>
      <c r="B19" s="16" t="s">
        <v>73</v>
      </c>
      <c r="C19" s="3" t="s">
        <v>145</v>
      </c>
      <c r="D19" s="3" t="s">
        <v>75</v>
      </c>
      <c r="E19" s="3" t="s">
        <v>27</v>
      </c>
      <c r="F19" s="3">
        <v>0</v>
      </c>
      <c r="G19" t="s">
        <v>76</v>
      </c>
      <c r="H19" s="3" t="s">
        <v>37</v>
      </c>
      <c r="I19" s="3" t="s">
        <v>21</v>
      </c>
      <c r="J19" s="3">
        <v>0</v>
      </c>
      <c r="K19" s="3" t="s">
        <v>74</v>
      </c>
      <c r="L19" s="3">
        <v>1</v>
      </c>
      <c r="M19" s="3">
        <v>0</v>
      </c>
      <c r="N19" s="3" t="s">
        <v>23</v>
      </c>
      <c r="O19" s="3">
        <v>0</v>
      </c>
      <c r="P19" s="3">
        <v>5</v>
      </c>
      <c r="Q19" s="3">
        <f xml:space="preserve"> 17554/S19</f>
        <v>0.293456819017687</v>
      </c>
      <c r="R19" s="3">
        <v>41907</v>
      </c>
      <c r="S19" s="9">
        <f t="shared" si="1"/>
        <v>59818</v>
      </c>
      <c r="T19" s="3">
        <v>0.70050000000000001</v>
      </c>
      <c r="U19" s="3" t="s">
        <v>23</v>
      </c>
      <c r="V19" s="3">
        <f t="shared" si="2"/>
        <v>0.70057507773579863</v>
      </c>
      <c r="W19" s="3">
        <v>1</v>
      </c>
      <c r="X19" s="3" t="s">
        <v>77</v>
      </c>
      <c r="Y19"/>
      <c r="Z19" s="3" t="s">
        <v>26</v>
      </c>
    </row>
    <row r="20" spans="1:26" s="3" customFormat="1" ht="51" x14ac:dyDescent="0.2">
      <c r="A20" s="3" t="s">
        <v>17</v>
      </c>
      <c r="B20" s="16" t="s">
        <v>18</v>
      </c>
      <c r="C20" s="3" t="s">
        <v>19</v>
      </c>
      <c r="D20" s="3" t="s">
        <v>79</v>
      </c>
      <c r="E20" s="3" t="s">
        <v>27</v>
      </c>
      <c r="F20" s="3">
        <v>0</v>
      </c>
      <c r="G20" t="s">
        <v>20</v>
      </c>
      <c r="H20" s="3" t="s">
        <v>37</v>
      </c>
      <c r="I20" s="3" t="s">
        <v>21</v>
      </c>
      <c r="J20" s="3">
        <v>1</v>
      </c>
      <c r="K20" s="3" t="s">
        <v>22</v>
      </c>
      <c r="L20" s="3">
        <v>13</v>
      </c>
      <c r="M20" s="3">
        <v>0</v>
      </c>
      <c r="N20" s="3" t="s">
        <v>23</v>
      </c>
      <c r="O20" s="3">
        <v>0</v>
      </c>
      <c r="P20" s="3">
        <v>4</v>
      </c>
      <c r="Q20" s="3">
        <v>0.47</v>
      </c>
      <c r="R20" s="3" t="s">
        <v>23</v>
      </c>
      <c r="S20" s="3">
        <f>8+89+359+406</f>
        <v>862</v>
      </c>
      <c r="T20" s="3">
        <v>0.93599999999999994</v>
      </c>
      <c r="U20" s="3" t="s">
        <v>23</v>
      </c>
      <c r="V20" s="3" t="s">
        <v>23</v>
      </c>
      <c r="W20" s="3" t="s">
        <v>23</v>
      </c>
      <c r="X20" s="3" t="s">
        <v>80</v>
      </c>
      <c r="Y20"/>
    </row>
    <row r="21" spans="1:26" s="3" customFormat="1" ht="51" x14ac:dyDescent="0.2">
      <c r="A21" s="3" t="s">
        <v>17</v>
      </c>
      <c r="B21" s="16" t="s">
        <v>18</v>
      </c>
      <c r="C21" s="3" t="s">
        <v>19</v>
      </c>
      <c r="D21" s="3" t="s">
        <v>79</v>
      </c>
      <c r="E21" s="3" t="s">
        <v>27</v>
      </c>
      <c r="F21" s="3">
        <v>0</v>
      </c>
      <c r="G21" t="s">
        <v>20</v>
      </c>
      <c r="H21" s="3" t="s">
        <v>37</v>
      </c>
      <c r="I21" s="3" t="s">
        <v>21</v>
      </c>
      <c r="J21" s="3">
        <v>1</v>
      </c>
      <c r="K21" s="3" t="s">
        <v>22</v>
      </c>
      <c r="L21" s="3">
        <v>13</v>
      </c>
      <c r="M21" s="3">
        <v>0</v>
      </c>
      <c r="N21" t="s">
        <v>23</v>
      </c>
      <c r="O21">
        <v>0</v>
      </c>
      <c r="P21" s="3">
        <v>4</v>
      </c>
      <c r="Q21" s="3">
        <v>0.53</v>
      </c>
      <c r="R21" s="3" t="s">
        <v>23</v>
      </c>
      <c r="S21" s="3">
        <f>11+64+455+332</f>
        <v>862</v>
      </c>
      <c r="T21" s="3">
        <v>0.95299999999999996</v>
      </c>
      <c r="U21" s="3" t="s">
        <v>23</v>
      </c>
      <c r="V21" s="3" t="s">
        <v>23</v>
      </c>
      <c r="W21" s="3" t="s">
        <v>23</v>
      </c>
      <c r="X21" s="3" t="s">
        <v>80</v>
      </c>
      <c r="Y21"/>
    </row>
    <row r="22" spans="1:26" s="3" customFormat="1" ht="34" x14ac:dyDescent="0.2">
      <c r="A22" s="10" t="s">
        <v>81</v>
      </c>
      <c r="B22" s="17" t="s">
        <v>82</v>
      </c>
      <c r="C22" s="10" t="s">
        <v>39</v>
      </c>
      <c r="D22" s="10" t="s">
        <v>84</v>
      </c>
      <c r="E22" s="3" t="s">
        <v>27</v>
      </c>
      <c r="F22" s="10">
        <v>0</v>
      </c>
      <c r="G22" t="s">
        <v>63</v>
      </c>
      <c r="H22" s="3" t="s">
        <v>37</v>
      </c>
      <c r="I22" s="3" t="s">
        <v>21</v>
      </c>
      <c r="J22" s="3">
        <v>1</v>
      </c>
      <c r="K22" s="11" t="s">
        <v>83</v>
      </c>
      <c r="L22" s="3">
        <v>7</v>
      </c>
      <c r="M22" s="3">
        <v>0</v>
      </c>
      <c r="N22" s="10">
        <v>15</v>
      </c>
      <c r="O22" s="10">
        <v>1</v>
      </c>
      <c r="P22" s="3">
        <v>7</v>
      </c>
      <c r="Q22" s="8">
        <f>(12442.4)/(230.2+140.6+4.8+12442.4+1442.5+1578.3+886.7)</f>
        <v>0.74391796956742695</v>
      </c>
      <c r="R22" s="3" t="s">
        <v>23</v>
      </c>
      <c r="S22" s="3">
        <f>230.2+140.6+4.8+12442.4+1442.5+1578.3+886.7</f>
        <v>16725.5</v>
      </c>
      <c r="T22" s="3">
        <v>0.872</v>
      </c>
      <c r="U22" s="3" t="s">
        <v>23</v>
      </c>
      <c r="V22" s="3" t="s">
        <v>23</v>
      </c>
      <c r="W22" s="3">
        <v>0</v>
      </c>
      <c r="X22" s="3" t="s">
        <v>85</v>
      </c>
      <c r="Y22" t="s">
        <v>86</v>
      </c>
    </row>
    <row r="23" spans="1:26" s="3" customFormat="1" ht="51" x14ac:dyDescent="0.2">
      <c r="A23" s="3" t="s">
        <v>87</v>
      </c>
      <c r="B23" s="16" t="s">
        <v>88</v>
      </c>
      <c r="C23" s="3" t="s">
        <v>89</v>
      </c>
      <c r="D23" s="3" t="s">
        <v>92</v>
      </c>
      <c r="E23" s="3" t="s">
        <v>27</v>
      </c>
      <c r="F23" s="3">
        <v>0</v>
      </c>
      <c r="G23" t="s">
        <v>63</v>
      </c>
      <c r="H23" s="3" t="s">
        <v>90</v>
      </c>
      <c r="I23" s="3" t="s">
        <v>21</v>
      </c>
      <c r="J23" s="3">
        <v>1</v>
      </c>
      <c r="K23" s="3" t="s">
        <v>91</v>
      </c>
      <c r="L23" s="3">
        <v>8</v>
      </c>
      <c r="M23" s="3">
        <v>1</v>
      </c>
      <c r="N23" s="3">
        <v>25</v>
      </c>
      <c r="O23" s="3">
        <v>1</v>
      </c>
      <c r="P23" s="3">
        <v>6</v>
      </c>
      <c r="Q23" s="3">
        <f>7144/11737</f>
        <v>0.60867342591803697</v>
      </c>
      <c r="R23" s="3">
        <f>729+5543+575+430+1581+491</f>
        <v>9349</v>
      </c>
      <c r="S23" s="3">
        <v>11737</v>
      </c>
      <c r="T23" s="3">
        <v>0.8</v>
      </c>
      <c r="U23" t="s">
        <v>23</v>
      </c>
      <c r="V23" s="3">
        <f t="shared" ref="V23:V32" si="3">R23/S23</f>
        <v>0.79654085371048822</v>
      </c>
      <c r="W23" s="3">
        <v>1</v>
      </c>
      <c r="X23" s="3" t="s">
        <v>93</v>
      </c>
      <c r="Y23"/>
    </row>
    <row r="24" spans="1:26" s="3" customFormat="1" ht="34" x14ac:dyDescent="0.2">
      <c r="A24" s="3" t="s">
        <v>94</v>
      </c>
      <c r="B24" s="18" t="s">
        <v>95</v>
      </c>
      <c r="C24" s="11" t="s">
        <v>39</v>
      </c>
      <c r="D24" s="11" t="s">
        <v>99</v>
      </c>
      <c r="E24" s="3" t="s">
        <v>27</v>
      </c>
      <c r="G24" t="s">
        <v>96</v>
      </c>
      <c r="H24" s="3" t="s">
        <v>64</v>
      </c>
      <c r="I24" s="3" t="s">
        <v>64</v>
      </c>
      <c r="J24" s="3">
        <v>0</v>
      </c>
      <c r="K24" s="3" t="s">
        <v>97</v>
      </c>
      <c r="L24" s="3">
        <v>1</v>
      </c>
      <c r="M24" s="3">
        <v>0</v>
      </c>
      <c r="N24" s="3">
        <v>10</v>
      </c>
      <c r="O24" s="3">
        <v>1</v>
      </c>
      <c r="P24" s="3">
        <v>2</v>
      </c>
      <c r="Q24" s="8">
        <f>(50790+628)/S24</f>
        <v>0.70422110828060369</v>
      </c>
      <c r="R24" s="8">
        <f>20139+50790</f>
        <v>70929</v>
      </c>
      <c r="S24" s="8">
        <f>20139+1457+628+50790</f>
        <v>73014</v>
      </c>
      <c r="T24" s="8">
        <v>0.97099999999999997</v>
      </c>
      <c r="U24" s="8">
        <v>1</v>
      </c>
      <c r="V24" s="8">
        <f t="shared" si="3"/>
        <v>0.9714438326896212</v>
      </c>
      <c r="W24" s="3">
        <v>1</v>
      </c>
      <c r="X24" s="3" t="s">
        <v>102</v>
      </c>
      <c r="Y24" t="s">
        <v>100</v>
      </c>
    </row>
    <row r="25" spans="1:26" s="3" customFormat="1" ht="34" x14ac:dyDescent="0.2">
      <c r="A25" s="3" t="s">
        <v>94</v>
      </c>
      <c r="B25" s="18" t="s">
        <v>95</v>
      </c>
      <c r="C25" s="11" t="s">
        <v>39</v>
      </c>
      <c r="D25" s="11" t="s">
        <v>99</v>
      </c>
      <c r="E25" s="3" t="s">
        <v>27</v>
      </c>
      <c r="G25" t="s">
        <v>96</v>
      </c>
      <c r="H25" s="3" t="s">
        <v>98</v>
      </c>
      <c r="I25" s="3" t="s">
        <v>66</v>
      </c>
      <c r="J25" s="3">
        <v>0</v>
      </c>
      <c r="K25" s="3" t="s">
        <v>97</v>
      </c>
      <c r="L25" s="3">
        <v>1</v>
      </c>
      <c r="M25" s="3">
        <v>0</v>
      </c>
      <c r="N25" s="3">
        <v>10</v>
      </c>
      <c r="O25" s="3">
        <v>1</v>
      </c>
      <c r="P25" s="3">
        <v>2</v>
      </c>
      <c r="Q25" s="8">
        <f>(825+50593)/R25</f>
        <v>0.72718787124512074</v>
      </c>
      <c r="R25" s="8">
        <f>20115+50593</f>
        <v>70708</v>
      </c>
      <c r="S25" s="8">
        <f>20115+1481+825+50593</f>
        <v>73014</v>
      </c>
      <c r="T25" s="8">
        <v>0.96799999999999997</v>
      </c>
      <c r="U25" s="8">
        <v>1</v>
      </c>
      <c r="V25" s="8">
        <f t="shared" si="3"/>
        <v>0.96841701591475604</v>
      </c>
      <c r="W25" s="3">
        <v>1</v>
      </c>
      <c r="X25" s="3" t="s">
        <v>102</v>
      </c>
      <c r="Y25" t="s">
        <v>101</v>
      </c>
    </row>
    <row r="26" spans="1:26" s="3" customFormat="1" ht="17" x14ac:dyDescent="0.2">
      <c r="A26" s="3" t="s">
        <v>103</v>
      </c>
      <c r="B26" s="16" t="s">
        <v>104</v>
      </c>
      <c r="C26" s="3" t="s">
        <v>19</v>
      </c>
      <c r="D26" s="3" t="s">
        <v>105</v>
      </c>
      <c r="E26" s="3" t="s">
        <v>27</v>
      </c>
      <c r="F26" s="3">
        <v>1</v>
      </c>
      <c r="G26" t="s">
        <v>23</v>
      </c>
      <c r="H26" s="3" t="s">
        <v>37</v>
      </c>
      <c r="I26" s="3" t="s">
        <v>21</v>
      </c>
      <c r="J26" s="3">
        <v>0</v>
      </c>
      <c r="K26" s="3" t="s">
        <v>23</v>
      </c>
      <c r="L26" s="3" t="s">
        <v>23</v>
      </c>
      <c r="M26" s="3">
        <v>1</v>
      </c>
      <c r="N26" s="3">
        <v>20</v>
      </c>
      <c r="O26" s="3">
        <v>1</v>
      </c>
      <c r="P26" s="3">
        <v>2</v>
      </c>
      <c r="Q26" s="3">
        <v>0.60099999999999998</v>
      </c>
      <c r="R26" s="3">
        <f>38849+24356</f>
        <v>63205</v>
      </c>
      <c r="S26" s="3">
        <f>R26+3767+3600</f>
        <v>70572</v>
      </c>
      <c r="T26" s="3">
        <v>0.89600000000000002</v>
      </c>
      <c r="U26" s="3" t="s">
        <v>23</v>
      </c>
      <c r="V26" s="3">
        <f t="shared" si="3"/>
        <v>0.89561015700277735</v>
      </c>
      <c r="W26" s="3">
        <v>1</v>
      </c>
      <c r="X26" s="3" t="s">
        <v>106</v>
      </c>
      <c r="Y26" t="s">
        <v>107</v>
      </c>
    </row>
    <row r="27" spans="1:26" s="3" customFormat="1" ht="17" x14ac:dyDescent="0.2">
      <c r="A27" s="3" t="s">
        <v>103</v>
      </c>
      <c r="B27" s="16" t="s">
        <v>104</v>
      </c>
      <c r="C27" s="3" t="s">
        <v>19</v>
      </c>
      <c r="D27" s="3" t="s">
        <v>105</v>
      </c>
      <c r="E27" s="3" t="s">
        <v>27</v>
      </c>
      <c r="F27" s="3">
        <v>1</v>
      </c>
      <c r="G27" t="s">
        <v>23</v>
      </c>
      <c r="H27" s="3" t="s">
        <v>37</v>
      </c>
      <c r="I27" s="3" t="s">
        <v>21</v>
      </c>
      <c r="J27" s="3">
        <v>0</v>
      </c>
      <c r="K27" s="3" t="s">
        <v>23</v>
      </c>
      <c r="L27" s="3" t="s">
        <v>23</v>
      </c>
      <c r="M27" s="3">
        <v>1</v>
      </c>
      <c r="N27" s="3">
        <v>20</v>
      </c>
      <c r="O27" s="3">
        <v>1</v>
      </c>
      <c r="P27" s="3">
        <v>2</v>
      </c>
      <c r="Q27" s="3">
        <v>0.66500000000000004</v>
      </c>
      <c r="R27" s="3">
        <f>18345+32673</f>
        <v>51018</v>
      </c>
      <c r="S27" s="3">
        <f>R27+7007+1618</f>
        <v>59643</v>
      </c>
      <c r="T27" s="3">
        <v>0.85499999999999998</v>
      </c>
      <c r="U27" s="3" t="s">
        <v>23</v>
      </c>
      <c r="V27" s="3">
        <f t="shared" si="3"/>
        <v>0.85538956792917864</v>
      </c>
      <c r="W27" s="3">
        <v>1</v>
      </c>
      <c r="X27" s="3" t="s">
        <v>106</v>
      </c>
      <c r="Y27" t="s">
        <v>107</v>
      </c>
    </row>
    <row r="28" spans="1:26" s="3" customFormat="1" ht="17" x14ac:dyDescent="0.2">
      <c r="A28" s="3" t="s">
        <v>103</v>
      </c>
      <c r="B28" s="16" t="s">
        <v>104</v>
      </c>
      <c r="C28" s="3" t="s">
        <v>19</v>
      </c>
      <c r="D28" s="3" t="s">
        <v>105</v>
      </c>
      <c r="E28" s="3" t="s">
        <v>27</v>
      </c>
      <c r="F28" s="3">
        <v>1</v>
      </c>
      <c r="G28" t="s">
        <v>23</v>
      </c>
      <c r="H28" s="3" t="s">
        <v>37</v>
      </c>
      <c r="I28" s="3" t="s">
        <v>21</v>
      </c>
      <c r="J28" s="3">
        <v>0</v>
      </c>
      <c r="K28" s="3" t="s">
        <v>23</v>
      </c>
      <c r="L28" s="3" t="s">
        <v>23</v>
      </c>
      <c r="M28" s="3">
        <v>1</v>
      </c>
      <c r="N28" s="3">
        <v>20</v>
      </c>
      <c r="O28" s="3">
        <v>1</v>
      </c>
      <c r="P28" s="3">
        <v>2</v>
      </c>
      <c r="Q28" s="3">
        <v>0.61299999999999999</v>
      </c>
      <c r="R28" s="3">
        <f>22706+43033</f>
        <v>65739</v>
      </c>
      <c r="S28" s="3">
        <f>R28+7642+9225</f>
        <v>82606</v>
      </c>
      <c r="T28" s="3">
        <v>0.79600000000000004</v>
      </c>
      <c r="U28" s="3" t="s">
        <v>23</v>
      </c>
      <c r="V28" s="3">
        <f t="shared" si="3"/>
        <v>0.79581386339975302</v>
      </c>
      <c r="W28" s="3">
        <v>1</v>
      </c>
      <c r="X28" s="3" t="s">
        <v>106</v>
      </c>
      <c r="Y28" t="s">
        <v>107</v>
      </c>
    </row>
    <row r="29" spans="1:26" s="3" customFormat="1" ht="17" x14ac:dyDescent="0.2">
      <c r="A29" s="3" t="s">
        <v>103</v>
      </c>
      <c r="B29" s="16" t="s">
        <v>104</v>
      </c>
      <c r="C29" s="3" t="s">
        <v>19</v>
      </c>
      <c r="D29" s="3" t="s">
        <v>105</v>
      </c>
      <c r="E29" s="3" t="s">
        <v>27</v>
      </c>
      <c r="F29" s="3">
        <v>1</v>
      </c>
      <c r="G29" t="s">
        <v>23</v>
      </c>
      <c r="H29" s="3" t="s">
        <v>37</v>
      </c>
      <c r="I29" s="3" t="s">
        <v>21</v>
      </c>
      <c r="J29" s="3">
        <v>0</v>
      </c>
      <c r="K29" s="3" t="s">
        <v>23</v>
      </c>
      <c r="L29" s="3" t="s">
        <v>23</v>
      </c>
      <c r="M29" s="3">
        <v>1</v>
      </c>
      <c r="N29" s="3">
        <v>20</v>
      </c>
      <c r="O29" s="3">
        <v>1</v>
      </c>
      <c r="P29" s="3">
        <v>2</v>
      </c>
      <c r="Q29" s="3">
        <v>0.71699999999999997</v>
      </c>
      <c r="R29" s="3">
        <f>87581+263375</f>
        <v>350956</v>
      </c>
      <c r="S29" s="3">
        <f>R29+43287+33553</f>
        <v>427796</v>
      </c>
      <c r="T29" s="3">
        <v>0.82</v>
      </c>
      <c r="U29" s="3" t="s">
        <v>23</v>
      </c>
      <c r="V29" s="3">
        <f t="shared" si="3"/>
        <v>0.82038167724803412</v>
      </c>
      <c r="W29" s="3">
        <v>1</v>
      </c>
      <c r="X29" s="3" t="s">
        <v>106</v>
      </c>
      <c r="Y29" t="s">
        <v>107</v>
      </c>
    </row>
    <row r="30" spans="1:26" s="3" customFormat="1" ht="17" x14ac:dyDescent="0.2">
      <c r="A30" s="3" t="s">
        <v>103</v>
      </c>
      <c r="B30" s="16" t="s">
        <v>104</v>
      </c>
      <c r="C30" s="3" t="s">
        <v>19</v>
      </c>
      <c r="D30" s="3" t="s">
        <v>105</v>
      </c>
      <c r="E30" s="3" t="s">
        <v>27</v>
      </c>
      <c r="F30" s="3">
        <v>1</v>
      </c>
      <c r="G30" t="s">
        <v>23</v>
      </c>
      <c r="H30" s="3" t="s">
        <v>37</v>
      </c>
      <c r="I30" s="3" t="s">
        <v>21</v>
      </c>
      <c r="J30" s="3">
        <v>0</v>
      </c>
      <c r="K30" s="3" t="s">
        <v>23</v>
      </c>
      <c r="L30" s="3" t="s">
        <v>23</v>
      </c>
      <c r="M30" s="3">
        <v>1</v>
      </c>
      <c r="N30" s="3">
        <v>20</v>
      </c>
      <c r="O30" s="3">
        <v>1</v>
      </c>
      <c r="P30" s="3">
        <v>2</v>
      </c>
      <c r="Q30" s="3">
        <v>0.54300000000000004</v>
      </c>
      <c r="R30" s="3">
        <f>31810+39812</f>
        <v>71622</v>
      </c>
      <c r="S30" s="3">
        <f>R30+10322+10304</f>
        <v>92248</v>
      </c>
      <c r="T30" s="3">
        <v>0.77600000000000002</v>
      </c>
      <c r="U30" s="3" t="s">
        <v>23</v>
      </c>
      <c r="V30" s="3">
        <f t="shared" si="3"/>
        <v>0.77640707657618591</v>
      </c>
      <c r="W30" s="3">
        <v>1</v>
      </c>
      <c r="X30" s="3" t="s">
        <v>106</v>
      </c>
      <c r="Y30" t="s">
        <v>107</v>
      </c>
    </row>
    <row r="31" spans="1:26" s="3" customFormat="1" ht="17" x14ac:dyDescent="0.2">
      <c r="A31" s="3" t="s">
        <v>103</v>
      </c>
      <c r="B31" s="16" t="s">
        <v>104</v>
      </c>
      <c r="C31" s="3" t="s">
        <v>19</v>
      </c>
      <c r="D31" s="3" t="s">
        <v>105</v>
      </c>
      <c r="E31" s="3" t="s">
        <v>27</v>
      </c>
      <c r="F31" s="3">
        <v>1</v>
      </c>
      <c r="G31" t="s">
        <v>23</v>
      </c>
      <c r="H31" s="3" t="s">
        <v>37</v>
      </c>
      <c r="I31" s="3" t="s">
        <v>21</v>
      </c>
      <c r="J31" s="3">
        <v>0</v>
      </c>
      <c r="K31" s="3" t="s">
        <v>23</v>
      </c>
      <c r="L31" s="3" t="s">
        <v>23</v>
      </c>
      <c r="M31" s="3">
        <v>1</v>
      </c>
      <c r="N31" s="3">
        <v>20</v>
      </c>
      <c r="O31" s="3">
        <v>1</v>
      </c>
      <c r="P31" s="3">
        <v>2</v>
      </c>
      <c r="Q31" s="3">
        <v>0.85899999999999999</v>
      </c>
      <c r="R31" s="3">
        <f>4170+27053</f>
        <v>31223</v>
      </c>
      <c r="S31" s="3">
        <f>R31+2795+722</f>
        <v>34740</v>
      </c>
      <c r="T31" s="3">
        <v>0.89900000000000002</v>
      </c>
      <c r="U31" s="3" t="s">
        <v>23</v>
      </c>
      <c r="V31" s="3">
        <f t="shared" si="3"/>
        <v>0.89876223373632702</v>
      </c>
      <c r="W31" s="3">
        <v>1</v>
      </c>
      <c r="X31" s="3" t="s">
        <v>106</v>
      </c>
      <c r="Y31" t="s">
        <v>107</v>
      </c>
    </row>
    <row r="32" spans="1:26" s="3" customFormat="1" ht="17" x14ac:dyDescent="0.2">
      <c r="A32" s="3" t="s">
        <v>103</v>
      </c>
      <c r="B32" s="16" t="s">
        <v>104</v>
      </c>
      <c r="C32" s="3" t="s">
        <v>19</v>
      </c>
      <c r="D32" s="3" t="s">
        <v>105</v>
      </c>
      <c r="E32" s="3" t="s">
        <v>27</v>
      </c>
      <c r="F32" s="3">
        <v>1</v>
      </c>
      <c r="G32" t="s">
        <v>23</v>
      </c>
      <c r="H32" s="3" t="s">
        <v>37</v>
      </c>
      <c r="I32" s="3" t="s">
        <v>21</v>
      </c>
      <c r="J32" s="3">
        <v>0</v>
      </c>
      <c r="K32" s="3" t="s">
        <v>23</v>
      </c>
      <c r="L32" s="3" t="s">
        <v>23</v>
      </c>
      <c r="M32" s="3">
        <v>1</v>
      </c>
      <c r="N32" s="3">
        <v>20</v>
      </c>
      <c r="O32" s="3">
        <v>1</v>
      </c>
      <c r="P32" s="3">
        <v>2</v>
      </c>
      <c r="Q32" s="3">
        <v>0.61399999999999999</v>
      </c>
      <c r="R32" s="3">
        <f>17862+31062</f>
        <v>48924</v>
      </c>
      <c r="S32" s="3">
        <f>R32+2211+3027</f>
        <v>54162</v>
      </c>
      <c r="T32" s="3">
        <v>0.90300000000000002</v>
      </c>
      <c r="U32" s="3" t="s">
        <v>23</v>
      </c>
      <c r="V32" s="3">
        <f t="shared" si="3"/>
        <v>0.9032901296111665</v>
      </c>
      <c r="W32" s="3">
        <v>1</v>
      </c>
      <c r="X32" s="3" t="s">
        <v>106</v>
      </c>
      <c r="Y32" t="s">
        <v>107</v>
      </c>
    </row>
    <row r="33" spans="1:25" s="3" customFormat="1" ht="34" x14ac:dyDescent="0.2">
      <c r="A33" s="3" t="s">
        <v>108</v>
      </c>
      <c r="B33" s="16" t="s">
        <v>109</v>
      </c>
      <c r="C33" s="3" t="s">
        <v>19</v>
      </c>
      <c r="D33" s="3" t="s">
        <v>113</v>
      </c>
      <c r="E33" s="3" t="s">
        <v>27</v>
      </c>
      <c r="F33" s="3">
        <v>0</v>
      </c>
      <c r="G33" t="s">
        <v>110</v>
      </c>
      <c r="H33" s="3" t="s">
        <v>37</v>
      </c>
      <c r="I33" s="3" t="s">
        <v>21</v>
      </c>
      <c r="J33" s="3">
        <v>1</v>
      </c>
      <c r="K33" s="3" t="s">
        <v>128</v>
      </c>
      <c r="L33" s="3">
        <v>7</v>
      </c>
      <c r="M33" s="3">
        <v>0</v>
      </c>
      <c r="O33" s="3">
        <v>0</v>
      </c>
      <c r="P33" s="3">
        <v>6</v>
      </c>
      <c r="Q33" s="3" t="s">
        <v>23</v>
      </c>
      <c r="R33" s="3" t="s">
        <v>23</v>
      </c>
      <c r="S33" s="3" t="s">
        <v>23</v>
      </c>
      <c r="T33" s="3">
        <v>0.95</v>
      </c>
      <c r="U33" s="3" t="s">
        <v>23</v>
      </c>
      <c r="V33" s="3" t="s">
        <v>23</v>
      </c>
      <c r="W33" s="3">
        <v>0</v>
      </c>
      <c r="X33" s="3" t="s">
        <v>114</v>
      </c>
      <c r="Y33" s="3" t="s">
        <v>111</v>
      </c>
    </row>
    <row r="34" spans="1:25" s="3" customFormat="1" ht="34" x14ac:dyDescent="0.2">
      <c r="A34" s="3" t="s">
        <v>108</v>
      </c>
      <c r="B34" s="16" t="s">
        <v>109</v>
      </c>
      <c r="C34" s="3" t="s">
        <v>19</v>
      </c>
      <c r="D34" s="3" t="s">
        <v>113</v>
      </c>
      <c r="E34" s="3" t="s">
        <v>27</v>
      </c>
      <c r="F34" s="3">
        <v>0</v>
      </c>
      <c r="G34" t="s">
        <v>112</v>
      </c>
      <c r="H34" s="3" t="s">
        <v>37</v>
      </c>
      <c r="I34" s="3" t="s">
        <v>21</v>
      </c>
      <c r="J34" s="3">
        <v>1</v>
      </c>
      <c r="K34" s="3" t="s">
        <v>129</v>
      </c>
      <c r="L34" s="3">
        <v>7</v>
      </c>
      <c r="M34" s="3">
        <v>1</v>
      </c>
      <c r="N34" s="3" t="s">
        <v>23</v>
      </c>
      <c r="O34" s="3">
        <v>0</v>
      </c>
      <c r="P34" s="3">
        <v>6</v>
      </c>
      <c r="Q34" s="3" t="s">
        <v>23</v>
      </c>
      <c r="R34" s="3" t="s">
        <v>23</v>
      </c>
      <c r="S34" s="3" t="s">
        <v>23</v>
      </c>
      <c r="T34" s="3">
        <v>0.94</v>
      </c>
      <c r="U34" s="3" t="s">
        <v>23</v>
      </c>
      <c r="V34" s="3" t="s">
        <v>23</v>
      </c>
      <c r="W34" s="3">
        <v>0</v>
      </c>
      <c r="X34" s="3" t="s">
        <v>114</v>
      </c>
    </row>
    <row r="35" spans="1:25" s="3" customFormat="1" ht="17" x14ac:dyDescent="0.2">
      <c r="A35" s="3" t="s">
        <v>115</v>
      </c>
      <c r="B35" s="16" t="s">
        <v>116</v>
      </c>
      <c r="C35" s="3" t="s">
        <v>39</v>
      </c>
      <c r="D35" s="3" t="s">
        <v>120</v>
      </c>
      <c r="E35" s="3" t="s">
        <v>27</v>
      </c>
      <c r="F35" s="3">
        <v>0</v>
      </c>
      <c r="G35" t="s">
        <v>122</v>
      </c>
      <c r="H35" s="3" t="s">
        <v>117</v>
      </c>
      <c r="I35" s="3" t="s">
        <v>78</v>
      </c>
      <c r="J35" s="3">
        <v>0</v>
      </c>
      <c r="K35" s="3" t="s">
        <v>23</v>
      </c>
      <c r="L35" s="3">
        <v>11</v>
      </c>
      <c r="M35" s="3">
        <v>1</v>
      </c>
      <c r="N35" s="3">
        <v>30</v>
      </c>
      <c r="O35" s="3">
        <v>1</v>
      </c>
      <c r="P35" s="3">
        <v>2</v>
      </c>
      <c r="Q35" s="13">
        <f>1-0.2462</f>
        <v>0.75380000000000003</v>
      </c>
      <c r="R35" s="3" t="s">
        <v>23</v>
      </c>
      <c r="S35" s="3">
        <v>761337</v>
      </c>
      <c r="T35">
        <v>0.93</v>
      </c>
      <c r="U35" s="3" t="s">
        <v>23</v>
      </c>
      <c r="V35" t="s">
        <v>23</v>
      </c>
      <c r="W35" s="3">
        <v>0</v>
      </c>
      <c r="X35" s="3" t="s">
        <v>123</v>
      </c>
      <c r="Y35" s="3" t="s">
        <v>121</v>
      </c>
    </row>
    <row r="36" spans="1:25" s="3" customFormat="1" ht="17" x14ac:dyDescent="0.2">
      <c r="A36" s="3" t="s">
        <v>115</v>
      </c>
      <c r="B36" s="16" t="s">
        <v>116</v>
      </c>
      <c r="C36" s="3" t="s">
        <v>39</v>
      </c>
      <c r="D36" s="3" t="s">
        <v>120</v>
      </c>
      <c r="E36" s="3" t="s">
        <v>27</v>
      </c>
      <c r="F36" s="3">
        <v>0</v>
      </c>
      <c r="G36" t="s">
        <v>122</v>
      </c>
      <c r="H36" s="3" t="s">
        <v>118</v>
      </c>
      <c r="I36" s="3" t="s">
        <v>78</v>
      </c>
      <c r="J36" s="3">
        <v>0</v>
      </c>
      <c r="K36" s="3" t="s">
        <v>23</v>
      </c>
      <c r="L36" s="3">
        <v>11</v>
      </c>
      <c r="M36" s="3">
        <v>1</v>
      </c>
      <c r="N36" s="3">
        <v>30</v>
      </c>
      <c r="O36" s="3">
        <v>1</v>
      </c>
      <c r="P36" s="3">
        <v>2</v>
      </c>
      <c r="Q36" s="13">
        <f>1-0.2462</f>
        <v>0.75380000000000003</v>
      </c>
      <c r="R36" s="3" t="s">
        <v>23</v>
      </c>
      <c r="S36" s="3">
        <v>761337</v>
      </c>
      <c r="T36" s="3">
        <v>0.92</v>
      </c>
      <c r="U36" s="3" t="s">
        <v>23</v>
      </c>
      <c r="V36" s="3" t="s">
        <v>23</v>
      </c>
      <c r="W36" s="3">
        <v>0</v>
      </c>
      <c r="X36" s="3" t="s">
        <v>123</v>
      </c>
    </row>
    <row r="37" spans="1:25" s="3" customFormat="1" ht="17" x14ac:dyDescent="0.2">
      <c r="A37" s="3" t="s">
        <v>115</v>
      </c>
      <c r="B37" s="16" t="s">
        <v>116</v>
      </c>
      <c r="C37" s="3" t="s">
        <v>39</v>
      </c>
      <c r="D37" s="3" t="s">
        <v>120</v>
      </c>
      <c r="E37" s="3" t="s">
        <v>27</v>
      </c>
      <c r="F37" s="3">
        <v>0</v>
      </c>
      <c r="G37" t="s">
        <v>122</v>
      </c>
      <c r="H37" s="3" t="s">
        <v>119</v>
      </c>
      <c r="I37" s="3" t="s">
        <v>119</v>
      </c>
      <c r="J37" s="3">
        <v>0</v>
      </c>
      <c r="K37" s="3" t="s">
        <v>23</v>
      </c>
      <c r="L37" s="3">
        <v>11</v>
      </c>
      <c r="M37" s="3">
        <v>1</v>
      </c>
      <c r="N37" s="3">
        <v>30</v>
      </c>
      <c r="O37" s="3">
        <v>1</v>
      </c>
      <c r="P37" s="3">
        <v>2</v>
      </c>
      <c r="Q37" s="13">
        <f>1-0.2462</f>
        <v>0.75380000000000003</v>
      </c>
      <c r="R37" s="3" t="s">
        <v>23</v>
      </c>
      <c r="S37" s="3">
        <v>761337</v>
      </c>
      <c r="T37" s="3">
        <v>0.9</v>
      </c>
      <c r="U37" s="3" t="s">
        <v>23</v>
      </c>
      <c r="V37" s="3" t="s">
        <v>23</v>
      </c>
      <c r="W37" s="3">
        <v>0</v>
      </c>
      <c r="X37" s="3" t="s">
        <v>123</v>
      </c>
    </row>
    <row r="38" spans="1:25" ht="17" x14ac:dyDescent="0.2">
      <c r="A38" s="3" t="s">
        <v>124</v>
      </c>
      <c r="B38" s="16" t="s">
        <v>125</v>
      </c>
      <c r="C38" t="s">
        <v>146</v>
      </c>
      <c r="D38" s="3" t="s">
        <v>126</v>
      </c>
      <c r="E38" s="3" t="s">
        <v>27</v>
      </c>
      <c r="F38">
        <v>0</v>
      </c>
      <c r="G38" t="s">
        <v>131</v>
      </c>
      <c r="H38" s="3" t="s">
        <v>37</v>
      </c>
      <c r="I38" t="s">
        <v>21</v>
      </c>
      <c r="J38" s="3">
        <v>0</v>
      </c>
      <c r="K38" t="s">
        <v>136</v>
      </c>
      <c r="L38" s="3">
        <v>8</v>
      </c>
      <c r="M38" s="3">
        <v>1</v>
      </c>
      <c r="N38" t="s">
        <v>23</v>
      </c>
      <c r="O38" s="3">
        <v>0</v>
      </c>
      <c r="P38">
        <v>4</v>
      </c>
      <c r="Q38">
        <f t="shared" ref="Q38:Q43" si="4">945/S38</f>
        <v>0.55425219941348969</v>
      </c>
      <c r="R38">
        <f>76+615+26+933</f>
        <v>1650</v>
      </c>
      <c r="S38" s="14">
        <v>1705</v>
      </c>
      <c r="T38">
        <v>0.96799999999999997</v>
      </c>
      <c r="U38" s="3" t="s">
        <v>23</v>
      </c>
      <c r="V38">
        <f t="shared" ref="V38:V43" si="5">R38/S38</f>
        <v>0.967741935483871</v>
      </c>
      <c r="W38" s="3">
        <v>1</v>
      </c>
      <c r="X38" s="3" t="s">
        <v>127</v>
      </c>
      <c r="Y38" t="s">
        <v>139</v>
      </c>
    </row>
    <row r="39" spans="1:25" ht="17" x14ac:dyDescent="0.2">
      <c r="A39" s="3" t="s">
        <v>124</v>
      </c>
      <c r="B39" s="16" t="s">
        <v>125</v>
      </c>
      <c r="C39" t="s">
        <v>146</v>
      </c>
      <c r="D39" s="3" t="s">
        <v>126</v>
      </c>
      <c r="E39" s="3" t="s">
        <v>27</v>
      </c>
      <c r="F39">
        <v>0</v>
      </c>
      <c r="G39" t="s">
        <v>130</v>
      </c>
      <c r="H39" s="3" t="s">
        <v>37</v>
      </c>
      <c r="I39" t="s">
        <v>21</v>
      </c>
      <c r="J39" s="3">
        <v>0</v>
      </c>
      <c r="K39" s="3" t="s">
        <v>135</v>
      </c>
      <c r="L39" s="3">
        <v>1</v>
      </c>
      <c r="M39" s="3">
        <v>0</v>
      </c>
      <c r="N39" s="3">
        <v>25</v>
      </c>
      <c r="O39" s="3">
        <v>1</v>
      </c>
      <c r="P39">
        <v>4</v>
      </c>
      <c r="Q39">
        <f t="shared" si="4"/>
        <v>0.55425219941348969</v>
      </c>
      <c r="R39">
        <f>76+615+23+933</f>
        <v>1647</v>
      </c>
      <c r="S39" s="14">
        <v>1705</v>
      </c>
      <c r="T39">
        <v>0.96599999999999997</v>
      </c>
      <c r="U39" s="3" t="s">
        <v>23</v>
      </c>
      <c r="V39">
        <f t="shared" si="5"/>
        <v>0.96598240469208208</v>
      </c>
      <c r="W39" s="3">
        <v>1</v>
      </c>
      <c r="X39" s="3" t="s">
        <v>127</v>
      </c>
      <c r="Y39" t="s">
        <v>139</v>
      </c>
    </row>
    <row r="40" spans="1:25" ht="34" x14ac:dyDescent="0.2">
      <c r="A40" s="3" t="s">
        <v>124</v>
      </c>
      <c r="B40" s="16" t="s">
        <v>125</v>
      </c>
      <c r="C40" t="s">
        <v>146</v>
      </c>
      <c r="D40" s="3" t="s">
        <v>126</v>
      </c>
      <c r="E40" s="3" t="s">
        <v>27</v>
      </c>
      <c r="F40">
        <v>0</v>
      </c>
      <c r="G40" t="s">
        <v>132</v>
      </c>
      <c r="H40" s="3" t="s">
        <v>37</v>
      </c>
      <c r="I40" t="s">
        <v>21</v>
      </c>
      <c r="J40" s="3">
        <v>0</v>
      </c>
      <c r="K40" s="3" t="s">
        <v>137</v>
      </c>
      <c r="L40" s="3">
        <v>9</v>
      </c>
      <c r="M40" s="3">
        <v>1</v>
      </c>
      <c r="N40" t="s">
        <v>23</v>
      </c>
      <c r="O40" s="3">
        <v>0</v>
      </c>
      <c r="P40">
        <v>4</v>
      </c>
      <c r="Q40">
        <f t="shared" si="4"/>
        <v>0.55425219941348969</v>
      </c>
      <c r="R40">
        <f>81+647+26+944</f>
        <v>1698</v>
      </c>
      <c r="S40" s="14">
        <v>1705</v>
      </c>
      <c r="T40">
        <v>0.996</v>
      </c>
      <c r="U40" s="3" t="s">
        <v>23</v>
      </c>
      <c r="V40">
        <f t="shared" si="5"/>
        <v>0.99589442815249263</v>
      </c>
      <c r="W40" s="3">
        <v>1</v>
      </c>
      <c r="X40" s="3" t="s">
        <v>127</v>
      </c>
      <c r="Y40" t="s">
        <v>139</v>
      </c>
    </row>
    <row r="41" spans="1:25" ht="17" x14ac:dyDescent="0.2">
      <c r="A41" s="3" t="s">
        <v>124</v>
      </c>
      <c r="B41" s="16" t="s">
        <v>125</v>
      </c>
      <c r="C41" t="s">
        <v>146</v>
      </c>
      <c r="D41" s="3" t="s">
        <v>126</v>
      </c>
      <c r="E41" s="3" t="s">
        <v>27</v>
      </c>
      <c r="F41">
        <v>0</v>
      </c>
      <c r="G41" t="s">
        <v>63</v>
      </c>
      <c r="H41" s="3" t="s">
        <v>37</v>
      </c>
      <c r="I41" t="s">
        <v>21</v>
      </c>
      <c r="J41" s="3">
        <v>0</v>
      </c>
      <c r="K41" t="s">
        <v>136</v>
      </c>
      <c r="L41" s="3">
        <v>8</v>
      </c>
      <c r="M41" s="3">
        <v>1</v>
      </c>
      <c r="N41" t="s">
        <v>23</v>
      </c>
      <c r="O41" s="3">
        <v>0</v>
      </c>
      <c r="P41">
        <v>4</v>
      </c>
      <c r="Q41">
        <f t="shared" si="4"/>
        <v>0.55425219941348969</v>
      </c>
      <c r="R41">
        <f>81+635+28+942</f>
        <v>1686</v>
      </c>
      <c r="S41" s="14">
        <v>1705</v>
      </c>
      <c r="T41">
        <v>0.98899999999999999</v>
      </c>
      <c r="U41" s="3" t="s">
        <v>23</v>
      </c>
      <c r="V41">
        <f t="shared" si="5"/>
        <v>0.98885630498533728</v>
      </c>
      <c r="W41" s="3">
        <v>1</v>
      </c>
      <c r="X41" s="3" t="s">
        <v>127</v>
      </c>
      <c r="Y41" t="s">
        <v>139</v>
      </c>
    </row>
    <row r="42" spans="1:25" ht="17" x14ac:dyDescent="0.2">
      <c r="A42" s="3" t="s">
        <v>124</v>
      </c>
      <c r="B42" s="16" t="s">
        <v>125</v>
      </c>
      <c r="C42" t="s">
        <v>146</v>
      </c>
      <c r="D42" s="3" t="s">
        <v>126</v>
      </c>
      <c r="E42" s="3" t="s">
        <v>27</v>
      </c>
      <c r="F42">
        <v>0</v>
      </c>
      <c r="G42" t="s">
        <v>96</v>
      </c>
      <c r="H42" s="3" t="s">
        <v>37</v>
      </c>
      <c r="I42" t="s">
        <v>21</v>
      </c>
      <c r="J42" s="3">
        <v>0</v>
      </c>
      <c r="K42" s="3" t="s">
        <v>134</v>
      </c>
      <c r="L42" s="3">
        <v>1</v>
      </c>
      <c r="M42" s="3">
        <v>0</v>
      </c>
      <c r="N42">
        <v>25</v>
      </c>
      <c r="O42" s="3">
        <v>1</v>
      </c>
      <c r="P42">
        <v>4</v>
      </c>
      <c r="Q42">
        <f t="shared" si="4"/>
        <v>0.55425219941348969</v>
      </c>
      <c r="R42">
        <f>79+521+23+820</f>
        <v>1443</v>
      </c>
      <c r="S42" s="14">
        <v>1705</v>
      </c>
      <c r="T42">
        <v>0.84599999999999997</v>
      </c>
      <c r="U42" s="3" t="s">
        <v>23</v>
      </c>
      <c r="V42">
        <f t="shared" si="5"/>
        <v>0.84633431085043986</v>
      </c>
      <c r="W42" s="3">
        <v>1</v>
      </c>
      <c r="X42" s="3" t="s">
        <v>127</v>
      </c>
      <c r="Y42" t="s">
        <v>139</v>
      </c>
    </row>
    <row r="43" spans="1:25" ht="17" x14ac:dyDescent="0.2">
      <c r="A43" s="3" t="s">
        <v>124</v>
      </c>
      <c r="B43" s="16" t="s">
        <v>125</v>
      </c>
      <c r="C43" t="s">
        <v>146</v>
      </c>
      <c r="D43" s="3" t="s">
        <v>126</v>
      </c>
      <c r="E43" s="3" t="s">
        <v>27</v>
      </c>
      <c r="F43">
        <v>0</v>
      </c>
      <c r="G43" t="s">
        <v>133</v>
      </c>
      <c r="H43" s="3" t="s">
        <v>37</v>
      </c>
      <c r="I43" t="s">
        <v>21</v>
      </c>
      <c r="J43" s="3">
        <v>0</v>
      </c>
      <c r="K43" t="s">
        <v>138</v>
      </c>
      <c r="L43" s="3">
        <v>9</v>
      </c>
      <c r="M43" s="3">
        <v>1</v>
      </c>
      <c r="N43" t="s">
        <v>23</v>
      </c>
      <c r="O43" s="3">
        <v>0</v>
      </c>
      <c r="P43">
        <v>4</v>
      </c>
      <c r="Q43">
        <f t="shared" si="4"/>
        <v>0.55425219941348969</v>
      </c>
      <c r="R43">
        <f>81+642+32+936</f>
        <v>1691</v>
      </c>
      <c r="S43" s="14">
        <v>1705</v>
      </c>
      <c r="T43">
        <v>0.99099999999999999</v>
      </c>
      <c r="U43" s="3" t="s">
        <v>23</v>
      </c>
      <c r="V43">
        <f t="shared" si="5"/>
        <v>0.99178885630498537</v>
      </c>
      <c r="W43" s="3">
        <v>1</v>
      </c>
      <c r="X43" s="3" t="s">
        <v>127</v>
      </c>
      <c r="Y43" t="s">
        <v>139</v>
      </c>
    </row>
    <row r="44" spans="1:25" ht="17" x14ac:dyDescent="0.2">
      <c r="A44" s="11" t="s">
        <v>140</v>
      </c>
      <c r="B44" s="18" t="s">
        <v>141</v>
      </c>
      <c r="C44" t="s">
        <v>144</v>
      </c>
      <c r="D44" s="3" t="s">
        <v>142</v>
      </c>
      <c r="E44" s="3" t="s">
        <v>27</v>
      </c>
      <c r="F44">
        <v>1</v>
      </c>
      <c r="G44" t="s">
        <v>143</v>
      </c>
      <c r="H44" t="s">
        <v>212</v>
      </c>
      <c r="I44" t="s">
        <v>21</v>
      </c>
      <c r="J44" s="3">
        <v>1</v>
      </c>
      <c r="K44" s="3" t="s">
        <v>23</v>
      </c>
      <c r="L44" t="s">
        <v>23</v>
      </c>
      <c r="M44" s="7">
        <v>1</v>
      </c>
      <c r="N44">
        <v>10</v>
      </c>
      <c r="O44" s="3">
        <v>1</v>
      </c>
      <c r="P44">
        <v>13</v>
      </c>
      <c r="Q44">
        <f>29664/S44</f>
        <v>0.71065114273393704</v>
      </c>
      <c r="R44" t="s">
        <v>23</v>
      </c>
      <c r="S44">
        <v>41742</v>
      </c>
      <c r="T44">
        <v>0.88739999999999997</v>
      </c>
      <c r="U44">
        <f>0.03/100</f>
        <v>2.9999999999999997E-4</v>
      </c>
      <c r="V44" t="s">
        <v>23</v>
      </c>
      <c r="W44" s="3">
        <v>0</v>
      </c>
      <c r="X44" s="3" t="s">
        <v>147</v>
      </c>
    </row>
    <row r="45" spans="1:25" s="3" customFormat="1" ht="17" x14ac:dyDescent="0.2">
      <c r="A45" s="3" t="s">
        <v>150</v>
      </c>
      <c r="B45" s="16" t="s">
        <v>149</v>
      </c>
      <c r="C45" s="3" t="s">
        <v>151</v>
      </c>
      <c r="D45" t="s">
        <v>153</v>
      </c>
      <c r="E45" s="3" t="s">
        <v>27</v>
      </c>
      <c r="F45" s="3">
        <v>0</v>
      </c>
      <c r="G45" t="s">
        <v>152</v>
      </c>
      <c r="H45" t="s">
        <v>162</v>
      </c>
      <c r="I45" s="13" t="s">
        <v>78</v>
      </c>
      <c r="J45" s="3">
        <v>1</v>
      </c>
      <c r="K45" s="10" t="s">
        <v>23</v>
      </c>
      <c r="L45" s="3" t="s">
        <v>23</v>
      </c>
      <c r="M45" s="3">
        <v>1</v>
      </c>
      <c r="N45" s="3" t="s">
        <v>23</v>
      </c>
      <c r="O45" s="3">
        <v>0</v>
      </c>
      <c r="P45" s="3">
        <v>2</v>
      </c>
      <c r="Q45" s="14">
        <f>(3070+1)/S45</f>
        <v>0.98745980707395498</v>
      </c>
      <c r="R45">
        <f>39+3070</f>
        <v>3109</v>
      </c>
      <c r="S45">
        <f>39+3070+1+0</f>
        <v>3110</v>
      </c>
      <c r="T45" s="3" t="s">
        <v>23</v>
      </c>
      <c r="U45" s="3" t="s">
        <v>23</v>
      </c>
      <c r="V45" s="3">
        <f t="shared" ref="V45:V71" si="6">R45/S45</f>
        <v>0.9996784565916399</v>
      </c>
      <c r="W45" s="3">
        <v>1</v>
      </c>
      <c r="X45" s="3" t="s">
        <v>148</v>
      </c>
      <c r="Y45" s="3" t="s">
        <v>163</v>
      </c>
    </row>
    <row r="46" spans="1:25" ht="17" x14ac:dyDescent="0.2">
      <c r="A46" s="3" t="s">
        <v>150</v>
      </c>
      <c r="B46" s="16" t="s">
        <v>149</v>
      </c>
      <c r="C46" s="3" t="s">
        <v>151</v>
      </c>
      <c r="D46" t="s">
        <v>153</v>
      </c>
      <c r="E46" s="3" t="s">
        <v>27</v>
      </c>
      <c r="F46">
        <v>0</v>
      </c>
      <c r="G46" t="s">
        <v>152</v>
      </c>
      <c r="H46" t="s">
        <v>161</v>
      </c>
      <c r="I46" s="13" t="s">
        <v>78</v>
      </c>
      <c r="J46" s="3">
        <v>1</v>
      </c>
      <c r="K46" s="10" t="s">
        <v>23</v>
      </c>
      <c r="L46" s="3" t="s">
        <v>23</v>
      </c>
      <c r="M46" s="3">
        <v>1</v>
      </c>
      <c r="N46" s="3" t="s">
        <v>23</v>
      </c>
      <c r="O46" s="3">
        <v>0</v>
      </c>
      <c r="P46" s="3">
        <v>2</v>
      </c>
      <c r="Q46" s="14">
        <f>(3068+12)/S46</f>
        <v>0.99035369774919613</v>
      </c>
      <c r="R46">
        <f>28+3068</f>
        <v>3096</v>
      </c>
      <c r="S46">
        <f>28+3068+12+2</f>
        <v>3110</v>
      </c>
      <c r="T46" s="3" t="s">
        <v>23</v>
      </c>
      <c r="U46" s="3" t="s">
        <v>23</v>
      </c>
      <c r="V46" s="3">
        <f t="shared" si="6"/>
        <v>0.99549839228295822</v>
      </c>
      <c r="W46" s="3">
        <v>1</v>
      </c>
    </row>
    <row r="47" spans="1:25" ht="17" x14ac:dyDescent="0.2">
      <c r="A47" s="3" t="s">
        <v>150</v>
      </c>
      <c r="B47" s="16" t="s">
        <v>149</v>
      </c>
      <c r="C47" s="3" t="s">
        <v>151</v>
      </c>
      <c r="D47" t="s">
        <v>153</v>
      </c>
      <c r="E47" s="3" t="s">
        <v>27</v>
      </c>
      <c r="F47">
        <v>0</v>
      </c>
      <c r="G47" t="s">
        <v>152</v>
      </c>
      <c r="H47" t="s">
        <v>160</v>
      </c>
      <c r="I47" s="13" t="s">
        <v>78</v>
      </c>
      <c r="J47" s="3">
        <v>1</v>
      </c>
      <c r="K47" s="10" t="s">
        <v>23</v>
      </c>
      <c r="L47" s="3" t="s">
        <v>23</v>
      </c>
      <c r="M47" s="3">
        <v>1</v>
      </c>
      <c r="N47" s="3" t="s">
        <v>23</v>
      </c>
      <c r="O47" s="3">
        <v>0</v>
      </c>
      <c r="P47" s="3">
        <v>2</v>
      </c>
      <c r="Q47" s="14">
        <f>(3017+72)/S47</f>
        <v>0.99324758842443728</v>
      </c>
      <c r="R47">
        <f>17+3017</f>
        <v>3034</v>
      </c>
      <c r="S47">
        <f>17+3017+72+4</f>
        <v>3110</v>
      </c>
      <c r="T47" s="3" t="s">
        <v>23</v>
      </c>
      <c r="U47" s="3" t="s">
        <v>23</v>
      </c>
      <c r="V47" s="3">
        <f t="shared" si="6"/>
        <v>0.97556270096463027</v>
      </c>
      <c r="W47" s="3">
        <v>1</v>
      </c>
    </row>
    <row r="48" spans="1:25" ht="17" x14ac:dyDescent="0.2">
      <c r="A48" s="3" t="s">
        <v>150</v>
      </c>
      <c r="B48" s="16" t="s">
        <v>149</v>
      </c>
      <c r="C48" s="3" t="s">
        <v>151</v>
      </c>
      <c r="D48" t="s">
        <v>153</v>
      </c>
      <c r="E48" s="3" t="s">
        <v>27</v>
      </c>
      <c r="F48">
        <v>0</v>
      </c>
      <c r="G48" t="s">
        <v>152</v>
      </c>
      <c r="H48" t="s">
        <v>159</v>
      </c>
      <c r="I48" s="13" t="s">
        <v>78</v>
      </c>
      <c r="J48" s="3">
        <v>1</v>
      </c>
      <c r="K48" s="10" t="s">
        <v>23</v>
      </c>
      <c r="L48" s="3" t="s">
        <v>23</v>
      </c>
      <c r="M48" s="3">
        <v>1</v>
      </c>
      <c r="N48" s="3" t="s">
        <v>23</v>
      </c>
      <c r="O48" s="3">
        <v>0</v>
      </c>
      <c r="P48" s="3">
        <v>2</v>
      </c>
      <c r="Q48" s="14">
        <f>(3094+1)/S48</f>
        <v>0.99517684887459812</v>
      </c>
      <c r="R48">
        <f>8+3094</f>
        <v>3102</v>
      </c>
      <c r="S48">
        <f>8+3094+1+7</f>
        <v>3110</v>
      </c>
      <c r="T48" s="3" t="s">
        <v>23</v>
      </c>
      <c r="U48" s="3" t="s">
        <v>23</v>
      </c>
      <c r="V48" s="3">
        <f t="shared" si="6"/>
        <v>0.99742765273311895</v>
      </c>
      <c r="W48" s="3">
        <v>1</v>
      </c>
    </row>
    <row r="49" spans="1:23" ht="17" x14ac:dyDescent="0.2">
      <c r="A49" s="3" t="s">
        <v>150</v>
      </c>
      <c r="B49" s="16" t="s">
        <v>149</v>
      </c>
      <c r="C49" s="3" t="s">
        <v>151</v>
      </c>
      <c r="D49" t="s">
        <v>153</v>
      </c>
      <c r="E49" s="3" t="s">
        <v>27</v>
      </c>
      <c r="F49">
        <v>0</v>
      </c>
      <c r="G49" t="s">
        <v>152</v>
      </c>
      <c r="H49" t="s">
        <v>158</v>
      </c>
      <c r="I49" s="13" t="s">
        <v>78</v>
      </c>
      <c r="J49" s="3">
        <v>1</v>
      </c>
      <c r="K49" s="10" t="s">
        <v>23</v>
      </c>
      <c r="L49" s="3" t="s">
        <v>23</v>
      </c>
      <c r="M49" s="3">
        <v>1</v>
      </c>
      <c r="N49" s="3" t="s">
        <v>23</v>
      </c>
      <c r="O49" s="3">
        <v>0</v>
      </c>
      <c r="P49" s="3">
        <v>2</v>
      </c>
      <c r="Q49" s="14">
        <f>(3091+0)/S49</f>
        <v>0.9938906752411576</v>
      </c>
      <c r="R49">
        <f>9+3091</f>
        <v>3100</v>
      </c>
      <c r="S49">
        <f>9+3091+0+10</f>
        <v>3110</v>
      </c>
      <c r="T49" s="3" t="s">
        <v>23</v>
      </c>
      <c r="U49" s="3" t="s">
        <v>23</v>
      </c>
      <c r="V49" s="3">
        <f t="shared" si="6"/>
        <v>0.99678456591639875</v>
      </c>
      <c r="W49" s="3">
        <v>1</v>
      </c>
    </row>
    <row r="50" spans="1:23" ht="17" x14ac:dyDescent="0.2">
      <c r="A50" s="3" t="s">
        <v>150</v>
      </c>
      <c r="B50" s="16" t="s">
        <v>149</v>
      </c>
      <c r="C50" s="3" t="s">
        <v>151</v>
      </c>
      <c r="D50" t="s">
        <v>153</v>
      </c>
      <c r="E50" s="3" t="s">
        <v>27</v>
      </c>
      <c r="F50">
        <v>0</v>
      </c>
      <c r="G50" t="s">
        <v>152</v>
      </c>
      <c r="H50" t="s">
        <v>157</v>
      </c>
      <c r="I50" s="13" t="s">
        <v>78</v>
      </c>
      <c r="J50" s="3">
        <v>1</v>
      </c>
      <c r="K50" s="10" t="s">
        <v>23</v>
      </c>
      <c r="L50" s="3" t="s">
        <v>23</v>
      </c>
      <c r="M50" s="3">
        <v>1</v>
      </c>
      <c r="N50" s="3" t="s">
        <v>23</v>
      </c>
      <c r="O50" s="3">
        <v>0</v>
      </c>
      <c r="P50" s="3">
        <v>2</v>
      </c>
      <c r="Q50" s="14">
        <f>(3088+3)/S50</f>
        <v>0.9938906752411576</v>
      </c>
      <c r="R50">
        <f>18+3088</f>
        <v>3106</v>
      </c>
      <c r="S50">
        <f>18+3088+3+1</f>
        <v>3110</v>
      </c>
      <c r="T50" s="3" t="s">
        <v>23</v>
      </c>
      <c r="U50" s="3" t="s">
        <v>23</v>
      </c>
      <c r="V50" s="3">
        <f t="shared" si="6"/>
        <v>0.99871382636655948</v>
      </c>
      <c r="W50" s="3">
        <v>1</v>
      </c>
    </row>
    <row r="51" spans="1:23" ht="17" x14ac:dyDescent="0.2">
      <c r="A51" s="3" t="s">
        <v>150</v>
      </c>
      <c r="B51" s="16" t="s">
        <v>149</v>
      </c>
      <c r="C51" s="3" t="s">
        <v>151</v>
      </c>
      <c r="D51" t="s">
        <v>153</v>
      </c>
      <c r="E51" s="3" t="s">
        <v>27</v>
      </c>
      <c r="F51">
        <v>0</v>
      </c>
      <c r="G51" t="s">
        <v>152</v>
      </c>
      <c r="H51" t="s">
        <v>156</v>
      </c>
      <c r="I51" s="13" t="s">
        <v>78</v>
      </c>
      <c r="J51" s="3">
        <v>1</v>
      </c>
      <c r="K51" s="10" t="s">
        <v>23</v>
      </c>
      <c r="L51" s="3" t="s">
        <v>23</v>
      </c>
      <c r="M51" s="3">
        <v>1</v>
      </c>
      <c r="N51" s="3" t="s">
        <v>23</v>
      </c>
      <c r="O51" s="3">
        <v>0</v>
      </c>
      <c r="P51" s="3">
        <v>2</v>
      </c>
      <c r="Q51" s="14">
        <f>(3090+1)/S51</f>
        <v>0.9938906752411576</v>
      </c>
      <c r="R51">
        <f>13+3090</f>
        <v>3103</v>
      </c>
      <c r="S51">
        <f>13+3090+1+6</f>
        <v>3110</v>
      </c>
      <c r="T51" s="3" t="s">
        <v>23</v>
      </c>
      <c r="U51" s="3" t="s">
        <v>23</v>
      </c>
      <c r="V51" s="3">
        <f t="shared" si="6"/>
        <v>0.99774919614147906</v>
      </c>
      <c r="W51" s="3">
        <v>1</v>
      </c>
    </row>
    <row r="52" spans="1:23" ht="17" x14ac:dyDescent="0.2">
      <c r="A52" s="3" t="s">
        <v>150</v>
      </c>
      <c r="B52" s="16" t="s">
        <v>149</v>
      </c>
      <c r="C52" s="3" t="s">
        <v>151</v>
      </c>
      <c r="D52" t="s">
        <v>153</v>
      </c>
      <c r="E52" s="3" t="s">
        <v>27</v>
      </c>
      <c r="F52">
        <v>0</v>
      </c>
      <c r="G52" t="s">
        <v>152</v>
      </c>
      <c r="H52" t="s">
        <v>155</v>
      </c>
      <c r="I52" s="13" t="s">
        <v>78</v>
      </c>
      <c r="J52" s="3">
        <v>1</v>
      </c>
      <c r="K52" s="10" t="s">
        <v>23</v>
      </c>
      <c r="L52" s="3" t="s">
        <v>23</v>
      </c>
      <c r="M52" s="3">
        <v>1</v>
      </c>
      <c r="N52" s="3" t="s">
        <v>23</v>
      </c>
      <c r="O52" s="3">
        <v>0</v>
      </c>
      <c r="P52" s="3">
        <v>2</v>
      </c>
      <c r="Q52" s="14">
        <f>(3090+1)/S52</f>
        <v>0.9938906752411576</v>
      </c>
      <c r="R52">
        <f>12+3090</f>
        <v>3102</v>
      </c>
      <c r="S52">
        <f>12+3090+1+7</f>
        <v>3110</v>
      </c>
      <c r="T52" s="3" t="s">
        <v>23</v>
      </c>
      <c r="U52" s="3" t="s">
        <v>23</v>
      </c>
      <c r="V52" s="3">
        <f t="shared" si="6"/>
        <v>0.99742765273311895</v>
      </c>
      <c r="W52" s="3">
        <v>1</v>
      </c>
    </row>
    <row r="53" spans="1:23" ht="17" x14ac:dyDescent="0.2">
      <c r="A53" s="3" t="s">
        <v>150</v>
      </c>
      <c r="B53" s="16" t="s">
        <v>149</v>
      </c>
      <c r="C53" s="3" t="s">
        <v>151</v>
      </c>
      <c r="D53" t="s">
        <v>153</v>
      </c>
      <c r="E53" s="3" t="s">
        <v>27</v>
      </c>
      <c r="F53">
        <v>0</v>
      </c>
      <c r="G53" t="s">
        <v>152</v>
      </c>
      <c r="H53" t="s">
        <v>154</v>
      </c>
      <c r="I53" s="13" t="s">
        <v>78</v>
      </c>
      <c r="J53" s="3">
        <v>1</v>
      </c>
      <c r="K53" s="10" t="s">
        <v>23</v>
      </c>
      <c r="L53" s="3" t="s">
        <v>23</v>
      </c>
      <c r="M53" s="3">
        <v>1</v>
      </c>
      <c r="N53" s="3" t="s">
        <v>23</v>
      </c>
      <c r="O53" s="3">
        <v>0</v>
      </c>
      <c r="P53" s="3">
        <v>2</v>
      </c>
      <c r="Q53" s="14">
        <f>(3090+1)/S53</f>
        <v>0.9938906752411576</v>
      </c>
      <c r="R53">
        <f>19+3091</f>
        <v>3110</v>
      </c>
      <c r="S53">
        <f>19+3091+0+0</f>
        <v>3110</v>
      </c>
      <c r="T53" s="3" t="s">
        <v>23</v>
      </c>
      <c r="U53" s="3" t="s">
        <v>23</v>
      </c>
      <c r="V53" s="3">
        <f t="shared" si="6"/>
        <v>1</v>
      </c>
      <c r="W53" s="3">
        <v>1</v>
      </c>
    </row>
    <row r="54" spans="1:23" ht="17" x14ac:dyDescent="0.2">
      <c r="A54" s="3" t="s">
        <v>150</v>
      </c>
      <c r="B54" s="16" t="s">
        <v>149</v>
      </c>
      <c r="C54" s="3" t="s">
        <v>151</v>
      </c>
      <c r="D54" t="s">
        <v>75</v>
      </c>
      <c r="E54" s="3" t="s">
        <v>27</v>
      </c>
      <c r="F54">
        <v>0</v>
      </c>
      <c r="G54" t="s">
        <v>152</v>
      </c>
      <c r="H54" t="s">
        <v>162</v>
      </c>
      <c r="I54" s="13" t="s">
        <v>78</v>
      </c>
      <c r="J54" s="3">
        <v>1</v>
      </c>
      <c r="K54" s="10" t="s">
        <v>23</v>
      </c>
      <c r="L54" s="3" t="s">
        <v>23</v>
      </c>
      <c r="M54" s="3">
        <v>1</v>
      </c>
      <c r="N54" s="3" t="s">
        <v>23</v>
      </c>
      <c r="O54" s="3">
        <v>0</v>
      </c>
      <c r="P54" s="3">
        <v>2</v>
      </c>
      <c r="Q54" s="14">
        <f>(4430+10)/S54</f>
        <v>0.99062918340026773</v>
      </c>
      <c r="R54">
        <f>42+4430</f>
        <v>4472</v>
      </c>
      <c r="S54">
        <f>42+4430+10+0</f>
        <v>4482</v>
      </c>
      <c r="T54" s="3" t="s">
        <v>23</v>
      </c>
      <c r="U54" s="3" t="s">
        <v>23</v>
      </c>
      <c r="V54" s="3">
        <f t="shared" si="6"/>
        <v>0.99776885319053998</v>
      </c>
      <c r="W54" s="3">
        <v>1</v>
      </c>
    </row>
    <row r="55" spans="1:23" ht="17" x14ac:dyDescent="0.2">
      <c r="A55" s="3" t="s">
        <v>150</v>
      </c>
      <c r="B55" s="16" t="s">
        <v>149</v>
      </c>
      <c r="C55" s="3" t="s">
        <v>151</v>
      </c>
      <c r="D55" t="s">
        <v>75</v>
      </c>
      <c r="E55" s="3" t="s">
        <v>27</v>
      </c>
      <c r="F55">
        <v>0</v>
      </c>
      <c r="G55" t="s">
        <v>152</v>
      </c>
      <c r="H55" t="s">
        <v>161</v>
      </c>
      <c r="I55" s="13" t="s">
        <v>78</v>
      </c>
      <c r="J55" s="3">
        <v>1</v>
      </c>
      <c r="K55" s="10" t="s">
        <v>23</v>
      </c>
      <c r="L55" s="3" t="s">
        <v>23</v>
      </c>
      <c r="M55" s="3">
        <v>1</v>
      </c>
      <c r="N55" s="3" t="s">
        <v>23</v>
      </c>
      <c r="O55" s="3">
        <v>0</v>
      </c>
      <c r="P55" s="3">
        <v>2</v>
      </c>
      <c r="Q55" s="14">
        <f>(4359+10)/S55</f>
        <v>0.97478804105310124</v>
      </c>
      <c r="R55">
        <f>113+4359</f>
        <v>4472</v>
      </c>
      <c r="S55">
        <f>113+4359+10+0</f>
        <v>4482</v>
      </c>
      <c r="T55" s="3" t="s">
        <v>23</v>
      </c>
      <c r="U55" s="3" t="s">
        <v>23</v>
      </c>
      <c r="V55" s="3">
        <f t="shared" si="6"/>
        <v>0.99776885319053998</v>
      </c>
      <c r="W55" s="3">
        <v>1</v>
      </c>
    </row>
    <row r="56" spans="1:23" ht="17" x14ac:dyDescent="0.2">
      <c r="A56" s="3" t="s">
        <v>150</v>
      </c>
      <c r="B56" s="16" t="s">
        <v>149</v>
      </c>
      <c r="C56" s="3" t="s">
        <v>151</v>
      </c>
      <c r="D56" t="s">
        <v>75</v>
      </c>
      <c r="E56" s="3" t="s">
        <v>27</v>
      </c>
      <c r="F56">
        <v>0</v>
      </c>
      <c r="G56" t="s">
        <v>152</v>
      </c>
      <c r="H56" t="s">
        <v>160</v>
      </c>
      <c r="I56" s="13" t="s">
        <v>78</v>
      </c>
      <c r="J56" s="3">
        <v>1</v>
      </c>
      <c r="K56" s="10" t="s">
        <v>23</v>
      </c>
      <c r="L56" s="3" t="s">
        <v>23</v>
      </c>
      <c r="M56" s="3">
        <v>1</v>
      </c>
      <c r="N56" s="3" t="s">
        <v>23</v>
      </c>
      <c r="O56" s="3">
        <v>0</v>
      </c>
      <c r="P56" s="3">
        <v>2</v>
      </c>
      <c r="Q56" s="14">
        <f>(4418+7)/S56</f>
        <v>0.9872824631860776</v>
      </c>
      <c r="R56">
        <f>57+4418</f>
        <v>4475</v>
      </c>
      <c r="S56">
        <f>57+4418+7+0</f>
        <v>4482</v>
      </c>
      <c r="T56" s="3" t="s">
        <v>23</v>
      </c>
      <c r="U56" s="3" t="s">
        <v>23</v>
      </c>
      <c r="V56" s="3">
        <f t="shared" si="6"/>
        <v>0.99843819723337801</v>
      </c>
      <c r="W56" s="3">
        <v>1</v>
      </c>
    </row>
    <row r="57" spans="1:23" ht="17" x14ac:dyDescent="0.2">
      <c r="A57" s="3" t="s">
        <v>150</v>
      </c>
      <c r="B57" s="16" t="s">
        <v>149</v>
      </c>
      <c r="C57" s="3" t="s">
        <v>151</v>
      </c>
      <c r="D57" t="s">
        <v>75</v>
      </c>
      <c r="E57" s="3" t="s">
        <v>27</v>
      </c>
      <c r="F57">
        <v>0</v>
      </c>
      <c r="G57" t="s">
        <v>152</v>
      </c>
      <c r="H57" t="s">
        <v>159</v>
      </c>
      <c r="I57" s="13" t="s">
        <v>78</v>
      </c>
      <c r="J57" s="3">
        <v>1</v>
      </c>
      <c r="K57" s="10" t="s">
        <v>23</v>
      </c>
      <c r="L57" s="3" t="s">
        <v>23</v>
      </c>
      <c r="M57" s="3">
        <v>1</v>
      </c>
      <c r="N57" s="3" t="s">
        <v>23</v>
      </c>
      <c r="O57" s="3">
        <v>0</v>
      </c>
      <c r="P57" s="3">
        <v>2</v>
      </c>
      <c r="Q57" s="14">
        <f>(4449+1)/S57</f>
        <v>0.99286033020972775</v>
      </c>
      <c r="R57">
        <f>13+4449</f>
        <v>4462</v>
      </c>
      <c r="S57">
        <f>13+4449+1+19</f>
        <v>4482</v>
      </c>
      <c r="T57" s="3" t="s">
        <v>23</v>
      </c>
      <c r="U57" s="3" t="s">
        <v>23</v>
      </c>
      <c r="V57" s="3">
        <f t="shared" si="6"/>
        <v>0.99553770638107986</v>
      </c>
      <c r="W57" s="3">
        <v>1</v>
      </c>
    </row>
    <row r="58" spans="1:23" ht="17" x14ac:dyDescent="0.2">
      <c r="A58" s="3" t="s">
        <v>150</v>
      </c>
      <c r="B58" s="16" t="s">
        <v>149</v>
      </c>
      <c r="C58" s="3" t="s">
        <v>151</v>
      </c>
      <c r="D58" t="s">
        <v>75</v>
      </c>
      <c r="E58" s="3" t="s">
        <v>27</v>
      </c>
      <c r="F58">
        <v>0</v>
      </c>
      <c r="G58" t="s">
        <v>152</v>
      </c>
      <c r="H58" t="s">
        <v>158</v>
      </c>
      <c r="I58" s="13" t="s">
        <v>78</v>
      </c>
      <c r="J58" s="3">
        <v>1</v>
      </c>
      <c r="K58" s="10" t="s">
        <v>23</v>
      </c>
      <c r="L58" s="3" t="s">
        <v>23</v>
      </c>
      <c r="M58" s="3">
        <v>1</v>
      </c>
      <c r="N58" s="3" t="s">
        <v>23</v>
      </c>
      <c r="O58" s="3">
        <v>0</v>
      </c>
      <c r="P58" s="3">
        <v>2</v>
      </c>
      <c r="Q58" s="14">
        <f>(4442+0)/R58</f>
        <v>0.99440340273113947</v>
      </c>
      <c r="R58">
        <f>25+4442</f>
        <v>4467</v>
      </c>
      <c r="S58">
        <f>25+4442+0+15</f>
        <v>4482</v>
      </c>
      <c r="T58" s="3" t="s">
        <v>23</v>
      </c>
      <c r="U58" s="3" t="s">
        <v>23</v>
      </c>
      <c r="V58" s="3">
        <f t="shared" si="6"/>
        <v>0.99665327978580986</v>
      </c>
      <c r="W58" s="3">
        <v>1</v>
      </c>
    </row>
    <row r="59" spans="1:23" ht="17" x14ac:dyDescent="0.2">
      <c r="A59" s="3" t="s">
        <v>150</v>
      </c>
      <c r="B59" s="16" t="s">
        <v>149</v>
      </c>
      <c r="C59" s="3" t="s">
        <v>151</v>
      </c>
      <c r="D59" t="s">
        <v>75</v>
      </c>
      <c r="E59" s="3" t="s">
        <v>27</v>
      </c>
      <c r="F59">
        <v>0</v>
      </c>
      <c r="G59" t="s">
        <v>152</v>
      </c>
      <c r="H59" t="s">
        <v>157</v>
      </c>
      <c r="I59" s="13" t="s">
        <v>78</v>
      </c>
      <c r="J59" s="3">
        <v>1</v>
      </c>
      <c r="K59" s="10" t="s">
        <v>23</v>
      </c>
      <c r="L59" s="3" t="s">
        <v>23</v>
      </c>
      <c r="M59" s="3">
        <v>1</v>
      </c>
      <c r="N59" s="3" t="s">
        <v>23</v>
      </c>
      <c r="O59" s="3">
        <v>0</v>
      </c>
      <c r="P59" s="3">
        <v>2</v>
      </c>
      <c r="Q59" s="14">
        <f>(4437+5)/S59</f>
        <v>0.99107541276215971</v>
      </c>
      <c r="R59">
        <f>40+4437</f>
        <v>4477</v>
      </c>
      <c r="S59">
        <f>40+4437+5+0</f>
        <v>4482</v>
      </c>
      <c r="T59" s="3" t="s">
        <v>23</v>
      </c>
      <c r="U59" s="3" t="s">
        <v>23</v>
      </c>
      <c r="V59" s="3">
        <f t="shared" si="6"/>
        <v>0.99888442659526999</v>
      </c>
      <c r="W59" s="3">
        <v>1</v>
      </c>
    </row>
    <row r="60" spans="1:23" ht="17" x14ac:dyDescent="0.2">
      <c r="A60" s="3" t="s">
        <v>150</v>
      </c>
      <c r="B60" s="16" t="s">
        <v>149</v>
      </c>
      <c r="C60" s="3" t="s">
        <v>151</v>
      </c>
      <c r="D60" t="s">
        <v>75</v>
      </c>
      <c r="E60" s="3" t="s">
        <v>27</v>
      </c>
      <c r="F60">
        <v>0</v>
      </c>
      <c r="G60" t="s">
        <v>152</v>
      </c>
      <c r="H60" t="s">
        <v>156</v>
      </c>
      <c r="I60" s="13" t="s">
        <v>78</v>
      </c>
      <c r="J60" s="3">
        <v>1</v>
      </c>
      <c r="K60" s="10" t="s">
        <v>23</v>
      </c>
      <c r="L60" s="3" t="s">
        <v>23</v>
      </c>
      <c r="M60" s="3">
        <v>1</v>
      </c>
      <c r="N60" s="3" t="s">
        <v>23</v>
      </c>
      <c r="O60" s="3">
        <v>0</v>
      </c>
      <c r="P60" s="3">
        <v>2</v>
      </c>
      <c r="Q60" s="14">
        <f>(4441+1)/S60</f>
        <v>0.99173922750613974</v>
      </c>
      <c r="R60">
        <f>37+4441</f>
        <v>4478</v>
      </c>
      <c r="S60">
        <f>37+4441+1+0</f>
        <v>4479</v>
      </c>
      <c r="T60" s="3" t="s">
        <v>23</v>
      </c>
      <c r="U60" s="3" t="s">
        <v>23</v>
      </c>
      <c r="V60" s="3">
        <f t="shared" si="6"/>
        <v>0.99977673587854432</v>
      </c>
      <c r="W60" s="3">
        <v>1</v>
      </c>
    </row>
    <row r="61" spans="1:23" ht="17" x14ac:dyDescent="0.2">
      <c r="A61" s="3" t="s">
        <v>150</v>
      </c>
      <c r="B61" s="16" t="s">
        <v>149</v>
      </c>
      <c r="C61" s="3" t="s">
        <v>151</v>
      </c>
      <c r="D61" t="s">
        <v>75</v>
      </c>
      <c r="E61" s="3" t="s">
        <v>27</v>
      </c>
      <c r="F61">
        <v>0</v>
      </c>
      <c r="G61" t="s">
        <v>152</v>
      </c>
      <c r="H61" t="s">
        <v>155</v>
      </c>
      <c r="I61" s="13" t="s">
        <v>78</v>
      </c>
      <c r="J61" s="3">
        <v>1</v>
      </c>
      <c r="K61" s="10" t="s">
        <v>23</v>
      </c>
      <c r="L61" s="3" t="s">
        <v>23</v>
      </c>
      <c r="M61" s="3">
        <v>1</v>
      </c>
      <c r="N61" s="3" t="s">
        <v>23</v>
      </c>
      <c r="O61" s="3">
        <v>0</v>
      </c>
      <c r="P61" s="3">
        <v>2</v>
      </c>
      <c r="Q61" s="14">
        <f>(4442+0)/S61</f>
        <v>0.99107541276215971</v>
      </c>
      <c r="R61">
        <f>38+4442</f>
        <v>4480</v>
      </c>
      <c r="S61">
        <f>38+4442+0+2</f>
        <v>4482</v>
      </c>
      <c r="T61" s="3" t="s">
        <v>23</v>
      </c>
      <c r="U61" s="3" t="s">
        <v>23</v>
      </c>
      <c r="V61" s="3">
        <f t="shared" si="6"/>
        <v>0.99955377063810802</v>
      </c>
      <c r="W61" s="3">
        <v>1</v>
      </c>
    </row>
    <row r="62" spans="1:23" ht="17" x14ac:dyDescent="0.2">
      <c r="A62" s="3" t="s">
        <v>150</v>
      </c>
      <c r="B62" s="16" t="s">
        <v>149</v>
      </c>
      <c r="C62" s="3" t="s">
        <v>151</v>
      </c>
      <c r="D62" t="s">
        <v>75</v>
      </c>
      <c r="E62" s="3" t="s">
        <v>27</v>
      </c>
      <c r="F62">
        <v>0</v>
      </c>
      <c r="G62" t="s">
        <v>152</v>
      </c>
      <c r="H62" t="s">
        <v>154</v>
      </c>
      <c r="I62" s="13" t="s">
        <v>78</v>
      </c>
      <c r="J62" s="3">
        <v>1</v>
      </c>
      <c r="K62" s="10" t="s">
        <v>23</v>
      </c>
      <c r="L62" s="3" t="s">
        <v>23</v>
      </c>
      <c r="M62" s="3">
        <v>1</v>
      </c>
      <c r="N62" s="3" t="s">
        <v>23</v>
      </c>
      <c r="O62" s="3">
        <v>0</v>
      </c>
      <c r="P62" s="3">
        <v>2</v>
      </c>
      <c r="Q62" s="14">
        <f>(4442+0)/S62</f>
        <v>0.99107541276215971</v>
      </c>
      <c r="R62">
        <f>40+4442</f>
        <v>4482</v>
      </c>
      <c r="S62">
        <f>40+4442+0+0</f>
        <v>4482</v>
      </c>
      <c r="T62" s="3" t="s">
        <v>23</v>
      </c>
      <c r="U62" s="3" t="s">
        <v>23</v>
      </c>
      <c r="V62" s="3">
        <f t="shared" si="6"/>
        <v>1</v>
      </c>
      <c r="W62" s="3">
        <v>1</v>
      </c>
    </row>
    <row r="63" spans="1:23" ht="17" x14ac:dyDescent="0.2">
      <c r="A63" s="3" t="s">
        <v>150</v>
      </c>
      <c r="B63" s="16" t="s">
        <v>149</v>
      </c>
      <c r="C63" s="3" t="s">
        <v>151</v>
      </c>
      <c r="D63" t="s">
        <v>105</v>
      </c>
      <c r="E63" s="3" t="s">
        <v>27</v>
      </c>
      <c r="F63">
        <v>0</v>
      </c>
      <c r="G63" t="s">
        <v>152</v>
      </c>
      <c r="H63" t="s">
        <v>162</v>
      </c>
      <c r="I63" s="13" t="s">
        <v>78</v>
      </c>
      <c r="J63" s="3">
        <v>1</v>
      </c>
      <c r="K63" s="10" t="s">
        <v>23</v>
      </c>
      <c r="L63" s="3" t="s">
        <v>23</v>
      </c>
      <c r="M63" s="3">
        <v>1</v>
      </c>
      <c r="N63" s="3" t="s">
        <v>23</v>
      </c>
      <c r="O63" s="3">
        <v>0</v>
      </c>
      <c r="P63" s="3">
        <v>2</v>
      </c>
      <c r="Q63" s="14">
        <f>(3882+1024)/S63</f>
        <v>0.97573587907716786</v>
      </c>
      <c r="R63">
        <f>122+3882</f>
        <v>4004</v>
      </c>
      <c r="S63">
        <f>122+3882+1024+0</f>
        <v>5028</v>
      </c>
      <c r="T63" s="3" t="s">
        <v>23</v>
      </c>
      <c r="U63" s="3" t="s">
        <v>23</v>
      </c>
      <c r="V63" s="3">
        <f t="shared" si="6"/>
        <v>0.79634049323786793</v>
      </c>
      <c r="W63" s="3">
        <v>1</v>
      </c>
    </row>
    <row r="64" spans="1:23" ht="17" x14ac:dyDescent="0.2">
      <c r="A64" s="3" t="s">
        <v>150</v>
      </c>
      <c r="B64" s="16" t="s">
        <v>149</v>
      </c>
      <c r="C64" s="3" t="s">
        <v>151</v>
      </c>
      <c r="D64" t="s">
        <v>105</v>
      </c>
      <c r="E64" s="3" t="s">
        <v>27</v>
      </c>
      <c r="F64">
        <v>0</v>
      </c>
      <c r="G64" t="s">
        <v>152</v>
      </c>
      <c r="H64" t="s">
        <v>161</v>
      </c>
      <c r="I64" s="13" t="s">
        <v>78</v>
      </c>
      <c r="J64" s="3">
        <v>1</v>
      </c>
      <c r="K64" s="10" t="s">
        <v>23</v>
      </c>
      <c r="L64" s="3" t="s">
        <v>23</v>
      </c>
      <c r="M64" s="3">
        <v>1</v>
      </c>
      <c r="N64" s="3" t="s">
        <v>23</v>
      </c>
      <c r="O64" s="3">
        <v>0</v>
      </c>
      <c r="P64" s="3">
        <v>2</v>
      </c>
      <c r="Q64" s="14">
        <f>(3078+1024)/S64</f>
        <v>0.9711174242424242</v>
      </c>
      <c r="R64">
        <f>84+3078</f>
        <v>3162</v>
      </c>
      <c r="S64">
        <f>84+3078+1024+38</f>
        <v>4224</v>
      </c>
      <c r="T64" s="3" t="s">
        <v>23</v>
      </c>
      <c r="U64" s="3" t="s">
        <v>23</v>
      </c>
      <c r="V64" s="3">
        <f t="shared" si="6"/>
        <v>0.74857954545454541</v>
      </c>
      <c r="W64" s="3">
        <v>1</v>
      </c>
    </row>
    <row r="65" spans="1:24" ht="17" x14ac:dyDescent="0.2">
      <c r="A65" s="3" t="s">
        <v>150</v>
      </c>
      <c r="B65" s="16" t="s">
        <v>149</v>
      </c>
      <c r="C65" s="3" t="s">
        <v>151</v>
      </c>
      <c r="D65" t="s">
        <v>105</v>
      </c>
      <c r="E65" s="3" t="s">
        <v>27</v>
      </c>
      <c r="F65">
        <v>0</v>
      </c>
      <c r="G65" t="s">
        <v>152</v>
      </c>
      <c r="H65" t="s">
        <v>160</v>
      </c>
      <c r="I65" s="13" t="s">
        <v>78</v>
      </c>
      <c r="J65" s="3">
        <v>1</v>
      </c>
      <c r="K65" s="10" t="s">
        <v>23</v>
      </c>
      <c r="L65" s="3" t="s">
        <v>23</v>
      </c>
      <c r="M65" s="3">
        <v>1</v>
      </c>
      <c r="N65" s="3" t="s">
        <v>23</v>
      </c>
      <c r="O65" s="3">
        <v>0</v>
      </c>
      <c r="P65" s="3">
        <v>2</v>
      </c>
      <c r="Q65" s="14">
        <f>(3883+219)/S65</f>
        <v>0.9711174242424242</v>
      </c>
      <c r="R65">
        <f>16+3883</f>
        <v>3899</v>
      </c>
      <c r="S65">
        <f>16+3883+219+106</f>
        <v>4224</v>
      </c>
      <c r="T65" s="3" t="s">
        <v>23</v>
      </c>
      <c r="U65" s="3" t="s">
        <v>23</v>
      </c>
      <c r="V65" s="3">
        <f t="shared" si="6"/>
        <v>0.92305871212121215</v>
      </c>
      <c r="W65" s="3">
        <v>1</v>
      </c>
    </row>
    <row r="66" spans="1:24" ht="17" x14ac:dyDescent="0.2">
      <c r="A66" s="3" t="s">
        <v>150</v>
      </c>
      <c r="B66" s="16" t="s">
        <v>149</v>
      </c>
      <c r="C66" s="3" t="s">
        <v>151</v>
      </c>
      <c r="D66" t="s">
        <v>105</v>
      </c>
      <c r="E66" s="3" t="s">
        <v>27</v>
      </c>
      <c r="F66">
        <v>0</v>
      </c>
      <c r="G66" t="s">
        <v>152</v>
      </c>
      <c r="H66" t="s">
        <v>159</v>
      </c>
      <c r="I66" s="13" t="s">
        <v>78</v>
      </c>
      <c r="J66" s="3">
        <v>1</v>
      </c>
      <c r="K66" s="10" t="s">
        <v>23</v>
      </c>
      <c r="L66" s="3" t="s">
        <v>23</v>
      </c>
      <c r="M66" s="3">
        <v>1</v>
      </c>
      <c r="N66" s="3" t="s">
        <v>23</v>
      </c>
      <c r="O66" s="3">
        <v>0</v>
      </c>
      <c r="P66" s="3">
        <v>2</v>
      </c>
      <c r="Q66" s="14">
        <f>(4102+0)/S66</f>
        <v>0.9711174242424242</v>
      </c>
      <c r="R66">
        <f>8+4102</f>
        <v>4110</v>
      </c>
      <c r="S66">
        <f>8+4102+0+114</f>
        <v>4224</v>
      </c>
      <c r="T66" s="3" t="s">
        <v>23</v>
      </c>
      <c r="U66" s="3" t="s">
        <v>23</v>
      </c>
      <c r="V66" s="3">
        <f t="shared" si="6"/>
        <v>0.97301136363636365</v>
      </c>
      <c r="W66" s="3">
        <v>1</v>
      </c>
    </row>
    <row r="67" spans="1:24" ht="17" x14ac:dyDescent="0.2">
      <c r="A67" s="3" t="s">
        <v>150</v>
      </c>
      <c r="B67" s="16" t="s">
        <v>149</v>
      </c>
      <c r="C67" s="3" t="s">
        <v>151</v>
      </c>
      <c r="D67" t="s">
        <v>105</v>
      </c>
      <c r="E67" s="3" t="s">
        <v>27</v>
      </c>
      <c r="F67">
        <v>0</v>
      </c>
      <c r="G67" t="s">
        <v>152</v>
      </c>
      <c r="H67" t="s">
        <v>158</v>
      </c>
      <c r="I67" s="13" t="s">
        <v>78</v>
      </c>
      <c r="J67" s="3">
        <v>1</v>
      </c>
      <c r="K67" s="10" t="s">
        <v>23</v>
      </c>
      <c r="L67" s="3" t="s">
        <v>23</v>
      </c>
      <c r="M67" s="3">
        <v>1</v>
      </c>
      <c r="N67" s="3" t="s">
        <v>23</v>
      </c>
      <c r="O67" s="3">
        <v>0</v>
      </c>
      <c r="P67" s="3">
        <v>2</v>
      </c>
      <c r="Q67" s="14">
        <f>(4163+1)/S67</f>
        <v>0.98579545454545459</v>
      </c>
      <c r="R67">
        <f>1+4163</f>
        <v>4164</v>
      </c>
      <c r="S67">
        <f>1+4163+1+59</f>
        <v>4224</v>
      </c>
      <c r="T67" s="3" t="s">
        <v>23</v>
      </c>
      <c r="U67" s="3" t="s">
        <v>23</v>
      </c>
      <c r="V67" s="3">
        <f t="shared" si="6"/>
        <v>0.98579545454545459</v>
      </c>
      <c r="W67" s="3">
        <v>1</v>
      </c>
    </row>
    <row r="68" spans="1:24" ht="17" x14ac:dyDescent="0.2">
      <c r="A68" s="3" t="s">
        <v>150</v>
      </c>
      <c r="B68" s="16" t="s">
        <v>149</v>
      </c>
      <c r="C68" s="3" t="s">
        <v>151</v>
      </c>
      <c r="D68" t="s">
        <v>105</v>
      </c>
      <c r="E68" s="3" t="s">
        <v>27</v>
      </c>
      <c r="F68">
        <v>0</v>
      </c>
      <c r="G68" t="s">
        <v>152</v>
      </c>
      <c r="H68" t="s">
        <v>157</v>
      </c>
      <c r="I68" s="13" t="s">
        <v>78</v>
      </c>
      <c r="J68" s="3">
        <v>1</v>
      </c>
      <c r="K68" s="10" t="s">
        <v>23</v>
      </c>
      <c r="L68" s="3" t="s">
        <v>23</v>
      </c>
      <c r="M68" s="3">
        <v>1</v>
      </c>
      <c r="N68" s="3" t="s">
        <v>23</v>
      </c>
      <c r="O68" s="3">
        <v>0</v>
      </c>
      <c r="P68" s="3">
        <v>2</v>
      </c>
      <c r="Q68" s="14">
        <f>(4098+4)/S68</f>
        <v>0.9711174242424242</v>
      </c>
      <c r="R68">
        <f>52+4098</f>
        <v>4150</v>
      </c>
      <c r="S68">
        <f>52+4098+4+70</f>
        <v>4224</v>
      </c>
      <c r="T68" s="3" t="s">
        <v>23</v>
      </c>
      <c r="U68" s="3" t="s">
        <v>23</v>
      </c>
      <c r="V68" s="3">
        <f t="shared" si="6"/>
        <v>0.98248106060606055</v>
      </c>
      <c r="W68" s="3">
        <v>1</v>
      </c>
    </row>
    <row r="69" spans="1:24" ht="17" x14ac:dyDescent="0.2">
      <c r="A69" s="3" t="s">
        <v>150</v>
      </c>
      <c r="B69" s="16" t="s">
        <v>149</v>
      </c>
      <c r="C69" s="3" t="s">
        <v>151</v>
      </c>
      <c r="D69" t="s">
        <v>105</v>
      </c>
      <c r="E69" s="3" t="s">
        <v>27</v>
      </c>
      <c r="F69">
        <v>0</v>
      </c>
      <c r="G69" t="s">
        <v>152</v>
      </c>
      <c r="H69" t="s">
        <v>156</v>
      </c>
      <c r="I69" s="13" t="s">
        <v>78</v>
      </c>
      <c r="J69" s="3">
        <v>1</v>
      </c>
      <c r="K69" s="10" t="s">
        <v>23</v>
      </c>
      <c r="L69" s="3" t="s">
        <v>23</v>
      </c>
      <c r="M69" s="3">
        <v>1</v>
      </c>
      <c r="N69" s="3" t="s">
        <v>23</v>
      </c>
      <c r="O69" s="3">
        <v>0</v>
      </c>
      <c r="P69" s="3">
        <v>2</v>
      </c>
      <c r="Q69" s="14">
        <f>(4097+5)/S69</f>
        <v>0.9711174242424242</v>
      </c>
      <c r="R69">
        <f>100+4097</f>
        <v>4197</v>
      </c>
      <c r="S69">
        <f>100+4097+5+22</f>
        <v>4224</v>
      </c>
      <c r="T69" s="3" t="s">
        <v>23</v>
      </c>
      <c r="U69" s="3" t="s">
        <v>23</v>
      </c>
      <c r="V69" s="3">
        <f t="shared" si="6"/>
        <v>0.99360795454545459</v>
      </c>
      <c r="W69" s="3">
        <v>1</v>
      </c>
    </row>
    <row r="70" spans="1:24" ht="17" x14ac:dyDescent="0.2">
      <c r="A70" s="3" t="s">
        <v>150</v>
      </c>
      <c r="B70" s="16" t="s">
        <v>149</v>
      </c>
      <c r="C70" s="3" t="s">
        <v>151</v>
      </c>
      <c r="D70" t="s">
        <v>105</v>
      </c>
      <c r="E70" s="3" t="s">
        <v>27</v>
      </c>
      <c r="F70">
        <v>0</v>
      </c>
      <c r="G70" t="s">
        <v>152</v>
      </c>
      <c r="H70" t="s">
        <v>155</v>
      </c>
      <c r="I70" s="13" t="s">
        <v>78</v>
      </c>
      <c r="J70" s="3">
        <v>1</v>
      </c>
      <c r="K70" s="10" t="s">
        <v>23</v>
      </c>
      <c r="L70" s="3" t="s">
        <v>23</v>
      </c>
      <c r="M70" s="3">
        <v>1</v>
      </c>
      <c r="N70" s="3" t="s">
        <v>23</v>
      </c>
      <c r="O70" s="3">
        <v>0</v>
      </c>
      <c r="P70" s="3">
        <v>2</v>
      </c>
      <c r="Q70" s="14">
        <f>(4044+8)/S70</f>
        <v>0.9707714422616196</v>
      </c>
      <c r="R70">
        <f>90+4044</f>
        <v>4134</v>
      </c>
      <c r="S70">
        <f>90+4044+8+32</f>
        <v>4174</v>
      </c>
      <c r="T70" s="3" t="s">
        <v>23</v>
      </c>
      <c r="U70" s="3" t="s">
        <v>23</v>
      </c>
      <c r="V70" s="3">
        <f t="shared" si="6"/>
        <v>0.99041686631528514</v>
      </c>
      <c r="W70" s="3">
        <v>1</v>
      </c>
    </row>
    <row r="71" spans="1:24" ht="17" x14ac:dyDescent="0.2">
      <c r="A71" s="3" t="s">
        <v>150</v>
      </c>
      <c r="B71" s="16" t="s">
        <v>149</v>
      </c>
      <c r="C71" s="3" t="s">
        <v>151</v>
      </c>
      <c r="D71" t="s">
        <v>105</v>
      </c>
      <c r="E71" s="3" t="s">
        <v>27</v>
      </c>
      <c r="F71">
        <v>0</v>
      </c>
      <c r="G71" t="s">
        <v>152</v>
      </c>
      <c r="H71" t="s">
        <v>154</v>
      </c>
      <c r="I71" s="13" t="s">
        <v>78</v>
      </c>
      <c r="J71" s="3">
        <v>1</v>
      </c>
      <c r="K71" s="10" t="s">
        <v>23</v>
      </c>
      <c r="L71" s="3" t="s">
        <v>23</v>
      </c>
      <c r="M71" s="3">
        <v>1</v>
      </c>
      <c r="N71" s="3" t="s">
        <v>23</v>
      </c>
      <c r="O71" s="3">
        <v>0</v>
      </c>
      <c r="P71" s="3">
        <v>2</v>
      </c>
      <c r="Q71" s="14">
        <f>(4073+29)/R71</f>
        <v>0.98653198653198648</v>
      </c>
      <c r="R71">
        <f>85+4073</f>
        <v>4158</v>
      </c>
      <c r="S71">
        <f>85+4073+29+37</f>
        <v>4224</v>
      </c>
      <c r="T71" s="3" t="s">
        <v>23</v>
      </c>
      <c r="U71" s="3" t="s">
        <v>23</v>
      </c>
      <c r="V71" s="3">
        <f t="shared" si="6"/>
        <v>0.984375</v>
      </c>
      <c r="W71" s="3">
        <v>1</v>
      </c>
    </row>
    <row r="72" spans="1:24" ht="17" x14ac:dyDescent="0.2">
      <c r="A72" s="3" t="s">
        <v>165</v>
      </c>
      <c r="B72" s="16" t="s">
        <v>164</v>
      </c>
      <c r="C72" s="3" t="s">
        <v>166</v>
      </c>
      <c r="D72" t="s">
        <v>168</v>
      </c>
      <c r="E72" s="3" t="s">
        <v>27</v>
      </c>
      <c r="F72">
        <v>1</v>
      </c>
      <c r="G72" s="3" t="s">
        <v>169</v>
      </c>
      <c r="H72" t="s">
        <v>118</v>
      </c>
      <c r="I72" s="3" t="s">
        <v>118</v>
      </c>
      <c r="J72" s="3">
        <v>0</v>
      </c>
      <c r="K72" s="10" t="s">
        <v>23</v>
      </c>
      <c r="L72" s="3" t="s">
        <v>23</v>
      </c>
      <c r="M72" s="7">
        <v>1</v>
      </c>
      <c r="N72" s="3" t="s">
        <v>23</v>
      </c>
      <c r="O72" s="3">
        <v>0</v>
      </c>
      <c r="P72" s="3">
        <v>4</v>
      </c>
      <c r="Q72" t="s">
        <v>23</v>
      </c>
      <c r="R72" t="s">
        <v>23</v>
      </c>
      <c r="S72" s="8" t="s">
        <v>23</v>
      </c>
      <c r="T72">
        <v>0.89</v>
      </c>
      <c r="U72" s="3" t="s">
        <v>23</v>
      </c>
      <c r="V72" s="3" t="s">
        <v>23</v>
      </c>
      <c r="W72" s="3">
        <v>0</v>
      </c>
      <c r="X72" t="s">
        <v>167</v>
      </c>
    </row>
    <row r="73" spans="1:24" ht="17" x14ac:dyDescent="0.2">
      <c r="A73" s="3" t="s">
        <v>165</v>
      </c>
      <c r="B73" s="16" t="s">
        <v>164</v>
      </c>
      <c r="C73" s="3" t="s">
        <v>166</v>
      </c>
      <c r="D73" t="s">
        <v>168</v>
      </c>
      <c r="E73" s="3" t="s">
        <v>27</v>
      </c>
      <c r="F73">
        <v>1</v>
      </c>
      <c r="G73" s="3" t="s">
        <v>169</v>
      </c>
      <c r="H73" t="s">
        <v>170</v>
      </c>
      <c r="I73" s="3" t="s">
        <v>66</v>
      </c>
      <c r="J73" s="3">
        <v>0</v>
      </c>
      <c r="K73" s="10" t="s">
        <v>23</v>
      </c>
      <c r="L73" s="3" t="s">
        <v>23</v>
      </c>
      <c r="M73" s="7">
        <v>1</v>
      </c>
      <c r="N73" s="3" t="s">
        <v>23</v>
      </c>
      <c r="O73" s="3">
        <v>0</v>
      </c>
      <c r="P73" s="3">
        <v>4</v>
      </c>
      <c r="Q73" t="s">
        <v>23</v>
      </c>
      <c r="R73" t="s">
        <v>23</v>
      </c>
      <c r="S73" s="8" t="s">
        <v>23</v>
      </c>
      <c r="T73">
        <v>0.96</v>
      </c>
      <c r="U73" s="3" t="s">
        <v>23</v>
      </c>
      <c r="V73" s="3" t="s">
        <v>23</v>
      </c>
      <c r="W73" s="3">
        <v>0</v>
      </c>
      <c r="X73" t="s">
        <v>167</v>
      </c>
    </row>
    <row r="74" spans="1:24" ht="17" x14ac:dyDescent="0.2">
      <c r="A74" s="3" t="s">
        <v>165</v>
      </c>
      <c r="B74" s="16" t="s">
        <v>164</v>
      </c>
      <c r="C74" s="3" t="s">
        <v>166</v>
      </c>
      <c r="D74" t="s">
        <v>168</v>
      </c>
      <c r="E74" s="3" t="s">
        <v>27</v>
      </c>
      <c r="F74">
        <v>1</v>
      </c>
      <c r="G74" s="3" t="s">
        <v>169</v>
      </c>
      <c r="H74" t="s">
        <v>171</v>
      </c>
      <c r="I74" s="3" t="s">
        <v>78</v>
      </c>
      <c r="J74" s="3">
        <v>0</v>
      </c>
      <c r="K74" s="10" t="s">
        <v>23</v>
      </c>
      <c r="L74" s="3" t="s">
        <v>23</v>
      </c>
      <c r="M74" s="7">
        <v>1</v>
      </c>
      <c r="N74" s="3" t="s">
        <v>23</v>
      </c>
      <c r="O74" s="3">
        <v>0</v>
      </c>
      <c r="P74" s="3">
        <v>4</v>
      </c>
      <c r="Q74" t="s">
        <v>23</v>
      </c>
      <c r="R74" t="s">
        <v>23</v>
      </c>
      <c r="S74" s="8" t="s">
        <v>23</v>
      </c>
      <c r="T74">
        <v>0.85</v>
      </c>
      <c r="U74" s="3" t="s">
        <v>23</v>
      </c>
      <c r="V74" s="3" t="s">
        <v>23</v>
      </c>
      <c r="W74" s="3">
        <v>0</v>
      </c>
      <c r="X74" t="s">
        <v>167</v>
      </c>
    </row>
    <row r="75" spans="1:24" ht="17" x14ac:dyDescent="0.2">
      <c r="A75" s="3" t="s">
        <v>165</v>
      </c>
      <c r="B75" s="16" t="s">
        <v>164</v>
      </c>
      <c r="C75" s="3" t="s">
        <v>166</v>
      </c>
      <c r="D75" t="s">
        <v>168</v>
      </c>
      <c r="E75" s="3" t="s">
        <v>27</v>
      </c>
      <c r="F75">
        <v>1</v>
      </c>
      <c r="G75" s="3" t="s">
        <v>169</v>
      </c>
      <c r="H75" t="s">
        <v>64</v>
      </c>
      <c r="I75" s="3" t="s">
        <v>64</v>
      </c>
      <c r="J75" s="3">
        <v>0</v>
      </c>
      <c r="K75" s="10" t="s">
        <v>23</v>
      </c>
      <c r="L75" s="3" t="s">
        <v>23</v>
      </c>
      <c r="M75" s="7">
        <v>1</v>
      </c>
      <c r="N75" s="3" t="s">
        <v>23</v>
      </c>
      <c r="O75" s="3">
        <v>0</v>
      </c>
      <c r="P75" s="3">
        <v>4</v>
      </c>
      <c r="Q75" t="s">
        <v>23</v>
      </c>
      <c r="R75" t="s">
        <v>23</v>
      </c>
      <c r="S75" s="8" t="s">
        <v>23</v>
      </c>
      <c r="T75">
        <v>0.77</v>
      </c>
      <c r="U75" s="3" t="s">
        <v>23</v>
      </c>
      <c r="V75" s="3" t="s">
        <v>23</v>
      </c>
      <c r="W75" s="3">
        <v>0</v>
      </c>
      <c r="X75" t="s">
        <v>167</v>
      </c>
    </row>
    <row r="76" spans="1:24" ht="17" x14ac:dyDescent="0.2">
      <c r="A76" s="3" t="s">
        <v>165</v>
      </c>
      <c r="B76" s="16" t="s">
        <v>164</v>
      </c>
      <c r="C76" s="3" t="s">
        <v>166</v>
      </c>
      <c r="D76" t="s">
        <v>168</v>
      </c>
      <c r="E76" s="3" t="s">
        <v>27</v>
      </c>
      <c r="F76">
        <v>1</v>
      </c>
      <c r="G76" s="3" t="s">
        <v>169</v>
      </c>
      <c r="H76" t="s">
        <v>213</v>
      </c>
      <c r="I76" s="3" t="s">
        <v>21</v>
      </c>
      <c r="J76" s="3">
        <v>0</v>
      </c>
      <c r="K76" s="10" t="s">
        <v>23</v>
      </c>
      <c r="L76" s="3" t="s">
        <v>23</v>
      </c>
      <c r="M76" s="7">
        <v>1</v>
      </c>
      <c r="N76" s="3" t="s">
        <v>23</v>
      </c>
      <c r="O76" s="3">
        <v>0</v>
      </c>
      <c r="P76" s="3">
        <v>4</v>
      </c>
      <c r="Q76" t="s">
        <v>23</v>
      </c>
      <c r="R76" t="s">
        <v>23</v>
      </c>
      <c r="S76" s="8" t="s">
        <v>23</v>
      </c>
      <c r="T76">
        <v>0.93</v>
      </c>
      <c r="U76" s="3" t="s">
        <v>23</v>
      </c>
      <c r="V76" s="3" t="s">
        <v>23</v>
      </c>
      <c r="W76" s="3">
        <v>0</v>
      </c>
      <c r="X76" t="s">
        <v>167</v>
      </c>
    </row>
    <row r="77" spans="1:24" ht="17" x14ac:dyDescent="0.2">
      <c r="A77" s="3" t="s">
        <v>179</v>
      </c>
      <c r="B77" s="16" t="s">
        <v>178</v>
      </c>
      <c r="C77" s="3" t="s">
        <v>180</v>
      </c>
      <c r="D77" t="s">
        <v>184</v>
      </c>
      <c r="E77" s="3" t="s">
        <v>27</v>
      </c>
      <c r="F77" s="3">
        <v>0</v>
      </c>
      <c r="G77" s="3" t="s">
        <v>186</v>
      </c>
      <c r="H77" s="10" t="s">
        <v>183</v>
      </c>
      <c r="I77" s="3" t="s">
        <v>78</v>
      </c>
      <c r="J77" s="3">
        <v>0</v>
      </c>
      <c r="K77" s="10" t="s">
        <v>185</v>
      </c>
      <c r="L77" s="3">
        <v>4</v>
      </c>
      <c r="M77" s="7">
        <v>1</v>
      </c>
      <c r="N77">
        <v>10</v>
      </c>
      <c r="O77" s="7">
        <v>1</v>
      </c>
      <c r="P77" s="3">
        <v>3</v>
      </c>
      <c r="Q77">
        <f>(3156693+3751+10858)/S77</f>
        <v>0.98755567900988517</v>
      </c>
      <c r="R77">
        <f>3156693+16280+9217</f>
        <v>3182190</v>
      </c>
      <c r="S77">
        <f>(3156693+3751+10858)+2961+6449+16280+1772+3283+9217</f>
        <v>3211264</v>
      </c>
      <c r="T77">
        <v>0.99</v>
      </c>
      <c r="U77" s="3" t="s">
        <v>23</v>
      </c>
      <c r="V77">
        <f>R77/S77</f>
        <v>0.99094624422034439</v>
      </c>
      <c r="W77" s="3">
        <v>1</v>
      </c>
    </row>
    <row r="78" spans="1:24" ht="17" x14ac:dyDescent="0.2">
      <c r="A78" s="3" t="s">
        <v>179</v>
      </c>
      <c r="B78" s="16" t="s">
        <v>178</v>
      </c>
      <c r="C78" s="3" t="s">
        <v>180</v>
      </c>
      <c r="D78" t="s">
        <v>184</v>
      </c>
      <c r="E78" s="3" t="s">
        <v>27</v>
      </c>
      <c r="F78" s="3">
        <v>0</v>
      </c>
      <c r="G78" s="3" t="s">
        <v>96</v>
      </c>
      <c r="H78" s="10" t="s">
        <v>183</v>
      </c>
      <c r="I78" s="3" t="s">
        <v>78</v>
      </c>
      <c r="J78" s="3">
        <v>0</v>
      </c>
      <c r="K78" s="10" t="s">
        <v>182</v>
      </c>
      <c r="L78">
        <v>1</v>
      </c>
      <c r="M78" s="7">
        <v>1</v>
      </c>
      <c r="N78">
        <v>10</v>
      </c>
      <c r="O78" s="3">
        <v>1</v>
      </c>
      <c r="P78" s="3">
        <v>3</v>
      </c>
      <c r="Q78">
        <f>(3142166+10653+18483)/S78</f>
        <v>0.98755567900988517</v>
      </c>
      <c r="R78">
        <f xml:space="preserve"> 3142166+13882+6922</f>
        <v>3162970</v>
      </c>
      <c r="S78">
        <f>3142166+5869+8129+10653+13882+2387+18483+2773+6922</f>
        <v>3211264</v>
      </c>
      <c r="T78">
        <v>0.98</v>
      </c>
      <c r="U78" s="3" t="s">
        <v>23</v>
      </c>
      <c r="V78">
        <f>R78/S78</f>
        <v>0.98496106206154332</v>
      </c>
      <c r="W78" s="3">
        <v>1</v>
      </c>
    </row>
    <row r="79" spans="1:24" ht="17" x14ac:dyDescent="0.2">
      <c r="A79" s="3" t="s">
        <v>179</v>
      </c>
      <c r="B79" s="16" t="s">
        <v>178</v>
      </c>
      <c r="C79" s="3" t="s">
        <v>180</v>
      </c>
      <c r="D79" t="s">
        <v>184</v>
      </c>
      <c r="E79" s="3" t="s">
        <v>27</v>
      </c>
      <c r="F79" s="3">
        <v>0</v>
      </c>
      <c r="G79" s="3" t="s">
        <v>181</v>
      </c>
      <c r="H79" s="10" t="s">
        <v>183</v>
      </c>
      <c r="I79" s="3" t="s">
        <v>78</v>
      </c>
      <c r="J79" s="3">
        <v>0</v>
      </c>
      <c r="K79" s="10" t="s">
        <v>187</v>
      </c>
      <c r="L79">
        <v>5</v>
      </c>
      <c r="M79" s="7">
        <v>1</v>
      </c>
      <c r="N79">
        <v>10</v>
      </c>
      <c r="O79" s="3">
        <v>1</v>
      </c>
      <c r="P79" s="3">
        <v>3</v>
      </c>
      <c r="Q79">
        <f>(3158082+7373+5847)/S79</f>
        <v>0.98755567900988517</v>
      </c>
      <c r="R79">
        <f>3158082+16824+7244</f>
        <v>3182150</v>
      </c>
      <c r="S79">
        <v>3211264</v>
      </c>
      <c r="T79">
        <v>0.99</v>
      </c>
      <c r="U79" s="3" t="s">
        <v>23</v>
      </c>
      <c r="V79">
        <f>R79/S79</f>
        <v>0.99093378806600763</v>
      </c>
      <c r="W79" s="3">
        <v>1</v>
      </c>
    </row>
    <row r="80" spans="1:24" ht="17" x14ac:dyDescent="0.2">
      <c r="A80" s="3" t="s">
        <v>179</v>
      </c>
      <c r="B80" s="16" t="s">
        <v>178</v>
      </c>
      <c r="C80" s="3" t="s">
        <v>180</v>
      </c>
      <c r="D80" t="s">
        <v>184</v>
      </c>
      <c r="E80" s="3" t="s">
        <v>27</v>
      </c>
      <c r="F80" s="3">
        <v>0</v>
      </c>
      <c r="G80" s="3" t="s">
        <v>181</v>
      </c>
      <c r="H80" t="s">
        <v>64</v>
      </c>
      <c r="I80" s="3" t="s">
        <v>64</v>
      </c>
      <c r="J80" s="3">
        <v>0</v>
      </c>
      <c r="K80" s="10" t="s">
        <v>187</v>
      </c>
      <c r="L80" s="3">
        <v>5</v>
      </c>
      <c r="M80" s="7">
        <v>1</v>
      </c>
      <c r="N80">
        <v>10</v>
      </c>
      <c r="O80" s="3">
        <v>1</v>
      </c>
      <c r="P80" s="3">
        <v>3</v>
      </c>
      <c r="Q80">
        <v>0.98755567900988517</v>
      </c>
      <c r="R80">
        <f>3022186+15442+17869</f>
        <v>3055497</v>
      </c>
      <c r="S80">
        <v>3211264</v>
      </c>
      <c r="T80">
        <v>0.95</v>
      </c>
      <c r="U80" s="3" t="s">
        <v>23</v>
      </c>
      <c r="V80">
        <f t="shared" ref="V80:V81" si="7">R80/S80</f>
        <v>0.95149355518574619</v>
      </c>
      <c r="W80" s="3">
        <v>1</v>
      </c>
    </row>
    <row r="81" spans="1:25" ht="17" x14ac:dyDescent="0.2">
      <c r="A81" s="3" t="s">
        <v>179</v>
      </c>
      <c r="B81" s="16" t="s">
        <v>178</v>
      </c>
      <c r="C81" s="3" t="s">
        <v>180</v>
      </c>
      <c r="D81" t="s">
        <v>184</v>
      </c>
      <c r="E81" s="3" t="s">
        <v>27</v>
      </c>
      <c r="F81" s="3">
        <v>0</v>
      </c>
      <c r="G81" s="3" t="s">
        <v>186</v>
      </c>
      <c r="H81" t="s">
        <v>64</v>
      </c>
      <c r="I81" s="3" t="s">
        <v>64</v>
      </c>
      <c r="J81" s="3">
        <v>0</v>
      </c>
      <c r="K81" s="10" t="s">
        <v>185</v>
      </c>
      <c r="L81" s="3">
        <v>4</v>
      </c>
      <c r="M81" s="7">
        <v>1</v>
      </c>
      <c r="N81">
        <v>10</v>
      </c>
      <c r="O81" s="3">
        <v>1</v>
      </c>
      <c r="P81" s="3">
        <v>3</v>
      </c>
      <c r="Q81">
        <v>0.98755567900988517</v>
      </c>
      <c r="R81">
        <f>3011964+16307+13356</f>
        <v>3041627</v>
      </c>
      <c r="S81">
        <v>3211264</v>
      </c>
      <c r="T81">
        <v>0.95</v>
      </c>
      <c r="U81" s="3" t="s">
        <v>23</v>
      </c>
      <c r="V81">
        <f t="shared" si="7"/>
        <v>0.94717438366948337</v>
      </c>
      <c r="W81" s="3">
        <v>1</v>
      </c>
    </row>
    <row r="82" spans="1:25" ht="17" x14ac:dyDescent="0.2">
      <c r="A82" s="3" t="s">
        <v>179</v>
      </c>
      <c r="B82" s="16" t="s">
        <v>178</v>
      </c>
      <c r="C82" s="3" t="s">
        <v>180</v>
      </c>
      <c r="D82" t="s">
        <v>184</v>
      </c>
      <c r="E82" s="3" t="s">
        <v>27</v>
      </c>
      <c r="F82" s="3">
        <v>0</v>
      </c>
      <c r="G82" s="3" t="s">
        <v>186</v>
      </c>
      <c r="H82" s="10" t="s">
        <v>183</v>
      </c>
      <c r="I82" s="3" t="s">
        <v>78</v>
      </c>
      <c r="J82" s="3">
        <v>1</v>
      </c>
      <c r="K82" s="10" t="s">
        <v>185</v>
      </c>
      <c r="L82" s="3">
        <v>4</v>
      </c>
      <c r="M82" s="7">
        <v>1</v>
      </c>
      <c r="N82">
        <v>10</v>
      </c>
      <c r="O82" s="7">
        <v>1</v>
      </c>
      <c r="P82" s="3">
        <v>3</v>
      </c>
      <c r="Q82">
        <f>(300+3)/S82</f>
        <v>0.75</v>
      </c>
      <c r="R82">
        <f>300+45+47</f>
        <v>392</v>
      </c>
      <c r="S82">
        <f>300+3+1+45+3+5+47</f>
        <v>404</v>
      </c>
      <c r="T82">
        <v>0.97</v>
      </c>
      <c r="U82" s="3" t="s">
        <v>23</v>
      </c>
      <c r="V82">
        <f>R82/S82</f>
        <v>0.97029702970297027</v>
      </c>
      <c r="W82" s="3">
        <v>1</v>
      </c>
      <c r="X82" t="s">
        <v>188</v>
      </c>
    </row>
    <row r="83" spans="1:25" ht="34" x14ac:dyDescent="0.2">
      <c r="A83" s="3" t="s">
        <v>195</v>
      </c>
      <c r="B83" s="16" t="s">
        <v>194</v>
      </c>
      <c r="C83" s="3" t="s">
        <v>196</v>
      </c>
      <c r="D83" t="s">
        <v>198</v>
      </c>
      <c r="E83" s="3" t="s">
        <v>199</v>
      </c>
      <c r="F83" s="3">
        <v>0</v>
      </c>
      <c r="G83" s="3" t="s">
        <v>200</v>
      </c>
      <c r="H83" s="9" t="s">
        <v>207</v>
      </c>
      <c r="I83" s="3" t="s">
        <v>78</v>
      </c>
      <c r="J83" s="3">
        <v>1</v>
      </c>
      <c r="K83" s="10" t="s">
        <v>23</v>
      </c>
      <c r="L83" s="10" t="s">
        <v>23</v>
      </c>
      <c r="M83" s="10">
        <v>0</v>
      </c>
      <c r="N83">
        <v>0.5</v>
      </c>
      <c r="O83" s="3">
        <v>1</v>
      </c>
      <c r="P83" s="3">
        <v>2</v>
      </c>
      <c r="Q83" t="s">
        <v>23</v>
      </c>
      <c r="R83" t="s">
        <v>23</v>
      </c>
      <c r="S83" t="s">
        <v>23</v>
      </c>
      <c r="T83">
        <v>0.85340000000000005</v>
      </c>
      <c r="U83" s="3" t="s">
        <v>23</v>
      </c>
      <c r="V83" s="3" t="s">
        <v>23</v>
      </c>
      <c r="W83" s="3">
        <v>0</v>
      </c>
      <c r="X83" t="s">
        <v>197</v>
      </c>
      <c r="Y83" t="s">
        <v>209</v>
      </c>
    </row>
    <row r="84" spans="1:25" ht="34" x14ac:dyDescent="0.2">
      <c r="A84" s="3" t="s">
        <v>195</v>
      </c>
      <c r="B84" s="16" t="s">
        <v>194</v>
      </c>
      <c r="C84" s="3" t="s">
        <v>196</v>
      </c>
      <c r="D84" t="s">
        <v>198</v>
      </c>
      <c r="E84" s="3" t="s">
        <v>199</v>
      </c>
      <c r="F84" s="3">
        <v>0</v>
      </c>
      <c r="G84" s="3" t="s">
        <v>200</v>
      </c>
      <c r="H84" s="9" t="s">
        <v>206</v>
      </c>
      <c r="I84" s="3" t="s">
        <v>78</v>
      </c>
      <c r="J84" s="3">
        <v>1</v>
      </c>
      <c r="K84" s="10" t="s">
        <v>23</v>
      </c>
      <c r="L84" s="10" t="s">
        <v>23</v>
      </c>
      <c r="M84" s="10">
        <v>0</v>
      </c>
      <c r="N84">
        <v>0.2</v>
      </c>
      <c r="O84" s="3">
        <v>1</v>
      </c>
      <c r="P84" s="3">
        <v>2</v>
      </c>
      <c r="Q84" t="s">
        <v>23</v>
      </c>
      <c r="R84" t="s">
        <v>23</v>
      </c>
      <c r="S84" t="s">
        <v>23</v>
      </c>
      <c r="T84">
        <v>0.9274</v>
      </c>
      <c r="U84" s="3" t="s">
        <v>23</v>
      </c>
      <c r="V84" s="3" t="s">
        <v>23</v>
      </c>
      <c r="W84" s="3">
        <v>0</v>
      </c>
    </row>
    <row r="85" spans="1:25" ht="34" x14ac:dyDescent="0.2">
      <c r="A85" s="3" t="s">
        <v>195</v>
      </c>
      <c r="B85" s="16" t="s">
        <v>194</v>
      </c>
      <c r="C85" s="3" t="s">
        <v>196</v>
      </c>
      <c r="D85" t="s">
        <v>198</v>
      </c>
      <c r="E85" s="3" t="s">
        <v>199</v>
      </c>
      <c r="F85" s="3">
        <v>0</v>
      </c>
      <c r="G85" s="3" t="s">
        <v>200</v>
      </c>
      <c r="H85" s="9" t="s">
        <v>205</v>
      </c>
      <c r="I85" s="3" t="s">
        <v>78</v>
      </c>
      <c r="J85" s="3">
        <v>1</v>
      </c>
      <c r="K85" s="10" t="s">
        <v>23</v>
      </c>
      <c r="L85" s="10" t="s">
        <v>23</v>
      </c>
      <c r="M85" s="10">
        <v>0</v>
      </c>
      <c r="N85">
        <v>0.2</v>
      </c>
      <c r="O85" s="3">
        <v>1</v>
      </c>
      <c r="P85" s="3">
        <v>2</v>
      </c>
      <c r="Q85" t="s">
        <v>23</v>
      </c>
      <c r="R85" t="s">
        <v>23</v>
      </c>
      <c r="S85" t="s">
        <v>23</v>
      </c>
      <c r="T85">
        <v>0.95719999999999994</v>
      </c>
      <c r="U85" s="3" t="s">
        <v>23</v>
      </c>
      <c r="V85" s="3" t="s">
        <v>23</v>
      </c>
      <c r="W85" s="3">
        <v>0</v>
      </c>
    </row>
    <row r="86" spans="1:25" ht="34" x14ac:dyDescent="0.2">
      <c r="A86" s="3" t="s">
        <v>195</v>
      </c>
      <c r="B86" s="16" t="s">
        <v>194</v>
      </c>
      <c r="C86" s="3" t="s">
        <v>196</v>
      </c>
      <c r="D86" t="s">
        <v>198</v>
      </c>
      <c r="E86" s="3" t="s">
        <v>199</v>
      </c>
      <c r="F86" s="3">
        <v>0</v>
      </c>
      <c r="G86" s="3" t="s">
        <v>200</v>
      </c>
      <c r="H86" s="9" t="s">
        <v>204</v>
      </c>
      <c r="I86" s="3" t="s">
        <v>78</v>
      </c>
      <c r="J86" s="3">
        <v>1</v>
      </c>
      <c r="K86" s="10" t="s">
        <v>23</v>
      </c>
      <c r="L86" s="10" t="s">
        <v>23</v>
      </c>
      <c r="M86" s="10">
        <v>0</v>
      </c>
      <c r="N86">
        <v>0.2</v>
      </c>
      <c r="O86" s="3">
        <v>1</v>
      </c>
      <c r="P86" s="3">
        <v>2</v>
      </c>
      <c r="Q86" t="s">
        <v>23</v>
      </c>
      <c r="R86" t="s">
        <v>23</v>
      </c>
      <c r="S86" t="s">
        <v>23</v>
      </c>
      <c r="T86">
        <v>0.96310000000000007</v>
      </c>
      <c r="U86" s="3" t="s">
        <v>23</v>
      </c>
      <c r="V86" s="3" t="s">
        <v>23</v>
      </c>
      <c r="W86" s="3">
        <v>0</v>
      </c>
    </row>
    <row r="87" spans="1:25" ht="34" x14ac:dyDescent="0.2">
      <c r="A87" s="3" t="s">
        <v>195</v>
      </c>
      <c r="B87" s="16" t="s">
        <v>194</v>
      </c>
      <c r="C87" s="3" t="s">
        <v>196</v>
      </c>
      <c r="D87" t="s">
        <v>198</v>
      </c>
      <c r="E87" s="3" t="s">
        <v>199</v>
      </c>
      <c r="F87" s="3">
        <v>0</v>
      </c>
      <c r="G87" s="3" t="s">
        <v>200</v>
      </c>
      <c r="H87" s="9" t="s">
        <v>203</v>
      </c>
      <c r="I87" s="3" t="s">
        <v>78</v>
      </c>
      <c r="J87" s="3">
        <v>1</v>
      </c>
      <c r="K87" s="10" t="s">
        <v>23</v>
      </c>
      <c r="L87" s="10" t="s">
        <v>23</v>
      </c>
      <c r="M87" s="10">
        <v>0</v>
      </c>
      <c r="N87">
        <v>0.2</v>
      </c>
      <c r="O87" s="3">
        <v>1</v>
      </c>
      <c r="P87" s="3">
        <v>2</v>
      </c>
      <c r="Q87" t="s">
        <v>23</v>
      </c>
      <c r="R87" t="s">
        <v>23</v>
      </c>
      <c r="S87" t="s">
        <v>23</v>
      </c>
      <c r="T87">
        <v>0.95090000000000008</v>
      </c>
      <c r="U87" s="3" t="s">
        <v>23</v>
      </c>
      <c r="V87" s="3" t="s">
        <v>23</v>
      </c>
      <c r="W87" s="3">
        <v>0</v>
      </c>
      <c r="Y87" t="s">
        <v>208</v>
      </c>
    </row>
    <row r="88" spans="1:25" ht="34" x14ac:dyDescent="0.2">
      <c r="A88" s="3" t="s">
        <v>195</v>
      </c>
      <c r="B88" s="16" t="s">
        <v>194</v>
      </c>
      <c r="C88" s="3" t="s">
        <v>196</v>
      </c>
      <c r="D88" t="s">
        <v>198</v>
      </c>
      <c r="E88" s="3" t="s">
        <v>199</v>
      </c>
      <c r="F88" s="3">
        <v>0</v>
      </c>
      <c r="G88" s="3" t="s">
        <v>200</v>
      </c>
      <c r="H88" s="9" t="s">
        <v>202</v>
      </c>
      <c r="I88" s="3" t="s">
        <v>78</v>
      </c>
      <c r="J88" s="3">
        <v>1</v>
      </c>
      <c r="K88" s="10" t="s">
        <v>23</v>
      </c>
      <c r="L88" s="10" t="s">
        <v>23</v>
      </c>
      <c r="M88" s="10">
        <v>0</v>
      </c>
      <c r="N88">
        <v>0.2</v>
      </c>
      <c r="O88" s="3">
        <v>1</v>
      </c>
      <c r="P88" s="3">
        <v>2</v>
      </c>
      <c r="Q88" t="s">
        <v>23</v>
      </c>
      <c r="R88" t="s">
        <v>23</v>
      </c>
      <c r="S88" t="s">
        <v>23</v>
      </c>
      <c r="T88">
        <v>0.96129999999999993</v>
      </c>
      <c r="U88" s="3" t="s">
        <v>23</v>
      </c>
      <c r="V88" s="3" t="s">
        <v>23</v>
      </c>
      <c r="W88" s="3">
        <v>0</v>
      </c>
    </row>
    <row r="89" spans="1:25" ht="34" x14ac:dyDescent="0.2">
      <c r="A89" s="3" t="s">
        <v>195</v>
      </c>
      <c r="B89" s="16" t="s">
        <v>194</v>
      </c>
      <c r="C89" s="3" t="s">
        <v>196</v>
      </c>
      <c r="D89" t="s">
        <v>198</v>
      </c>
      <c r="E89" s="3" t="s">
        <v>199</v>
      </c>
      <c r="F89" s="3">
        <v>0</v>
      </c>
      <c r="G89" s="3" t="s">
        <v>200</v>
      </c>
      <c r="H89" s="9" t="s">
        <v>201</v>
      </c>
      <c r="I89" s="3" t="s">
        <v>78</v>
      </c>
      <c r="J89" s="3">
        <v>1</v>
      </c>
      <c r="K89" s="10" t="s">
        <v>23</v>
      </c>
      <c r="L89" s="10" t="s">
        <v>23</v>
      </c>
      <c r="M89" s="10">
        <v>0</v>
      </c>
      <c r="N89">
        <v>0.2</v>
      </c>
      <c r="O89" s="3">
        <v>1</v>
      </c>
      <c r="P89" s="3">
        <v>2</v>
      </c>
      <c r="Q89" t="s">
        <v>23</v>
      </c>
      <c r="R89" t="s">
        <v>23</v>
      </c>
      <c r="S89" t="s">
        <v>23</v>
      </c>
      <c r="T89">
        <v>0.97650000000000003</v>
      </c>
      <c r="U89" s="3" t="s">
        <v>23</v>
      </c>
      <c r="V89" s="3" t="s">
        <v>23</v>
      </c>
      <c r="W89" s="3">
        <v>0</v>
      </c>
    </row>
    <row r="90" spans="1:25" s="3" customFormat="1" ht="34" x14ac:dyDescent="0.2">
      <c r="A90" s="3" t="s">
        <v>214</v>
      </c>
      <c r="B90" s="16" t="s">
        <v>215</v>
      </c>
      <c r="C90" s="3" t="s">
        <v>19</v>
      </c>
      <c r="D90" s="3" t="s">
        <v>198</v>
      </c>
      <c r="E90" s="3" t="s">
        <v>216</v>
      </c>
      <c r="F90" s="3">
        <v>0</v>
      </c>
      <c r="G90" s="3" t="s">
        <v>217</v>
      </c>
      <c r="H90" s="3" t="s">
        <v>218</v>
      </c>
      <c r="I90" s="3" t="s">
        <v>78</v>
      </c>
      <c r="J90" s="3">
        <v>1</v>
      </c>
      <c r="K90" s="3" t="s">
        <v>219</v>
      </c>
      <c r="L90" s="3">
        <v>5</v>
      </c>
      <c r="M90" s="3">
        <v>0</v>
      </c>
      <c r="N90" s="3">
        <v>1</v>
      </c>
      <c r="O90" s="3">
        <v>1</v>
      </c>
      <c r="P90" s="3">
        <v>6</v>
      </c>
      <c r="Q90" s="3">
        <f>(13582+760+12+59)/S90</f>
        <v>0.44838850174216027</v>
      </c>
      <c r="R90" s="3">
        <f>13582+619+5546+5468+3086+1348</f>
        <v>29649</v>
      </c>
      <c r="S90" s="3">
        <f xml:space="preserve"> R90+ 760+ 12+ 59 + 581 + 739 + 12 + 124 + 8 + 17 +38 +2 + 7 + 6 + 117 +13</f>
        <v>32144</v>
      </c>
      <c r="T90" s="3">
        <v>0.88980000000000004</v>
      </c>
      <c r="U90" s="3" t="s">
        <v>23</v>
      </c>
      <c r="V90">
        <f>R90/S90</f>
        <v>0.92238053758088601</v>
      </c>
      <c r="W90" s="3">
        <v>1</v>
      </c>
      <c r="X90" s="3" t="b">
        <f>R90=V90</f>
        <v>0</v>
      </c>
    </row>
    <row r="91" spans="1:25" s="3" customFormat="1" ht="34" x14ac:dyDescent="0.2">
      <c r="A91" s="3" t="s">
        <v>214</v>
      </c>
      <c r="B91" s="16" t="s">
        <v>215</v>
      </c>
      <c r="C91" s="3" t="s">
        <v>19</v>
      </c>
      <c r="D91" s="3" t="s">
        <v>198</v>
      </c>
      <c r="E91" s="3" t="s">
        <v>216</v>
      </c>
      <c r="F91" s="3">
        <v>0</v>
      </c>
      <c r="G91" s="3" t="s">
        <v>217</v>
      </c>
      <c r="H91" s="3" t="s">
        <v>220</v>
      </c>
      <c r="I91" s="3" t="s">
        <v>78</v>
      </c>
      <c r="J91" s="3">
        <v>1</v>
      </c>
      <c r="K91" s="3" t="s">
        <v>219</v>
      </c>
      <c r="L91" s="3">
        <v>5</v>
      </c>
      <c r="M91" s="3">
        <v>0</v>
      </c>
      <c r="N91" s="3">
        <v>1</v>
      </c>
      <c r="O91" s="3">
        <v>1</v>
      </c>
      <c r="P91" s="3">
        <v>6</v>
      </c>
      <c r="Q91" s="3">
        <f>(13961+419+20+13)/S91</f>
        <v>0.44838850174216027</v>
      </c>
      <c r="R91" s="3">
        <f xml:space="preserve"> 13961 + 1084 + 5852 + 5572 + 3052 + 1370</f>
        <v>30891</v>
      </c>
      <c r="S91" s="3">
        <f xml:space="preserve"> R91+ 419 + 20 + 13 + 113+3+ 444 + 1+ 2 + 26  + 2+ 92 + 5 +5 + 106 + 2</f>
        <v>32144</v>
      </c>
      <c r="T91" s="3">
        <v>0.96</v>
      </c>
      <c r="U91" s="3" t="s">
        <v>23</v>
      </c>
      <c r="V91">
        <f t="shared" ref="V91:V99" si="8">R91/S91</f>
        <v>0.96101916376306618</v>
      </c>
      <c r="W91" s="3">
        <v>1</v>
      </c>
    </row>
    <row r="92" spans="1:25" s="3" customFormat="1" ht="34" x14ac:dyDescent="0.2">
      <c r="A92" s="3" t="s">
        <v>214</v>
      </c>
      <c r="B92" s="16" t="s">
        <v>215</v>
      </c>
      <c r="C92" s="3" t="s">
        <v>19</v>
      </c>
      <c r="D92" s="3" t="s">
        <v>198</v>
      </c>
      <c r="E92" s="3" t="s">
        <v>216</v>
      </c>
      <c r="F92" s="3">
        <v>0</v>
      </c>
      <c r="G92" s="3" t="s">
        <v>217</v>
      </c>
      <c r="H92" s="3" t="s">
        <v>221</v>
      </c>
      <c r="I92" s="3" t="s">
        <v>78</v>
      </c>
      <c r="J92" s="3">
        <v>1</v>
      </c>
      <c r="K92" s="3" t="s">
        <v>219</v>
      </c>
      <c r="L92" s="3">
        <v>5</v>
      </c>
      <c r="M92" s="3">
        <v>0</v>
      </c>
      <c r="N92" s="3">
        <v>1</v>
      </c>
      <c r="O92" s="3">
        <v>1</v>
      </c>
      <c r="P92" s="3">
        <v>6</v>
      </c>
      <c r="Q92" s="3">
        <v>0.44838850174216027</v>
      </c>
      <c r="R92" s="3">
        <f xml:space="preserve"> 13728 + 658 + 5358 + 5396 + 3091 + 1321</f>
        <v>29552</v>
      </c>
      <c r="S92" s="3">
        <f xml:space="preserve"> R92+ 629 + 5 + 51 + 542 + 918 + 21+ 191 + 13 + 9 + 32 + 19 + 5 +145 +12</f>
        <v>32144</v>
      </c>
      <c r="T92" s="3">
        <v>0.91520000000000001</v>
      </c>
      <c r="U92" s="3" t="s">
        <v>23</v>
      </c>
      <c r="V92">
        <f>R92/S92</f>
        <v>0.9193628670980587</v>
      </c>
      <c r="W92" s="3">
        <v>1</v>
      </c>
    </row>
    <row r="93" spans="1:25" s="3" customFormat="1" ht="34" x14ac:dyDescent="0.2">
      <c r="A93" s="3" t="s">
        <v>214</v>
      </c>
      <c r="B93" s="16" t="s">
        <v>215</v>
      </c>
      <c r="C93" s="3" t="s">
        <v>19</v>
      </c>
      <c r="D93" s="3" t="s">
        <v>198</v>
      </c>
      <c r="E93" s="3" t="s">
        <v>216</v>
      </c>
      <c r="F93" s="3">
        <v>0</v>
      </c>
      <c r="G93" s="3" t="s">
        <v>217</v>
      </c>
      <c r="H93" s="3" t="s">
        <v>222</v>
      </c>
      <c r="I93" s="3" t="s">
        <v>78</v>
      </c>
      <c r="J93" s="3">
        <v>1</v>
      </c>
      <c r="K93" s="3" t="s">
        <v>219</v>
      </c>
      <c r="L93" s="3">
        <v>5</v>
      </c>
      <c r="M93" s="3">
        <v>0</v>
      </c>
      <c r="N93" s="3">
        <v>1</v>
      </c>
      <c r="O93" s="3">
        <v>1</v>
      </c>
      <c r="P93" s="3">
        <v>6</v>
      </c>
      <c r="Q93" s="3">
        <v>0.44838850174216027</v>
      </c>
      <c r="R93" s="3">
        <f xml:space="preserve"> 13724 + 1083 + 5835 + 5577 + 3093 + 1361</f>
        <v>30673</v>
      </c>
      <c r="S93" s="3">
        <f xml:space="preserve"> R93+ 671 + 6 + 12 + 117 + 458 + 4 + 19+ 4+ 2 + 55 + 6 + 115  + 2</f>
        <v>32144</v>
      </c>
      <c r="T93" s="3">
        <v>0.95250000000000001</v>
      </c>
      <c r="U93" s="3" t="s">
        <v>23</v>
      </c>
      <c r="V93">
        <f t="shared" si="8"/>
        <v>0.95423718267794921</v>
      </c>
      <c r="W93" s="3">
        <v>1</v>
      </c>
    </row>
    <row r="94" spans="1:25" s="3" customFormat="1" ht="34" x14ac:dyDescent="0.2">
      <c r="A94" s="3" t="s">
        <v>214</v>
      </c>
      <c r="B94" s="16" t="s">
        <v>215</v>
      </c>
      <c r="C94" s="3" t="s">
        <v>19</v>
      </c>
      <c r="D94" s="3" t="s">
        <v>198</v>
      </c>
      <c r="E94" s="3" t="s">
        <v>216</v>
      </c>
      <c r="F94" s="3">
        <v>0</v>
      </c>
      <c r="G94" s="3" t="s">
        <v>217</v>
      </c>
      <c r="H94" s="3" t="s">
        <v>223</v>
      </c>
      <c r="I94" s="3" t="s">
        <v>78</v>
      </c>
      <c r="J94" s="3">
        <v>1</v>
      </c>
      <c r="K94" s="3" t="s">
        <v>219</v>
      </c>
      <c r="L94" s="3">
        <v>5</v>
      </c>
      <c r="M94" s="3">
        <v>0</v>
      </c>
      <c r="N94" s="3">
        <v>1</v>
      </c>
      <c r="O94" s="3">
        <v>1</v>
      </c>
      <c r="P94" s="3">
        <v>6</v>
      </c>
      <c r="Q94" s="3">
        <v>0.44838850174216027</v>
      </c>
      <c r="R94">
        <f xml:space="preserve"> 13237 + 997 + 4784 + 5393 + 2911 + 1336</f>
        <v>28658</v>
      </c>
      <c r="S94" s="3">
        <f xml:space="preserve"> R94   + 890 +  220 +63 +3+ 203 + 1388 + 109 +13 + 3 + 107  + 86 + 14 + 1+ 173 + 9 +11 + 51 + 69 + 3+ 6 +64</f>
        <v>32144</v>
      </c>
      <c r="T94" s="3">
        <v>0.89249999999999996</v>
      </c>
      <c r="U94" s="3" t="s">
        <v>23</v>
      </c>
      <c r="V94">
        <f t="shared" si="8"/>
        <v>0.89155052264808365</v>
      </c>
      <c r="W94" s="3">
        <v>1</v>
      </c>
    </row>
    <row r="95" spans="1:25" s="3" customFormat="1" ht="34" x14ac:dyDescent="0.2">
      <c r="A95" s="3" t="s">
        <v>214</v>
      </c>
      <c r="B95" s="16" t="s">
        <v>215</v>
      </c>
      <c r="C95" s="3" t="s">
        <v>19</v>
      </c>
      <c r="D95" s="3" t="s">
        <v>198</v>
      </c>
      <c r="E95" s="3" t="s">
        <v>216</v>
      </c>
      <c r="F95" s="3">
        <v>0</v>
      </c>
      <c r="G95" s="3" t="s">
        <v>217</v>
      </c>
      <c r="H95" s="3" t="s">
        <v>224</v>
      </c>
      <c r="I95" s="3" t="s">
        <v>78</v>
      </c>
      <c r="J95" s="3">
        <v>1</v>
      </c>
      <c r="K95" s="3" t="s">
        <v>219</v>
      </c>
      <c r="L95" s="3">
        <v>5</v>
      </c>
      <c r="M95" s="3">
        <v>0</v>
      </c>
      <c r="N95" s="3">
        <v>1</v>
      </c>
      <c r="O95" s="3">
        <v>1</v>
      </c>
      <c r="P95" s="3">
        <v>6</v>
      </c>
      <c r="Q95" s="3">
        <v>0.44838850174216027</v>
      </c>
      <c r="R95" s="3">
        <f xml:space="preserve"> 13707 + 1050 + 5883 + 5593 + 3022 + 1363</f>
        <v>30618</v>
      </c>
      <c r="S95" s="3">
        <f xml:space="preserve"> R95+  696 + 4+ 6 +150 + 408 + 6  + 4 + 3  + 18 + 99 + 7 + 3 + 7 + 112 + 3</f>
        <v>32144</v>
      </c>
      <c r="T95" s="3">
        <v>0.95709999999999995</v>
      </c>
      <c r="U95" s="3" t="s">
        <v>23</v>
      </c>
      <c r="V95">
        <f t="shared" si="8"/>
        <v>0.95252613240418116</v>
      </c>
      <c r="W95" s="3">
        <v>1</v>
      </c>
    </row>
    <row r="96" spans="1:25" s="3" customFormat="1" ht="34" x14ac:dyDescent="0.2">
      <c r="A96" s="3" t="s">
        <v>214</v>
      </c>
      <c r="B96" s="16" t="s">
        <v>215</v>
      </c>
      <c r="C96" s="3" t="s">
        <v>19</v>
      </c>
      <c r="D96" s="3" t="s">
        <v>198</v>
      </c>
      <c r="E96" s="3" t="s">
        <v>216</v>
      </c>
      <c r="F96" s="3">
        <v>0</v>
      </c>
      <c r="G96" s="3" t="s">
        <v>217</v>
      </c>
      <c r="H96" s="3" t="s">
        <v>225</v>
      </c>
      <c r="I96" s="3" t="s">
        <v>78</v>
      </c>
      <c r="J96" s="3">
        <v>1</v>
      </c>
      <c r="K96" s="3" t="s">
        <v>219</v>
      </c>
      <c r="L96" s="3">
        <v>5</v>
      </c>
      <c r="M96" s="3">
        <v>0</v>
      </c>
      <c r="N96" s="3">
        <v>1</v>
      </c>
      <c r="O96" s="3">
        <v>1</v>
      </c>
      <c r="P96" s="3">
        <v>6</v>
      </c>
      <c r="Q96" s="3">
        <v>0.44838850174216027</v>
      </c>
      <c r="R96" s="3">
        <f xml:space="preserve"> 13730 + 1083 + 5763 + 5558 + 3055 + 1314</f>
        <v>30503</v>
      </c>
      <c r="S96" s="3">
        <f xml:space="preserve"> R96+  659 + 10 +14 + 117 + 521 + 13 + 34 + 8 + 4 + 85 + 9 + 3 + 152 + 12</f>
        <v>32144</v>
      </c>
      <c r="T96" s="3">
        <v>0.94899999999999995</v>
      </c>
      <c r="U96" s="3" t="s">
        <v>23</v>
      </c>
      <c r="V96">
        <f t="shared" si="8"/>
        <v>0.94894848183175706</v>
      </c>
      <c r="W96" s="3">
        <v>1</v>
      </c>
    </row>
    <row r="97" spans="1:23" s="3" customFormat="1" ht="34" x14ac:dyDescent="0.2">
      <c r="A97" s="3" t="s">
        <v>214</v>
      </c>
      <c r="B97" s="16" t="s">
        <v>215</v>
      </c>
      <c r="C97" s="3" t="s">
        <v>19</v>
      </c>
      <c r="D97" s="3" t="s">
        <v>198</v>
      </c>
      <c r="E97" s="3" t="s">
        <v>216</v>
      </c>
      <c r="F97" s="3">
        <v>0</v>
      </c>
      <c r="G97" s="3" t="s">
        <v>217</v>
      </c>
      <c r="H97" s="3" t="s">
        <v>226</v>
      </c>
      <c r="I97" s="3" t="s">
        <v>78</v>
      </c>
      <c r="J97" s="3">
        <v>1</v>
      </c>
      <c r="K97" s="3" t="s">
        <v>219</v>
      </c>
      <c r="L97" s="3">
        <v>5</v>
      </c>
      <c r="M97" s="3">
        <v>0</v>
      </c>
      <c r="N97" s="3">
        <v>1</v>
      </c>
      <c r="O97" s="3">
        <v>1</v>
      </c>
      <c r="P97" s="3">
        <v>6</v>
      </c>
      <c r="Q97" s="3">
        <v>0.44838850174216027</v>
      </c>
      <c r="R97" s="3">
        <f xml:space="preserve"> 13384 + 1023 + 5844 + 5544 + 3076 + 1260</f>
        <v>30131</v>
      </c>
      <c r="S97" s="3">
        <f>R97+887 + 7 + 38 + 97 + 177+ 447 + 5 + 1 +37 + 19 + 4 + 69 + 4 + 1 + 2 + 181 + 32 + 5</f>
        <v>32144</v>
      </c>
      <c r="T97" s="3">
        <v>0.93020000000000003</v>
      </c>
      <c r="U97" s="3" t="s">
        <v>23</v>
      </c>
      <c r="V97">
        <f t="shared" si="8"/>
        <v>0.93737555998008959</v>
      </c>
      <c r="W97" s="3">
        <v>1</v>
      </c>
    </row>
    <row r="98" spans="1:23" s="3" customFormat="1" ht="34" x14ac:dyDescent="0.2">
      <c r="A98" s="3" t="s">
        <v>214</v>
      </c>
      <c r="B98" s="16" t="s">
        <v>215</v>
      </c>
      <c r="C98" s="3" t="s">
        <v>19</v>
      </c>
      <c r="D98" s="3" t="s">
        <v>198</v>
      </c>
      <c r="E98" s="3" t="s">
        <v>216</v>
      </c>
      <c r="F98" s="3">
        <v>0</v>
      </c>
      <c r="G98" s="3" t="s">
        <v>217</v>
      </c>
      <c r="H98" s="3" t="s">
        <v>227</v>
      </c>
      <c r="I98" s="3" t="s">
        <v>78</v>
      </c>
      <c r="J98" s="3">
        <v>1</v>
      </c>
      <c r="K98" s="3" t="s">
        <v>219</v>
      </c>
      <c r="L98" s="3">
        <v>5</v>
      </c>
      <c r="M98" s="3">
        <v>0</v>
      </c>
      <c r="N98" s="3">
        <v>1</v>
      </c>
      <c r="O98" s="3">
        <v>1</v>
      </c>
      <c r="P98" s="3">
        <v>6</v>
      </c>
      <c r="Q98" s="3">
        <v>0.44838850174216027</v>
      </c>
      <c r="R98">
        <f xml:space="preserve"> 14074 + 1151 + 5735 + 5553 + 3110 + 1379</f>
        <v>31002</v>
      </c>
      <c r="S98" s="3">
        <f>R98 + 332 + 4 + 3 + 49 +542 + 18 + 2 + 20 +  12 +15 + 10 + 7  + 23 + 6 + 84 + 7 + 7 + 1</f>
        <v>32144</v>
      </c>
      <c r="T98" s="3">
        <v>0.96489999999999998</v>
      </c>
      <c r="U98" s="3" t="s">
        <v>23</v>
      </c>
      <c r="V98">
        <f t="shared" si="8"/>
        <v>0.96447237431557986</v>
      </c>
      <c r="W98" s="3">
        <v>1</v>
      </c>
    </row>
    <row r="99" spans="1:23" s="3" customFormat="1" ht="34" x14ac:dyDescent="0.2">
      <c r="A99" s="3" t="s">
        <v>214</v>
      </c>
      <c r="B99" s="16" t="s">
        <v>215</v>
      </c>
      <c r="C99" s="3" t="s">
        <v>19</v>
      </c>
      <c r="D99" s="3" t="s">
        <v>198</v>
      </c>
      <c r="E99" s="3" t="s">
        <v>216</v>
      </c>
      <c r="F99" s="3">
        <v>0</v>
      </c>
      <c r="G99" s="3" t="s">
        <v>217</v>
      </c>
      <c r="H99" s="3" t="s">
        <v>228</v>
      </c>
      <c r="I99" s="3" t="s">
        <v>78</v>
      </c>
      <c r="J99" s="3">
        <v>1</v>
      </c>
      <c r="K99" s="3" t="s">
        <v>219</v>
      </c>
      <c r="L99" s="3">
        <v>5</v>
      </c>
      <c r="M99" s="3">
        <v>0</v>
      </c>
      <c r="N99" s="3">
        <v>1</v>
      </c>
      <c r="O99" s="3">
        <v>1</v>
      </c>
      <c r="P99" s="3">
        <v>6</v>
      </c>
      <c r="Q99" s="3">
        <v>0.44838850174216</v>
      </c>
      <c r="R99">
        <f xml:space="preserve"> 14209 + 1148 + 5960 + 5534 + 3119 + 1382</f>
        <v>31352</v>
      </c>
      <c r="S99" s="3">
        <f>R99 + 1 + 166 + 27 + 3 + 7 + 4 +48 + 299 + 33 + 5 + 14 + 44 + 8 + 2 + 17 + 17 + 1 + 90 + 3 + 3</f>
        <v>32144</v>
      </c>
      <c r="T99" s="3">
        <v>0.9718</v>
      </c>
      <c r="U99" s="3" t="s">
        <v>23</v>
      </c>
      <c r="V99">
        <f t="shared" si="8"/>
        <v>0.97536087605774013</v>
      </c>
      <c r="W99" s="3">
        <v>1</v>
      </c>
    </row>
    <row r="100" spans="1:23" s="3" customFormat="1" ht="17" x14ac:dyDescent="0.2">
      <c r="A100" s="3" t="s">
        <v>214</v>
      </c>
      <c r="B100" s="16" t="s">
        <v>215</v>
      </c>
      <c r="C100" s="3" t="s">
        <v>19</v>
      </c>
      <c r="D100" s="3" t="s">
        <v>198</v>
      </c>
      <c r="E100" s="3" t="s">
        <v>216</v>
      </c>
      <c r="F100" s="3">
        <v>0</v>
      </c>
      <c r="G100" s="3" t="s">
        <v>229</v>
      </c>
      <c r="H100" s="3" t="s">
        <v>218</v>
      </c>
      <c r="I100" s="3" t="s">
        <v>78</v>
      </c>
      <c r="J100" s="3">
        <v>1</v>
      </c>
      <c r="K100" s="3" t="s">
        <v>230</v>
      </c>
      <c r="L100" s="3">
        <v>103</v>
      </c>
      <c r="M100" s="3">
        <v>0</v>
      </c>
      <c r="N100" s="3">
        <v>1.3</v>
      </c>
      <c r="O100" s="3">
        <v>1</v>
      </c>
      <c r="P100" s="3">
        <v>9</v>
      </c>
      <c r="Q100" s="3">
        <f>1864/S100</f>
        <v>0.51293340671436438</v>
      </c>
      <c r="R100" s="3" t="s">
        <v>23</v>
      </c>
      <c r="S100" s="3">
        <f>662+1864+208+306+132+368+94</f>
        <v>3634</v>
      </c>
      <c r="T100" s="3">
        <v>0.89810000000000001</v>
      </c>
      <c r="U100" s="3" t="s">
        <v>23</v>
      </c>
      <c r="W100" s="3">
        <v>1</v>
      </c>
    </row>
    <row r="101" spans="1:23" s="3" customFormat="1" ht="17" x14ac:dyDescent="0.2">
      <c r="A101" s="3" t="s">
        <v>214</v>
      </c>
      <c r="B101" s="16" t="s">
        <v>215</v>
      </c>
      <c r="C101" s="3" t="s">
        <v>19</v>
      </c>
      <c r="D101" s="3" t="s">
        <v>198</v>
      </c>
      <c r="E101" s="3" t="s">
        <v>216</v>
      </c>
      <c r="F101" s="3">
        <v>0</v>
      </c>
      <c r="G101" s="3" t="s">
        <v>229</v>
      </c>
      <c r="H101" s="3" t="s">
        <v>220</v>
      </c>
      <c r="I101" s="3" t="s">
        <v>78</v>
      </c>
      <c r="J101" s="3">
        <v>1</v>
      </c>
      <c r="K101" s="3" t="s">
        <v>230</v>
      </c>
      <c r="L101" s="3">
        <v>103</v>
      </c>
      <c r="M101" s="3">
        <v>0</v>
      </c>
      <c r="N101" s="3">
        <v>1.3</v>
      </c>
      <c r="O101" s="3">
        <v>1</v>
      </c>
      <c r="P101" s="3">
        <v>9</v>
      </c>
      <c r="Q101" s="3">
        <f t="shared" ref="Q101:Q109" si="9">1864/S101</f>
        <v>0.51293340671436438</v>
      </c>
      <c r="R101" s="3" t="s">
        <v>23</v>
      </c>
      <c r="S101" s="3">
        <f t="shared" ref="S101:S109" si="10">662+1864+208+306+132+368+94</f>
        <v>3634</v>
      </c>
      <c r="T101" s="3">
        <v>0.97350000000000003</v>
      </c>
      <c r="U101" s="3" t="s">
        <v>23</v>
      </c>
      <c r="W101" s="3">
        <v>1</v>
      </c>
    </row>
    <row r="102" spans="1:23" s="3" customFormat="1" ht="17" x14ac:dyDescent="0.2">
      <c r="A102" s="3" t="s">
        <v>214</v>
      </c>
      <c r="B102" s="16" t="s">
        <v>215</v>
      </c>
      <c r="C102" s="3" t="s">
        <v>19</v>
      </c>
      <c r="D102" s="3" t="s">
        <v>198</v>
      </c>
      <c r="E102" s="3" t="s">
        <v>216</v>
      </c>
      <c r="F102" s="3">
        <v>0</v>
      </c>
      <c r="G102" s="3" t="s">
        <v>229</v>
      </c>
      <c r="H102" s="3" t="s">
        <v>221</v>
      </c>
      <c r="I102" s="3" t="s">
        <v>78</v>
      </c>
      <c r="J102" s="3">
        <v>1</v>
      </c>
      <c r="K102" s="3" t="s">
        <v>230</v>
      </c>
      <c r="L102" s="3">
        <v>103</v>
      </c>
      <c r="M102" s="3">
        <v>0</v>
      </c>
      <c r="N102" s="3">
        <v>1.3</v>
      </c>
      <c r="O102" s="3">
        <v>1</v>
      </c>
      <c r="P102" s="3">
        <v>9</v>
      </c>
      <c r="Q102" s="3">
        <f t="shared" si="9"/>
        <v>0.51293340671436438</v>
      </c>
      <c r="R102" s="3" t="s">
        <v>23</v>
      </c>
      <c r="S102" s="3">
        <f t="shared" si="10"/>
        <v>3634</v>
      </c>
      <c r="T102" s="3">
        <v>0.91949999999999998</v>
      </c>
      <c r="U102" s="3" t="s">
        <v>23</v>
      </c>
      <c r="W102" s="3">
        <v>1</v>
      </c>
    </row>
    <row r="103" spans="1:23" s="3" customFormat="1" ht="17" x14ac:dyDescent="0.2">
      <c r="A103" s="3" t="s">
        <v>214</v>
      </c>
      <c r="B103" s="16" t="s">
        <v>215</v>
      </c>
      <c r="C103" s="3" t="s">
        <v>19</v>
      </c>
      <c r="D103" s="3" t="s">
        <v>198</v>
      </c>
      <c r="E103" s="3" t="s">
        <v>216</v>
      </c>
      <c r="F103" s="3">
        <v>0</v>
      </c>
      <c r="G103" s="3" t="s">
        <v>229</v>
      </c>
      <c r="H103" s="3" t="s">
        <v>222</v>
      </c>
      <c r="I103" s="3" t="s">
        <v>78</v>
      </c>
      <c r="J103" s="3">
        <v>1</v>
      </c>
      <c r="K103" s="3" t="s">
        <v>230</v>
      </c>
      <c r="L103" s="3">
        <v>103</v>
      </c>
      <c r="M103" s="3">
        <v>0</v>
      </c>
      <c r="N103" s="3">
        <v>1.3</v>
      </c>
      <c r="O103" s="3">
        <v>1</v>
      </c>
      <c r="P103" s="3">
        <v>9</v>
      </c>
      <c r="Q103" s="3">
        <f t="shared" si="9"/>
        <v>0.51293340671436438</v>
      </c>
      <c r="R103" s="3" t="s">
        <v>23</v>
      </c>
      <c r="S103" s="3">
        <f t="shared" si="10"/>
        <v>3634</v>
      </c>
      <c r="T103" s="3">
        <v>0.9718</v>
      </c>
      <c r="U103" s="3" t="s">
        <v>23</v>
      </c>
      <c r="W103" s="3">
        <v>1</v>
      </c>
    </row>
    <row r="104" spans="1:23" s="3" customFormat="1" ht="17" x14ac:dyDescent="0.2">
      <c r="A104" s="3" t="s">
        <v>214</v>
      </c>
      <c r="B104" s="16" t="s">
        <v>215</v>
      </c>
      <c r="C104" s="3" t="s">
        <v>19</v>
      </c>
      <c r="D104" s="3" t="s">
        <v>198</v>
      </c>
      <c r="E104" s="3" t="s">
        <v>216</v>
      </c>
      <c r="F104" s="3">
        <v>0</v>
      </c>
      <c r="G104" s="3" t="s">
        <v>229</v>
      </c>
      <c r="H104" s="3" t="s">
        <v>223</v>
      </c>
      <c r="I104" s="3" t="s">
        <v>78</v>
      </c>
      <c r="J104" s="3">
        <v>1</v>
      </c>
      <c r="K104" s="3" t="s">
        <v>230</v>
      </c>
      <c r="L104" s="3">
        <v>103</v>
      </c>
      <c r="M104" s="3">
        <v>0</v>
      </c>
      <c r="N104" s="3">
        <v>1.3</v>
      </c>
      <c r="O104" s="3">
        <v>1</v>
      </c>
      <c r="P104" s="3">
        <v>9</v>
      </c>
      <c r="Q104" s="3">
        <f t="shared" si="9"/>
        <v>0.51293340671436438</v>
      </c>
      <c r="R104" s="3" t="s">
        <v>23</v>
      </c>
      <c r="S104" s="3">
        <f t="shared" si="10"/>
        <v>3634</v>
      </c>
      <c r="T104" s="3">
        <v>0.88700000000000001</v>
      </c>
      <c r="U104" s="3" t="s">
        <v>23</v>
      </c>
      <c r="W104" s="3">
        <v>1</v>
      </c>
    </row>
    <row r="105" spans="1:23" s="3" customFormat="1" ht="17" x14ac:dyDescent="0.2">
      <c r="A105" s="3" t="s">
        <v>214</v>
      </c>
      <c r="B105" s="16" t="s">
        <v>215</v>
      </c>
      <c r="C105" s="3" t="s">
        <v>19</v>
      </c>
      <c r="D105" s="3" t="s">
        <v>198</v>
      </c>
      <c r="E105" s="3" t="s">
        <v>216</v>
      </c>
      <c r="F105" s="3">
        <v>0</v>
      </c>
      <c r="G105" s="3" t="s">
        <v>229</v>
      </c>
      <c r="H105" s="3" t="s">
        <v>224</v>
      </c>
      <c r="I105" s="3" t="s">
        <v>78</v>
      </c>
      <c r="J105" s="3">
        <v>1</v>
      </c>
      <c r="K105" s="3" t="s">
        <v>230</v>
      </c>
      <c r="L105" s="3">
        <v>103</v>
      </c>
      <c r="M105" s="3">
        <v>0</v>
      </c>
      <c r="N105" s="3">
        <v>1.3</v>
      </c>
      <c r="O105" s="3">
        <v>1</v>
      </c>
      <c r="P105" s="3">
        <v>9</v>
      </c>
      <c r="Q105" s="3">
        <f t="shared" si="9"/>
        <v>0.51293340671436438</v>
      </c>
      <c r="R105" s="3" t="s">
        <v>23</v>
      </c>
      <c r="S105" s="3">
        <f t="shared" si="10"/>
        <v>3634</v>
      </c>
      <c r="T105" s="3">
        <v>0.94379999999999997</v>
      </c>
      <c r="U105" s="3" t="s">
        <v>23</v>
      </c>
      <c r="W105" s="3">
        <v>1</v>
      </c>
    </row>
    <row r="106" spans="1:23" s="3" customFormat="1" ht="17" x14ac:dyDescent="0.2">
      <c r="A106" s="3" t="s">
        <v>214</v>
      </c>
      <c r="B106" s="16" t="s">
        <v>215</v>
      </c>
      <c r="C106" s="3" t="s">
        <v>19</v>
      </c>
      <c r="D106" s="3" t="s">
        <v>198</v>
      </c>
      <c r="E106" s="3" t="s">
        <v>216</v>
      </c>
      <c r="F106" s="3">
        <v>0</v>
      </c>
      <c r="G106" s="3" t="s">
        <v>229</v>
      </c>
      <c r="H106" s="3" t="s">
        <v>225</v>
      </c>
      <c r="I106" s="3" t="s">
        <v>78</v>
      </c>
      <c r="J106" s="3">
        <v>1</v>
      </c>
      <c r="K106" s="3" t="s">
        <v>230</v>
      </c>
      <c r="L106" s="3">
        <v>103</v>
      </c>
      <c r="M106" s="3">
        <v>0</v>
      </c>
      <c r="N106" s="3">
        <v>1.3</v>
      </c>
      <c r="O106" s="3">
        <v>1</v>
      </c>
      <c r="P106" s="3">
        <v>9</v>
      </c>
      <c r="Q106" s="3">
        <f t="shared" si="9"/>
        <v>0.51293340671436438</v>
      </c>
      <c r="R106" s="3" t="s">
        <v>23</v>
      </c>
      <c r="S106" s="3">
        <f t="shared" si="10"/>
        <v>3634</v>
      </c>
      <c r="T106" s="3">
        <v>0.96040000000000003</v>
      </c>
      <c r="U106" s="3" t="s">
        <v>23</v>
      </c>
      <c r="W106" s="3">
        <v>1</v>
      </c>
    </row>
    <row r="107" spans="1:23" s="3" customFormat="1" ht="17" x14ac:dyDescent="0.2">
      <c r="A107" s="3" t="s">
        <v>214</v>
      </c>
      <c r="B107" s="16" t="s">
        <v>215</v>
      </c>
      <c r="C107" s="3" t="s">
        <v>19</v>
      </c>
      <c r="D107" s="3" t="s">
        <v>198</v>
      </c>
      <c r="E107" s="3" t="s">
        <v>216</v>
      </c>
      <c r="F107" s="3">
        <v>0</v>
      </c>
      <c r="G107" s="3" t="s">
        <v>229</v>
      </c>
      <c r="H107" s="3" t="s">
        <v>226</v>
      </c>
      <c r="I107" s="3" t="s">
        <v>78</v>
      </c>
      <c r="J107" s="3">
        <v>1</v>
      </c>
      <c r="K107" s="3" t="s">
        <v>230</v>
      </c>
      <c r="L107" s="3">
        <v>103</v>
      </c>
      <c r="M107" s="3">
        <v>0</v>
      </c>
      <c r="N107" s="3">
        <v>1.3</v>
      </c>
      <c r="O107" s="3">
        <v>1</v>
      </c>
      <c r="P107" s="3">
        <v>9</v>
      </c>
      <c r="Q107" s="3">
        <f t="shared" si="9"/>
        <v>0.51293340671436438</v>
      </c>
      <c r="R107" s="3" t="s">
        <v>23</v>
      </c>
      <c r="S107" s="3">
        <f t="shared" si="10"/>
        <v>3634</v>
      </c>
      <c r="T107" s="3">
        <v>0.94289999999999996</v>
      </c>
      <c r="U107" s="3" t="s">
        <v>23</v>
      </c>
      <c r="W107" s="3">
        <v>1</v>
      </c>
    </row>
    <row r="108" spans="1:23" s="3" customFormat="1" ht="17" x14ac:dyDescent="0.2">
      <c r="A108" s="3" t="s">
        <v>214</v>
      </c>
      <c r="B108" s="16" t="s">
        <v>215</v>
      </c>
      <c r="C108" s="3" t="s">
        <v>19</v>
      </c>
      <c r="D108" s="3" t="s">
        <v>198</v>
      </c>
      <c r="E108" s="3" t="s">
        <v>216</v>
      </c>
      <c r="F108" s="3">
        <v>0</v>
      </c>
      <c r="G108" s="3" t="s">
        <v>229</v>
      </c>
      <c r="H108" s="3" t="s">
        <v>227</v>
      </c>
      <c r="I108" s="3" t="s">
        <v>78</v>
      </c>
      <c r="J108" s="3">
        <v>1</v>
      </c>
      <c r="K108" s="3" t="s">
        <v>230</v>
      </c>
      <c r="L108" s="3">
        <v>103</v>
      </c>
      <c r="M108" s="3">
        <v>0</v>
      </c>
      <c r="N108" s="3">
        <v>1.3</v>
      </c>
      <c r="O108" s="3">
        <v>1</v>
      </c>
      <c r="P108" s="3">
        <v>9</v>
      </c>
      <c r="Q108" s="3">
        <f t="shared" si="9"/>
        <v>0.51293340671436438</v>
      </c>
      <c r="R108" s="3" t="s">
        <v>23</v>
      </c>
      <c r="S108" s="3">
        <f t="shared" si="10"/>
        <v>3634</v>
      </c>
      <c r="T108" s="3">
        <v>0.98670000000000002</v>
      </c>
      <c r="U108" s="3" t="s">
        <v>23</v>
      </c>
      <c r="W108" s="3">
        <v>1</v>
      </c>
    </row>
    <row r="109" spans="1:23" s="3" customFormat="1" ht="17" x14ac:dyDescent="0.2">
      <c r="A109" s="3" t="s">
        <v>214</v>
      </c>
      <c r="B109" s="16" t="s">
        <v>215</v>
      </c>
      <c r="C109" s="3" t="s">
        <v>19</v>
      </c>
      <c r="D109" s="3" t="s">
        <v>198</v>
      </c>
      <c r="E109" s="3" t="s">
        <v>216</v>
      </c>
      <c r="F109" s="3">
        <v>0</v>
      </c>
      <c r="G109" s="3" t="s">
        <v>229</v>
      </c>
      <c r="H109" s="3" t="s">
        <v>228</v>
      </c>
      <c r="I109" s="3" t="s">
        <v>78</v>
      </c>
      <c r="J109" s="3">
        <v>1</v>
      </c>
      <c r="K109" s="3" t="s">
        <v>230</v>
      </c>
      <c r="L109" s="3">
        <v>103</v>
      </c>
      <c r="M109" s="3">
        <v>0</v>
      </c>
      <c r="N109" s="3">
        <v>1.3</v>
      </c>
      <c r="O109" s="3">
        <v>1</v>
      </c>
      <c r="P109" s="3">
        <v>9</v>
      </c>
      <c r="Q109" s="3">
        <f t="shared" si="9"/>
        <v>0.51293340671436438</v>
      </c>
      <c r="R109" s="3" t="s">
        <v>23</v>
      </c>
      <c r="S109" s="3">
        <f t="shared" si="10"/>
        <v>3634</v>
      </c>
      <c r="T109" s="3">
        <v>0.98399999999999999</v>
      </c>
      <c r="U109" s="3" t="s">
        <v>23</v>
      </c>
      <c r="W109" s="3">
        <v>1</v>
      </c>
    </row>
    <row r="110" spans="1:23" s="3" customFormat="1" ht="34" x14ac:dyDescent="0.2">
      <c r="A110" s="3" t="s">
        <v>214</v>
      </c>
      <c r="B110" s="16" t="s">
        <v>215</v>
      </c>
      <c r="C110" s="3" t="s">
        <v>19</v>
      </c>
      <c r="D110" s="3" t="s">
        <v>198</v>
      </c>
      <c r="E110" s="3" t="s">
        <v>216</v>
      </c>
      <c r="F110" s="3">
        <v>0</v>
      </c>
      <c r="G110" s="3" t="s">
        <v>63</v>
      </c>
      <c r="H110" s="3" t="s">
        <v>218</v>
      </c>
      <c r="I110" s="3" t="s">
        <v>78</v>
      </c>
      <c r="J110" s="3">
        <v>1</v>
      </c>
      <c r="K110" s="3" t="s">
        <v>91</v>
      </c>
      <c r="L110" s="3">
        <v>8</v>
      </c>
      <c r="M110" s="3">
        <v>0</v>
      </c>
      <c r="N110" s="3">
        <v>15</v>
      </c>
      <c r="O110" s="3">
        <v>1</v>
      </c>
      <c r="P110" s="3">
        <v>7</v>
      </c>
      <c r="Q110" s="3">
        <f>678/S110</f>
        <v>0.3617929562433298</v>
      </c>
      <c r="R110" s="3" t="s">
        <v>23</v>
      </c>
      <c r="S110" s="3">
        <f>(232+166+678+176+210+278+134)</f>
        <v>1874</v>
      </c>
      <c r="T110" s="3">
        <v>0.91679999999999995</v>
      </c>
      <c r="U110" s="3" t="s">
        <v>23</v>
      </c>
      <c r="W110" s="3">
        <v>1</v>
      </c>
    </row>
    <row r="111" spans="1:23" s="3" customFormat="1" ht="34" x14ac:dyDescent="0.2">
      <c r="A111" s="3" t="s">
        <v>214</v>
      </c>
      <c r="B111" s="16" t="s">
        <v>215</v>
      </c>
      <c r="C111" s="3" t="s">
        <v>19</v>
      </c>
      <c r="D111" s="3" t="s">
        <v>198</v>
      </c>
      <c r="E111" s="3" t="s">
        <v>216</v>
      </c>
      <c r="F111" s="3">
        <v>0</v>
      </c>
      <c r="G111" s="3" t="s">
        <v>63</v>
      </c>
      <c r="H111" s="3" t="s">
        <v>220</v>
      </c>
      <c r="I111" s="3" t="s">
        <v>78</v>
      </c>
      <c r="J111" s="3">
        <v>1</v>
      </c>
      <c r="K111" s="3" t="s">
        <v>91</v>
      </c>
      <c r="L111" s="3">
        <v>8</v>
      </c>
      <c r="M111" s="3">
        <v>0</v>
      </c>
      <c r="N111" s="3">
        <v>15</v>
      </c>
      <c r="O111" s="3">
        <v>1</v>
      </c>
      <c r="P111" s="3">
        <v>7</v>
      </c>
      <c r="Q111" s="3">
        <f t="shared" ref="Q111:Q119" si="11">678/S111</f>
        <v>0.3617929562433298</v>
      </c>
      <c r="R111" s="3" t="s">
        <v>23</v>
      </c>
      <c r="S111" s="3">
        <f t="shared" ref="S111:S119" si="12">(232+166+678+176+210+278+134)</f>
        <v>1874</v>
      </c>
      <c r="T111" s="3">
        <v>0.97089999999999999</v>
      </c>
      <c r="U111" s="3" t="s">
        <v>23</v>
      </c>
      <c r="W111" s="3">
        <v>1</v>
      </c>
    </row>
    <row r="112" spans="1:23" s="3" customFormat="1" ht="34" x14ac:dyDescent="0.2">
      <c r="A112" s="3" t="s">
        <v>214</v>
      </c>
      <c r="B112" s="16" t="s">
        <v>215</v>
      </c>
      <c r="C112" s="3" t="s">
        <v>19</v>
      </c>
      <c r="D112" s="3" t="s">
        <v>198</v>
      </c>
      <c r="E112" s="3" t="s">
        <v>216</v>
      </c>
      <c r="F112" s="3">
        <v>0</v>
      </c>
      <c r="G112" s="3" t="s">
        <v>63</v>
      </c>
      <c r="H112" s="3" t="s">
        <v>221</v>
      </c>
      <c r="I112" s="3" t="s">
        <v>78</v>
      </c>
      <c r="J112" s="3">
        <v>1</v>
      </c>
      <c r="K112" s="3" t="s">
        <v>91</v>
      </c>
      <c r="L112" s="3">
        <v>8</v>
      </c>
      <c r="M112" s="3">
        <v>0</v>
      </c>
      <c r="N112" s="3">
        <v>15</v>
      </c>
      <c r="O112" s="3">
        <v>1</v>
      </c>
      <c r="P112" s="3">
        <v>7</v>
      </c>
      <c r="Q112" s="3">
        <f t="shared" si="11"/>
        <v>0.3617929562433298</v>
      </c>
      <c r="R112" s="3" t="s">
        <v>23</v>
      </c>
      <c r="S112" s="3">
        <f t="shared" si="12"/>
        <v>1874</v>
      </c>
      <c r="T112" s="3">
        <v>0.92430000000000001</v>
      </c>
      <c r="U112" s="3" t="s">
        <v>23</v>
      </c>
      <c r="W112" s="3">
        <v>1</v>
      </c>
    </row>
    <row r="113" spans="1:23" s="3" customFormat="1" ht="34" x14ac:dyDescent="0.2">
      <c r="A113" s="3" t="s">
        <v>214</v>
      </c>
      <c r="B113" s="16" t="s">
        <v>215</v>
      </c>
      <c r="C113" s="3" t="s">
        <v>19</v>
      </c>
      <c r="D113" s="3" t="s">
        <v>198</v>
      </c>
      <c r="E113" s="3" t="s">
        <v>216</v>
      </c>
      <c r="F113" s="3">
        <v>0</v>
      </c>
      <c r="G113" s="3" t="s">
        <v>63</v>
      </c>
      <c r="H113" s="3" t="s">
        <v>222</v>
      </c>
      <c r="I113" s="3" t="s">
        <v>78</v>
      </c>
      <c r="J113" s="3">
        <v>1</v>
      </c>
      <c r="K113" s="3" t="s">
        <v>91</v>
      </c>
      <c r="L113" s="3">
        <v>8</v>
      </c>
      <c r="M113" s="3">
        <v>0</v>
      </c>
      <c r="N113" s="3">
        <v>15</v>
      </c>
      <c r="O113" s="3">
        <v>1</v>
      </c>
      <c r="P113" s="3">
        <v>7</v>
      </c>
      <c r="Q113" s="3">
        <f t="shared" si="11"/>
        <v>0.3617929562433298</v>
      </c>
      <c r="R113" s="3" t="s">
        <v>23</v>
      </c>
      <c r="S113" s="3">
        <f t="shared" si="12"/>
        <v>1874</v>
      </c>
      <c r="T113" s="3">
        <v>0.94269999999999998</v>
      </c>
      <c r="U113" s="3" t="s">
        <v>23</v>
      </c>
      <c r="W113" s="3">
        <v>1</v>
      </c>
    </row>
    <row r="114" spans="1:23" s="3" customFormat="1" ht="34" x14ac:dyDescent="0.2">
      <c r="A114" s="3" t="s">
        <v>214</v>
      </c>
      <c r="B114" s="16" t="s">
        <v>215</v>
      </c>
      <c r="C114" s="3" t="s">
        <v>19</v>
      </c>
      <c r="D114" s="3" t="s">
        <v>198</v>
      </c>
      <c r="E114" s="3" t="s">
        <v>216</v>
      </c>
      <c r="F114" s="3">
        <v>0</v>
      </c>
      <c r="G114" s="3" t="s">
        <v>63</v>
      </c>
      <c r="H114" s="3" t="s">
        <v>223</v>
      </c>
      <c r="I114" s="3" t="s">
        <v>78</v>
      </c>
      <c r="J114" s="3">
        <v>1</v>
      </c>
      <c r="K114" s="3" t="s">
        <v>91</v>
      </c>
      <c r="L114" s="3">
        <v>8</v>
      </c>
      <c r="M114" s="3">
        <v>0</v>
      </c>
      <c r="N114" s="3">
        <v>15</v>
      </c>
      <c r="O114" s="3">
        <v>1</v>
      </c>
      <c r="P114" s="3">
        <v>7</v>
      </c>
      <c r="Q114" s="3">
        <f t="shared" si="11"/>
        <v>0.3617929562433298</v>
      </c>
      <c r="R114" s="3" t="s">
        <v>23</v>
      </c>
      <c r="S114" s="3">
        <f t="shared" si="12"/>
        <v>1874</v>
      </c>
      <c r="T114" s="3">
        <v>0.93469999999999998</v>
      </c>
      <c r="U114" s="3" t="s">
        <v>23</v>
      </c>
      <c r="W114" s="3">
        <v>1</v>
      </c>
    </row>
    <row r="115" spans="1:23" s="3" customFormat="1" ht="34" x14ac:dyDescent="0.2">
      <c r="A115" s="3" t="s">
        <v>214</v>
      </c>
      <c r="B115" s="16" t="s">
        <v>215</v>
      </c>
      <c r="C115" s="3" t="s">
        <v>19</v>
      </c>
      <c r="D115" s="3" t="s">
        <v>198</v>
      </c>
      <c r="E115" s="3" t="s">
        <v>216</v>
      </c>
      <c r="F115" s="3">
        <v>0</v>
      </c>
      <c r="G115" s="3" t="s">
        <v>63</v>
      </c>
      <c r="H115" s="3" t="s">
        <v>224</v>
      </c>
      <c r="I115" s="3" t="s">
        <v>78</v>
      </c>
      <c r="J115" s="3">
        <v>1</v>
      </c>
      <c r="K115" s="3" t="s">
        <v>91</v>
      </c>
      <c r="L115" s="3">
        <v>8</v>
      </c>
      <c r="M115" s="3">
        <v>0</v>
      </c>
      <c r="N115" s="3">
        <v>15</v>
      </c>
      <c r="O115" s="3">
        <v>1</v>
      </c>
      <c r="P115" s="3">
        <v>7</v>
      </c>
      <c r="Q115" s="3">
        <f t="shared" si="11"/>
        <v>0.3617929562433298</v>
      </c>
      <c r="R115" s="3" t="s">
        <v>23</v>
      </c>
      <c r="S115" s="3">
        <f t="shared" si="12"/>
        <v>1874</v>
      </c>
      <c r="T115" s="3">
        <v>0.93920000000000003</v>
      </c>
      <c r="U115" s="3" t="s">
        <v>23</v>
      </c>
      <c r="W115" s="3">
        <v>1</v>
      </c>
    </row>
    <row r="116" spans="1:23" s="3" customFormat="1" ht="34" x14ac:dyDescent="0.2">
      <c r="A116" s="3" t="s">
        <v>214</v>
      </c>
      <c r="B116" s="16" t="s">
        <v>215</v>
      </c>
      <c r="C116" s="3" t="s">
        <v>19</v>
      </c>
      <c r="D116" s="3" t="s">
        <v>198</v>
      </c>
      <c r="E116" s="3" t="s">
        <v>216</v>
      </c>
      <c r="F116" s="3">
        <v>0</v>
      </c>
      <c r="G116" s="3" t="s">
        <v>63</v>
      </c>
      <c r="H116" s="3" t="s">
        <v>225</v>
      </c>
      <c r="I116" s="3" t="s">
        <v>78</v>
      </c>
      <c r="J116" s="3">
        <v>1</v>
      </c>
      <c r="K116" s="3" t="s">
        <v>91</v>
      </c>
      <c r="L116" s="3">
        <v>8</v>
      </c>
      <c r="M116" s="3">
        <v>0</v>
      </c>
      <c r="N116" s="3">
        <v>15</v>
      </c>
      <c r="O116" s="3">
        <v>1</v>
      </c>
      <c r="P116" s="3">
        <v>7</v>
      </c>
      <c r="Q116" s="3">
        <f t="shared" si="11"/>
        <v>0.3617929562433298</v>
      </c>
      <c r="R116" s="3" t="s">
        <v>23</v>
      </c>
      <c r="S116" s="3">
        <f t="shared" si="12"/>
        <v>1874</v>
      </c>
      <c r="T116" s="3">
        <v>0.97739999999999994</v>
      </c>
      <c r="U116" s="3" t="s">
        <v>23</v>
      </c>
      <c r="W116" s="3">
        <v>1</v>
      </c>
    </row>
    <row r="117" spans="1:23" s="3" customFormat="1" ht="34" x14ac:dyDescent="0.2">
      <c r="A117" s="3" t="s">
        <v>214</v>
      </c>
      <c r="B117" s="16" t="s">
        <v>215</v>
      </c>
      <c r="C117" s="3" t="s">
        <v>19</v>
      </c>
      <c r="D117" s="3" t="s">
        <v>198</v>
      </c>
      <c r="E117" s="3" t="s">
        <v>216</v>
      </c>
      <c r="F117" s="3">
        <v>0</v>
      </c>
      <c r="G117" s="3" t="s">
        <v>63</v>
      </c>
      <c r="H117" s="3" t="s">
        <v>226</v>
      </c>
      <c r="I117" s="3" t="s">
        <v>78</v>
      </c>
      <c r="J117" s="3">
        <v>1</v>
      </c>
      <c r="K117" s="3" t="s">
        <v>91</v>
      </c>
      <c r="L117" s="3">
        <v>8</v>
      </c>
      <c r="M117" s="3">
        <v>0</v>
      </c>
      <c r="N117" s="3">
        <v>15</v>
      </c>
      <c r="O117" s="3">
        <v>1</v>
      </c>
      <c r="P117" s="3">
        <v>7</v>
      </c>
      <c r="Q117" s="3">
        <f t="shared" si="11"/>
        <v>0.3617929562433298</v>
      </c>
      <c r="R117" s="3" t="s">
        <v>23</v>
      </c>
      <c r="S117" s="3">
        <f t="shared" si="12"/>
        <v>1874</v>
      </c>
      <c r="T117" s="3">
        <v>0.97739999999999994</v>
      </c>
      <c r="U117" s="3" t="s">
        <v>23</v>
      </c>
      <c r="W117" s="3">
        <v>1</v>
      </c>
    </row>
    <row r="118" spans="1:23" s="3" customFormat="1" ht="34" x14ac:dyDescent="0.2">
      <c r="A118" s="3" t="s">
        <v>214</v>
      </c>
      <c r="B118" s="16" t="s">
        <v>215</v>
      </c>
      <c r="C118" s="3" t="s">
        <v>19</v>
      </c>
      <c r="D118" s="3" t="s">
        <v>198</v>
      </c>
      <c r="E118" s="3" t="s">
        <v>216</v>
      </c>
      <c r="F118" s="3">
        <v>0</v>
      </c>
      <c r="G118" s="3" t="s">
        <v>63</v>
      </c>
      <c r="H118" s="3" t="s">
        <v>227</v>
      </c>
      <c r="I118" s="3" t="s">
        <v>78</v>
      </c>
      <c r="J118" s="3">
        <v>1</v>
      </c>
      <c r="K118" s="3" t="s">
        <v>91</v>
      </c>
      <c r="L118" s="3">
        <v>8</v>
      </c>
      <c r="M118" s="3">
        <v>0</v>
      </c>
      <c r="N118" s="3">
        <v>15</v>
      </c>
      <c r="O118" s="3">
        <v>1</v>
      </c>
      <c r="P118" s="3">
        <v>7</v>
      </c>
      <c r="Q118" s="3">
        <f t="shared" si="11"/>
        <v>0.3617929562433298</v>
      </c>
      <c r="R118" s="3" t="s">
        <v>23</v>
      </c>
      <c r="S118" s="3">
        <f t="shared" si="12"/>
        <v>1874</v>
      </c>
      <c r="T118" s="3">
        <v>0.98629999999999995</v>
      </c>
      <c r="U118" s="3" t="s">
        <v>23</v>
      </c>
      <c r="W118" s="3">
        <v>1</v>
      </c>
    </row>
    <row r="119" spans="1:23" s="3" customFormat="1" ht="34" x14ac:dyDescent="0.2">
      <c r="A119" s="3" t="s">
        <v>214</v>
      </c>
      <c r="B119" s="16" t="s">
        <v>215</v>
      </c>
      <c r="C119" s="3" t="s">
        <v>19</v>
      </c>
      <c r="D119" s="3" t="s">
        <v>198</v>
      </c>
      <c r="E119" s="3" t="s">
        <v>216</v>
      </c>
      <c r="F119" s="3">
        <v>0</v>
      </c>
      <c r="G119" s="3" t="s">
        <v>63</v>
      </c>
      <c r="H119" s="3" t="s">
        <v>228</v>
      </c>
      <c r="I119" s="3" t="s">
        <v>78</v>
      </c>
      <c r="J119" s="3">
        <v>1</v>
      </c>
      <c r="K119" s="3" t="s">
        <v>91</v>
      </c>
      <c r="L119" s="3">
        <v>8</v>
      </c>
      <c r="M119" s="3">
        <v>0</v>
      </c>
      <c r="N119" s="3">
        <v>15</v>
      </c>
      <c r="O119" s="3">
        <v>1</v>
      </c>
      <c r="P119" s="3">
        <v>7</v>
      </c>
      <c r="Q119" s="3">
        <f t="shared" si="11"/>
        <v>0.3617929562433298</v>
      </c>
      <c r="R119" s="3" t="s">
        <v>23</v>
      </c>
      <c r="S119" s="3">
        <f t="shared" si="12"/>
        <v>1874</v>
      </c>
      <c r="T119" s="3">
        <v>0.9869</v>
      </c>
      <c r="U119" s="3" t="s">
        <v>23</v>
      </c>
      <c r="W119" s="3">
        <v>1</v>
      </c>
    </row>
    <row r="120" spans="1:23" s="3" customFormat="1" ht="34" x14ac:dyDescent="0.2">
      <c r="A120" s="3" t="s">
        <v>214</v>
      </c>
      <c r="B120" s="16" t="s">
        <v>215</v>
      </c>
      <c r="C120" s="3" t="s">
        <v>19</v>
      </c>
      <c r="D120" s="3" t="s">
        <v>198</v>
      </c>
      <c r="E120" s="3" t="s">
        <v>216</v>
      </c>
      <c r="F120" s="3">
        <v>0</v>
      </c>
      <c r="G120" s="3" t="s">
        <v>231</v>
      </c>
      <c r="H120" s="3" t="s">
        <v>218</v>
      </c>
      <c r="I120" s="3" t="s">
        <v>78</v>
      </c>
      <c r="J120" s="3">
        <v>1</v>
      </c>
      <c r="K120" s="3" t="s">
        <v>232</v>
      </c>
      <c r="L120" s="3">
        <v>4</v>
      </c>
      <c r="M120" s="3">
        <v>0</v>
      </c>
      <c r="N120" s="3" t="s">
        <v>23</v>
      </c>
      <c r="O120" s="3">
        <v>0</v>
      </c>
      <c r="P120" s="3">
        <v>10</v>
      </c>
      <c r="Q120" s="3">
        <f>157248/S120</f>
        <v>0.39100466476362877</v>
      </c>
      <c r="R120" s="3" t="s">
        <v>23</v>
      </c>
      <c r="S120" s="3">
        <f>(32238+37189+58612+27053+23412+157248+4920+43520+12632+5340)</f>
        <v>402164</v>
      </c>
      <c r="T120" s="3">
        <v>0.8286</v>
      </c>
      <c r="U120" s="3" t="s">
        <v>23</v>
      </c>
      <c r="W120" s="3">
        <v>1</v>
      </c>
    </row>
    <row r="121" spans="1:23" s="3" customFormat="1" ht="34" x14ac:dyDescent="0.2">
      <c r="A121" s="3" t="s">
        <v>214</v>
      </c>
      <c r="B121" s="16" t="s">
        <v>215</v>
      </c>
      <c r="C121" s="3" t="s">
        <v>19</v>
      </c>
      <c r="D121" s="3" t="s">
        <v>198</v>
      </c>
      <c r="E121" s="3" t="s">
        <v>216</v>
      </c>
      <c r="F121" s="3">
        <v>0</v>
      </c>
      <c r="G121" s="3" t="s">
        <v>231</v>
      </c>
      <c r="H121" s="3" t="s">
        <v>220</v>
      </c>
      <c r="I121" s="3" t="s">
        <v>78</v>
      </c>
      <c r="J121" s="3">
        <v>1</v>
      </c>
      <c r="K121" s="3" t="s">
        <v>232</v>
      </c>
      <c r="L121" s="3">
        <v>4</v>
      </c>
      <c r="M121" s="3">
        <v>0</v>
      </c>
      <c r="N121" s="3" t="s">
        <v>23</v>
      </c>
      <c r="O121" s="3">
        <v>0</v>
      </c>
      <c r="P121" s="3">
        <v>10</v>
      </c>
      <c r="Q121" s="3">
        <f t="shared" ref="Q121:Q129" si="13">157248/S121</f>
        <v>0.39100466476362877</v>
      </c>
      <c r="R121" s="3" t="s">
        <v>23</v>
      </c>
      <c r="S121" s="3">
        <f t="shared" ref="S121:S129" si="14">(32238+37189+58612+27053+23412+157248+4920+43520+12632+5340)</f>
        <v>402164</v>
      </c>
      <c r="T121" s="3">
        <v>0.84470000000000001</v>
      </c>
      <c r="U121" s="3" t="s">
        <v>23</v>
      </c>
      <c r="W121" s="3">
        <v>1</v>
      </c>
    </row>
    <row r="122" spans="1:23" s="3" customFormat="1" ht="34" x14ac:dyDescent="0.2">
      <c r="A122" s="3" t="s">
        <v>214</v>
      </c>
      <c r="B122" s="16" t="s">
        <v>215</v>
      </c>
      <c r="C122" s="3" t="s">
        <v>19</v>
      </c>
      <c r="D122" s="3" t="s">
        <v>198</v>
      </c>
      <c r="E122" s="3" t="s">
        <v>216</v>
      </c>
      <c r="F122" s="3">
        <v>0</v>
      </c>
      <c r="G122" s="3" t="s">
        <v>231</v>
      </c>
      <c r="H122" s="3" t="s">
        <v>221</v>
      </c>
      <c r="I122" s="3" t="s">
        <v>78</v>
      </c>
      <c r="J122" s="3">
        <v>1</v>
      </c>
      <c r="K122" s="3" t="s">
        <v>232</v>
      </c>
      <c r="L122" s="3">
        <v>4</v>
      </c>
      <c r="M122" s="3">
        <v>0</v>
      </c>
      <c r="N122" s="3" t="s">
        <v>23</v>
      </c>
      <c r="O122" s="3">
        <v>0</v>
      </c>
      <c r="P122" s="3">
        <v>10</v>
      </c>
      <c r="Q122" s="3">
        <f t="shared" si="13"/>
        <v>0.39100466476362877</v>
      </c>
      <c r="R122" s="3" t="s">
        <v>23</v>
      </c>
      <c r="S122" s="3">
        <f t="shared" si="14"/>
        <v>402164</v>
      </c>
      <c r="T122" s="3">
        <v>0.82879999999999998</v>
      </c>
      <c r="U122" s="3" t="s">
        <v>23</v>
      </c>
      <c r="W122" s="3">
        <v>1</v>
      </c>
    </row>
    <row r="123" spans="1:23" s="3" customFormat="1" ht="34" x14ac:dyDescent="0.2">
      <c r="A123" s="3" t="s">
        <v>214</v>
      </c>
      <c r="B123" s="16" t="s">
        <v>215</v>
      </c>
      <c r="C123" s="3" t="s">
        <v>19</v>
      </c>
      <c r="D123" s="3" t="s">
        <v>198</v>
      </c>
      <c r="E123" s="3" t="s">
        <v>216</v>
      </c>
      <c r="F123" s="3">
        <v>0</v>
      </c>
      <c r="G123" s="3" t="s">
        <v>231</v>
      </c>
      <c r="H123" s="3" t="s">
        <v>222</v>
      </c>
      <c r="I123" s="3" t="s">
        <v>78</v>
      </c>
      <c r="J123" s="3">
        <v>1</v>
      </c>
      <c r="K123" s="3" t="s">
        <v>232</v>
      </c>
      <c r="L123" s="3">
        <v>4</v>
      </c>
      <c r="M123" s="3">
        <v>0</v>
      </c>
      <c r="N123" s="3" t="s">
        <v>23</v>
      </c>
      <c r="O123" s="3">
        <v>0</v>
      </c>
      <c r="P123" s="3">
        <v>10</v>
      </c>
      <c r="Q123" s="3">
        <f t="shared" si="13"/>
        <v>0.39100466476362877</v>
      </c>
      <c r="R123" s="3" t="s">
        <v>23</v>
      </c>
      <c r="S123" s="3">
        <f t="shared" si="14"/>
        <v>402164</v>
      </c>
      <c r="T123" s="3">
        <v>0.84310000000000007</v>
      </c>
      <c r="U123" s="3" t="s">
        <v>23</v>
      </c>
      <c r="W123" s="3">
        <v>1</v>
      </c>
    </row>
    <row r="124" spans="1:23" s="3" customFormat="1" ht="34" x14ac:dyDescent="0.2">
      <c r="A124" s="3" t="s">
        <v>214</v>
      </c>
      <c r="B124" s="16" t="s">
        <v>215</v>
      </c>
      <c r="C124" s="3" t="s">
        <v>19</v>
      </c>
      <c r="D124" s="3" t="s">
        <v>198</v>
      </c>
      <c r="E124" s="3" t="s">
        <v>216</v>
      </c>
      <c r="F124" s="3">
        <v>0</v>
      </c>
      <c r="G124" s="3" t="s">
        <v>231</v>
      </c>
      <c r="H124" s="3" t="s">
        <v>223</v>
      </c>
      <c r="I124" s="3" t="s">
        <v>78</v>
      </c>
      <c r="J124" s="3">
        <v>1</v>
      </c>
      <c r="K124" s="3" t="s">
        <v>232</v>
      </c>
      <c r="L124" s="3">
        <v>4</v>
      </c>
      <c r="M124" s="3">
        <v>0</v>
      </c>
      <c r="N124" s="3" t="s">
        <v>23</v>
      </c>
      <c r="O124" s="3">
        <v>0</v>
      </c>
      <c r="P124" s="3">
        <v>10</v>
      </c>
      <c r="Q124" s="3">
        <f t="shared" si="13"/>
        <v>0.39100466476362877</v>
      </c>
      <c r="R124" s="3" t="s">
        <v>23</v>
      </c>
      <c r="S124" s="3">
        <f t="shared" si="14"/>
        <v>402164</v>
      </c>
      <c r="T124" s="3">
        <v>0.84599999999999997</v>
      </c>
      <c r="U124" s="3" t="s">
        <v>23</v>
      </c>
      <c r="W124" s="3">
        <v>1</v>
      </c>
    </row>
    <row r="125" spans="1:23" s="3" customFormat="1" ht="34" x14ac:dyDescent="0.2">
      <c r="A125" s="3" t="s">
        <v>214</v>
      </c>
      <c r="B125" s="16" t="s">
        <v>215</v>
      </c>
      <c r="C125" s="3" t="s">
        <v>19</v>
      </c>
      <c r="D125" s="3" t="s">
        <v>198</v>
      </c>
      <c r="E125" s="3" t="s">
        <v>216</v>
      </c>
      <c r="F125" s="3">
        <v>0</v>
      </c>
      <c r="G125" s="3" t="s">
        <v>231</v>
      </c>
      <c r="H125" s="3" t="s">
        <v>224</v>
      </c>
      <c r="I125" s="3" t="s">
        <v>78</v>
      </c>
      <c r="J125" s="3">
        <v>1</v>
      </c>
      <c r="K125" s="3" t="s">
        <v>232</v>
      </c>
      <c r="L125" s="3">
        <v>4</v>
      </c>
      <c r="M125" s="3">
        <v>0</v>
      </c>
      <c r="N125" s="3" t="s">
        <v>23</v>
      </c>
      <c r="O125" s="3">
        <v>0</v>
      </c>
      <c r="P125" s="3">
        <v>10</v>
      </c>
      <c r="Q125" s="3">
        <f t="shared" si="13"/>
        <v>0.39100466476362877</v>
      </c>
      <c r="R125" s="3" t="s">
        <v>23</v>
      </c>
      <c r="S125" s="3">
        <f t="shared" si="14"/>
        <v>402164</v>
      </c>
      <c r="T125" s="3">
        <v>0.84719999999999995</v>
      </c>
      <c r="U125" s="3" t="s">
        <v>23</v>
      </c>
      <c r="W125" s="3">
        <v>1</v>
      </c>
    </row>
    <row r="126" spans="1:23" s="3" customFormat="1" ht="34" x14ac:dyDescent="0.2">
      <c r="A126" s="3" t="s">
        <v>214</v>
      </c>
      <c r="B126" s="16" t="s">
        <v>215</v>
      </c>
      <c r="C126" s="3" t="s">
        <v>19</v>
      </c>
      <c r="D126" s="3" t="s">
        <v>198</v>
      </c>
      <c r="E126" s="3" t="s">
        <v>216</v>
      </c>
      <c r="F126" s="3">
        <v>0</v>
      </c>
      <c r="G126" s="3" t="s">
        <v>231</v>
      </c>
      <c r="H126" s="3" t="s">
        <v>225</v>
      </c>
      <c r="I126" s="3" t="s">
        <v>78</v>
      </c>
      <c r="J126" s="3">
        <v>1</v>
      </c>
      <c r="K126" s="3" t="s">
        <v>232</v>
      </c>
      <c r="L126" s="3">
        <v>4</v>
      </c>
      <c r="M126" s="3">
        <v>0</v>
      </c>
      <c r="N126" s="3" t="s">
        <v>23</v>
      </c>
      <c r="O126" s="3">
        <v>0</v>
      </c>
      <c r="P126" s="3">
        <v>10</v>
      </c>
      <c r="Q126" s="3">
        <f t="shared" si="13"/>
        <v>0.39100466476362877</v>
      </c>
      <c r="R126" s="3" t="s">
        <v>23</v>
      </c>
      <c r="S126" s="3">
        <f t="shared" si="14"/>
        <v>402164</v>
      </c>
      <c r="T126" s="3">
        <v>0.83019999999999994</v>
      </c>
      <c r="U126" s="3" t="s">
        <v>23</v>
      </c>
      <c r="W126" s="3">
        <v>1</v>
      </c>
    </row>
    <row r="127" spans="1:23" s="3" customFormat="1" ht="34" x14ac:dyDescent="0.2">
      <c r="A127" s="3" t="s">
        <v>214</v>
      </c>
      <c r="B127" s="16" t="s">
        <v>215</v>
      </c>
      <c r="C127" s="3" t="s">
        <v>19</v>
      </c>
      <c r="D127" s="3" t="s">
        <v>198</v>
      </c>
      <c r="E127" s="3" t="s">
        <v>216</v>
      </c>
      <c r="F127" s="3">
        <v>0</v>
      </c>
      <c r="G127" s="3" t="s">
        <v>231</v>
      </c>
      <c r="H127" s="3" t="s">
        <v>226</v>
      </c>
      <c r="I127" s="3" t="s">
        <v>78</v>
      </c>
      <c r="J127" s="3">
        <v>1</v>
      </c>
      <c r="K127" s="3" t="s">
        <v>232</v>
      </c>
      <c r="L127" s="3">
        <v>4</v>
      </c>
      <c r="M127" s="3">
        <v>0</v>
      </c>
      <c r="N127" s="3" t="s">
        <v>23</v>
      </c>
      <c r="O127" s="3">
        <v>0</v>
      </c>
      <c r="P127" s="3">
        <v>10</v>
      </c>
      <c r="Q127" s="3">
        <f t="shared" si="13"/>
        <v>0.39100466476362877</v>
      </c>
      <c r="R127" s="3" t="s">
        <v>23</v>
      </c>
      <c r="S127" s="3">
        <f t="shared" si="14"/>
        <v>402164</v>
      </c>
      <c r="T127" s="3">
        <v>0.83180000000000009</v>
      </c>
      <c r="U127" s="3" t="s">
        <v>23</v>
      </c>
      <c r="W127" s="3">
        <v>1</v>
      </c>
    </row>
    <row r="128" spans="1:23" s="3" customFormat="1" ht="34" x14ac:dyDescent="0.2">
      <c r="A128" s="3" t="s">
        <v>214</v>
      </c>
      <c r="B128" s="16" t="s">
        <v>215</v>
      </c>
      <c r="C128" s="3" t="s">
        <v>19</v>
      </c>
      <c r="D128" s="3" t="s">
        <v>198</v>
      </c>
      <c r="E128" s="3" t="s">
        <v>216</v>
      </c>
      <c r="F128" s="3">
        <v>0</v>
      </c>
      <c r="G128" s="3" t="s">
        <v>231</v>
      </c>
      <c r="H128" s="3" t="s">
        <v>227</v>
      </c>
      <c r="I128" s="3" t="s">
        <v>78</v>
      </c>
      <c r="J128" s="3">
        <v>1</v>
      </c>
      <c r="K128" s="3" t="s">
        <v>232</v>
      </c>
      <c r="L128" s="3">
        <v>4</v>
      </c>
      <c r="M128" s="3">
        <v>0</v>
      </c>
      <c r="N128" s="3" t="s">
        <v>23</v>
      </c>
      <c r="O128" s="3">
        <v>0</v>
      </c>
      <c r="P128" s="3">
        <v>10</v>
      </c>
      <c r="Q128" s="3">
        <f t="shared" si="13"/>
        <v>0.39100466476362877</v>
      </c>
      <c r="R128" s="3" t="s">
        <v>23</v>
      </c>
      <c r="S128" s="3">
        <f t="shared" si="14"/>
        <v>402164</v>
      </c>
      <c r="T128" s="3">
        <v>0.8962</v>
      </c>
      <c r="U128" s="3" t="s">
        <v>23</v>
      </c>
      <c r="W128" s="3">
        <v>1</v>
      </c>
    </row>
    <row r="129" spans="1:23" s="3" customFormat="1" ht="34" x14ac:dyDescent="0.2">
      <c r="A129" s="3" t="s">
        <v>214</v>
      </c>
      <c r="B129" s="16" t="s">
        <v>215</v>
      </c>
      <c r="C129" s="3" t="s">
        <v>19</v>
      </c>
      <c r="D129" s="3" t="s">
        <v>198</v>
      </c>
      <c r="E129" s="3" t="s">
        <v>216</v>
      </c>
      <c r="F129" s="3">
        <v>0</v>
      </c>
      <c r="G129" s="3" t="s">
        <v>231</v>
      </c>
      <c r="H129" s="3" t="s">
        <v>228</v>
      </c>
      <c r="I129" s="3" t="s">
        <v>78</v>
      </c>
      <c r="J129" s="3">
        <v>1</v>
      </c>
      <c r="K129" s="3" t="s">
        <v>232</v>
      </c>
      <c r="L129" s="3">
        <v>4</v>
      </c>
      <c r="M129" s="3">
        <v>0</v>
      </c>
      <c r="N129" s="3" t="s">
        <v>23</v>
      </c>
      <c r="O129" s="3">
        <v>0</v>
      </c>
      <c r="P129" s="3">
        <v>10</v>
      </c>
      <c r="Q129" s="3">
        <f t="shared" si="13"/>
        <v>0.39100466476362877</v>
      </c>
      <c r="R129" s="3" t="s">
        <v>23</v>
      </c>
      <c r="S129" s="3">
        <f t="shared" si="14"/>
        <v>402164</v>
      </c>
      <c r="T129" s="3">
        <v>0.89879999999999993</v>
      </c>
      <c r="U129" s="3" t="s">
        <v>23</v>
      </c>
      <c r="W129" s="3">
        <v>1</v>
      </c>
    </row>
    <row r="130" spans="1:23" s="3" customFormat="1" ht="17" x14ac:dyDescent="0.2">
      <c r="A130" s="3" t="s">
        <v>214</v>
      </c>
      <c r="B130" s="16" t="s">
        <v>215</v>
      </c>
      <c r="C130" s="3" t="s">
        <v>19</v>
      </c>
      <c r="D130" s="3" t="s">
        <v>198</v>
      </c>
      <c r="E130" s="3" t="s">
        <v>216</v>
      </c>
      <c r="F130" s="3">
        <v>0</v>
      </c>
      <c r="G130" s="3" t="s">
        <v>233</v>
      </c>
      <c r="H130" s="3" t="s">
        <v>218</v>
      </c>
      <c r="I130" s="3" t="s">
        <v>78</v>
      </c>
      <c r="J130" s="3">
        <v>1</v>
      </c>
      <c r="K130" s="3" t="s">
        <v>234</v>
      </c>
      <c r="L130" s="3">
        <v>3</v>
      </c>
      <c r="M130" s="3">
        <v>0</v>
      </c>
      <c r="N130" s="3" t="s">
        <v>23</v>
      </c>
      <c r="O130" s="3">
        <v>0</v>
      </c>
      <c r="P130" s="3">
        <v>6</v>
      </c>
      <c r="Q130" s="3">
        <f>14504/S130</f>
        <v>0.32581543714619465</v>
      </c>
      <c r="R130" s="3" t="s">
        <v>23</v>
      </c>
      <c r="S130" s="3">
        <f>(14504+3600+3504+11742+10598+568)</f>
        <v>44516</v>
      </c>
      <c r="T130" s="3">
        <v>0.79780000000000006</v>
      </c>
      <c r="U130" s="3" t="s">
        <v>23</v>
      </c>
      <c r="W130" s="3">
        <v>1</v>
      </c>
    </row>
    <row r="131" spans="1:23" s="3" customFormat="1" ht="17" x14ac:dyDescent="0.2">
      <c r="A131" s="3" t="s">
        <v>214</v>
      </c>
      <c r="B131" s="16" t="s">
        <v>215</v>
      </c>
      <c r="C131" s="3" t="s">
        <v>19</v>
      </c>
      <c r="D131" s="3" t="s">
        <v>198</v>
      </c>
      <c r="E131" s="3" t="s">
        <v>216</v>
      </c>
      <c r="F131" s="3">
        <v>0</v>
      </c>
      <c r="G131" s="3" t="s">
        <v>233</v>
      </c>
      <c r="H131" s="3" t="s">
        <v>220</v>
      </c>
      <c r="I131" s="3" t="s">
        <v>78</v>
      </c>
      <c r="J131" s="3">
        <v>1</v>
      </c>
      <c r="K131" s="3" t="s">
        <v>234</v>
      </c>
      <c r="L131" s="3">
        <v>3</v>
      </c>
      <c r="M131" s="3">
        <v>0</v>
      </c>
      <c r="N131" s="3" t="s">
        <v>23</v>
      </c>
      <c r="O131" s="3">
        <v>0</v>
      </c>
      <c r="P131" s="3">
        <v>6</v>
      </c>
      <c r="Q131" s="3">
        <f t="shared" ref="Q131:Q139" si="15">14504/S131</f>
        <v>0.32581543714619465</v>
      </c>
      <c r="R131" s="3" t="s">
        <v>23</v>
      </c>
      <c r="S131" s="3">
        <f t="shared" ref="S131:S139" si="16">(14504+3600+3504+11742+10598+568)</f>
        <v>44516</v>
      </c>
      <c r="T131" s="3">
        <v>0.83909999999999996</v>
      </c>
      <c r="U131" s="3" t="s">
        <v>23</v>
      </c>
      <c r="W131" s="3">
        <v>1</v>
      </c>
    </row>
    <row r="132" spans="1:23" s="3" customFormat="1" ht="17" x14ac:dyDescent="0.2">
      <c r="A132" s="3" t="s">
        <v>214</v>
      </c>
      <c r="B132" s="16" t="s">
        <v>215</v>
      </c>
      <c r="C132" s="3" t="s">
        <v>19</v>
      </c>
      <c r="D132" s="3" t="s">
        <v>198</v>
      </c>
      <c r="E132" s="3" t="s">
        <v>216</v>
      </c>
      <c r="F132" s="3">
        <v>0</v>
      </c>
      <c r="G132" s="3" t="s">
        <v>235</v>
      </c>
      <c r="H132" s="3" t="s">
        <v>221</v>
      </c>
      <c r="I132" s="3" t="s">
        <v>78</v>
      </c>
      <c r="J132" s="3">
        <v>1</v>
      </c>
      <c r="K132" s="3" t="s">
        <v>234</v>
      </c>
      <c r="L132" s="3">
        <v>3</v>
      </c>
      <c r="M132" s="3">
        <v>0</v>
      </c>
      <c r="N132" s="3" t="s">
        <v>23</v>
      </c>
      <c r="O132" s="3">
        <v>0</v>
      </c>
      <c r="P132" s="3">
        <v>6</v>
      </c>
      <c r="Q132" s="3">
        <f t="shared" si="15"/>
        <v>0.32581543714619465</v>
      </c>
      <c r="R132" s="3" t="s">
        <v>23</v>
      </c>
      <c r="S132" s="3">
        <f t="shared" si="16"/>
        <v>44516</v>
      </c>
      <c r="T132" s="3">
        <v>0.81230000000000002</v>
      </c>
      <c r="U132" s="3" t="s">
        <v>23</v>
      </c>
      <c r="W132" s="3">
        <v>1</v>
      </c>
    </row>
    <row r="133" spans="1:23" s="3" customFormat="1" ht="17" x14ac:dyDescent="0.2">
      <c r="A133" s="3" t="s">
        <v>214</v>
      </c>
      <c r="B133" s="16" t="s">
        <v>215</v>
      </c>
      <c r="C133" s="3" t="s">
        <v>19</v>
      </c>
      <c r="D133" s="3" t="s">
        <v>198</v>
      </c>
      <c r="E133" s="3" t="s">
        <v>216</v>
      </c>
      <c r="F133" s="3">
        <v>0</v>
      </c>
      <c r="G133" s="3" t="s">
        <v>235</v>
      </c>
      <c r="H133" s="3" t="s">
        <v>222</v>
      </c>
      <c r="I133" s="3" t="s">
        <v>78</v>
      </c>
      <c r="J133" s="3">
        <v>1</v>
      </c>
      <c r="K133" s="3" t="s">
        <v>234</v>
      </c>
      <c r="L133" s="3">
        <v>3</v>
      </c>
      <c r="M133" s="3">
        <v>0</v>
      </c>
      <c r="N133" s="3" t="s">
        <v>23</v>
      </c>
      <c r="O133" s="3">
        <v>0</v>
      </c>
      <c r="P133" s="3">
        <v>6</v>
      </c>
      <c r="Q133" s="3">
        <f t="shared" si="15"/>
        <v>0.32581543714619465</v>
      </c>
      <c r="R133" s="3" t="s">
        <v>23</v>
      </c>
      <c r="S133" s="3">
        <f t="shared" si="16"/>
        <v>44516</v>
      </c>
      <c r="T133" s="3">
        <v>0.83279999999999998</v>
      </c>
      <c r="U133" s="3" t="s">
        <v>23</v>
      </c>
      <c r="W133" s="3">
        <v>1</v>
      </c>
    </row>
    <row r="134" spans="1:23" s="3" customFormat="1" ht="17" x14ac:dyDescent="0.2">
      <c r="A134" s="3" t="s">
        <v>214</v>
      </c>
      <c r="B134" s="16" t="s">
        <v>215</v>
      </c>
      <c r="C134" s="3" t="s">
        <v>19</v>
      </c>
      <c r="D134" s="3" t="s">
        <v>198</v>
      </c>
      <c r="E134" s="3" t="s">
        <v>216</v>
      </c>
      <c r="F134" s="3">
        <v>0</v>
      </c>
      <c r="G134" s="3" t="s">
        <v>235</v>
      </c>
      <c r="H134" s="3" t="s">
        <v>223</v>
      </c>
      <c r="I134" s="3" t="s">
        <v>78</v>
      </c>
      <c r="J134" s="3">
        <v>1</v>
      </c>
      <c r="K134" s="3" t="s">
        <v>234</v>
      </c>
      <c r="L134" s="3">
        <v>3</v>
      </c>
      <c r="M134" s="3">
        <v>0</v>
      </c>
      <c r="N134" s="3" t="s">
        <v>23</v>
      </c>
      <c r="O134" s="3">
        <v>0</v>
      </c>
      <c r="P134" s="3">
        <v>6</v>
      </c>
      <c r="Q134" s="3">
        <f t="shared" si="15"/>
        <v>0.32581543714619465</v>
      </c>
      <c r="R134" s="3" t="s">
        <v>23</v>
      </c>
      <c r="S134" s="3">
        <f t="shared" si="16"/>
        <v>44516</v>
      </c>
      <c r="T134" s="3">
        <v>0.84889999999999999</v>
      </c>
      <c r="U134" s="3" t="s">
        <v>23</v>
      </c>
      <c r="W134" s="3">
        <v>1</v>
      </c>
    </row>
    <row r="135" spans="1:23" s="3" customFormat="1" ht="17" x14ac:dyDescent="0.2">
      <c r="A135" s="3" t="s">
        <v>214</v>
      </c>
      <c r="B135" s="16" t="s">
        <v>215</v>
      </c>
      <c r="C135" s="3" t="s">
        <v>19</v>
      </c>
      <c r="D135" s="3" t="s">
        <v>198</v>
      </c>
      <c r="E135" s="3" t="s">
        <v>216</v>
      </c>
      <c r="F135" s="3">
        <v>0</v>
      </c>
      <c r="G135" s="3" t="s">
        <v>235</v>
      </c>
      <c r="H135" s="3" t="s">
        <v>224</v>
      </c>
      <c r="I135" s="3" t="s">
        <v>78</v>
      </c>
      <c r="J135" s="3">
        <v>1</v>
      </c>
      <c r="K135" s="3" t="s">
        <v>234</v>
      </c>
      <c r="L135" s="3">
        <v>3</v>
      </c>
      <c r="M135" s="3">
        <v>0</v>
      </c>
      <c r="N135" s="3" t="s">
        <v>23</v>
      </c>
      <c r="O135" s="3">
        <v>0</v>
      </c>
      <c r="P135" s="3">
        <v>6</v>
      </c>
      <c r="Q135" s="3">
        <f t="shared" si="15"/>
        <v>0.32581543714619465</v>
      </c>
      <c r="R135" s="3" t="s">
        <v>23</v>
      </c>
      <c r="S135" s="3">
        <f t="shared" si="16"/>
        <v>44516</v>
      </c>
      <c r="T135" s="3">
        <v>0.84389999999999998</v>
      </c>
      <c r="U135" s="3" t="s">
        <v>23</v>
      </c>
      <c r="W135" s="3">
        <v>1</v>
      </c>
    </row>
    <row r="136" spans="1:23" s="3" customFormat="1" ht="17" x14ac:dyDescent="0.2">
      <c r="A136" s="3" t="s">
        <v>214</v>
      </c>
      <c r="B136" s="16" t="s">
        <v>215</v>
      </c>
      <c r="C136" s="3" t="s">
        <v>19</v>
      </c>
      <c r="D136" s="3" t="s">
        <v>198</v>
      </c>
      <c r="E136" s="3" t="s">
        <v>216</v>
      </c>
      <c r="F136" s="3">
        <v>0</v>
      </c>
      <c r="G136" s="3" t="s">
        <v>235</v>
      </c>
      <c r="H136" s="3" t="s">
        <v>225</v>
      </c>
      <c r="I136" s="3" t="s">
        <v>78</v>
      </c>
      <c r="J136" s="3">
        <v>1</v>
      </c>
      <c r="K136" s="3" t="s">
        <v>234</v>
      </c>
      <c r="L136" s="3">
        <v>3</v>
      </c>
      <c r="M136" s="3">
        <v>0</v>
      </c>
      <c r="N136" s="3" t="s">
        <v>23</v>
      </c>
      <c r="O136" s="3">
        <v>0</v>
      </c>
      <c r="P136" s="3">
        <v>6</v>
      </c>
      <c r="Q136" s="3">
        <f t="shared" si="15"/>
        <v>0.32581543714619465</v>
      </c>
      <c r="R136" s="3" t="s">
        <v>23</v>
      </c>
      <c r="S136" s="3">
        <f t="shared" si="16"/>
        <v>44516</v>
      </c>
      <c r="T136" s="3">
        <v>0.81930000000000003</v>
      </c>
      <c r="U136" s="3" t="s">
        <v>23</v>
      </c>
      <c r="W136" s="3">
        <v>1</v>
      </c>
    </row>
    <row r="137" spans="1:23" s="3" customFormat="1" ht="17" x14ac:dyDescent="0.2">
      <c r="A137" s="3" t="s">
        <v>214</v>
      </c>
      <c r="B137" s="16" t="s">
        <v>215</v>
      </c>
      <c r="C137" s="3" t="s">
        <v>19</v>
      </c>
      <c r="D137" s="3" t="s">
        <v>198</v>
      </c>
      <c r="E137" s="3" t="s">
        <v>216</v>
      </c>
      <c r="F137" s="3">
        <v>0</v>
      </c>
      <c r="G137" s="3" t="s">
        <v>235</v>
      </c>
      <c r="H137" s="3" t="s">
        <v>226</v>
      </c>
      <c r="I137" s="3" t="s">
        <v>78</v>
      </c>
      <c r="J137" s="3">
        <v>1</v>
      </c>
      <c r="K137" s="3" t="s">
        <v>234</v>
      </c>
      <c r="L137" s="3">
        <v>3</v>
      </c>
      <c r="M137" s="3">
        <v>0</v>
      </c>
      <c r="N137" s="3" t="s">
        <v>23</v>
      </c>
      <c r="O137" s="3">
        <v>0</v>
      </c>
      <c r="P137" s="3">
        <v>6</v>
      </c>
      <c r="Q137" s="3">
        <f t="shared" si="15"/>
        <v>0.32581543714619465</v>
      </c>
      <c r="R137" s="3" t="s">
        <v>23</v>
      </c>
      <c r="S137" s="3">
        <f t="shared" si="16"/>
        <v>44516</v>
      </c>
      <c r="T137" s="3">
        <v>0.80310000000000004</v>
      </c>
      <c r="U137" s="3" t="s">
        <v>23</v>
      </c>
      <c r="W137" s="3">
        <v>1</v>
      </c>
    </row>
    <row r="138" spans="1:23" s="3" customFormat="1" ht="17" x14ac:dyDescent="0.2">
      <c r="A138" s="3" t="s">
        <v>214</v>
      </c>
      <c r="B138" s="16" t="s">
        <v>215</v>
      </c>
      <c r="C138" s="3" t="s">
        <v>19</v>
      </c>
      <c r="D138" s="3" t="s">
        <v>198</v>
      </c>
      <c r="E138" s="3" t="s">
        <v>216</v>
      </c>
      <c r="F138" s="3">
        <v>0</v>
      </c>
      <c r="G138" s="3" t="s">
        <v>235</v>
      </c>
      <c r="H138" s="3" t="s">
        <v>227</v>
      </c>
      <c r="I138" s="3" t="s">
        <v>78</v>
      </c>
      <c r="J138" s="3">
        <v>1</v>
      </c>
      <c r="K138" s="3" t="s">
        <v>234</v>
      </c>
      <c r="L138" s="3">
        <v>3</v>
      </c>
      <c r="M138" s="3">
        <v>0</v>
      </c>
      <c r="N138" s="3" t="s">
        <v>23</v>
      </c>
      <c r="O138" s="3">
        <v>0</v>
      </c>
      <c r="P138" s="3">
        <v>6</v>
      </c>
      <c r="Q138" s="3">
        <f t="shared" si="15"/>
        <v>0.32581543714619465</v>
      </c>
      <c r="R138" s="3" t="s">
        <v>23</v>
      </c>
      <c r="S138" s="3">
        <f t="shared" si="16"/>
        <v>44516</v>
      </c>
      <c r="T138" s="3">
        <v>0.87290000000000001</v>
      </c>
      <c r="U138" s="3" t="s">
        <v>23</v>
      </c>
      <c r="W138" s="3">
        <v>1</v>
      </c>
    </row>
    <row r="139" spans="1:23" s="3" customFormat="1" ht="17" x14ac:dyDescent="0.2">
      <c r="A139" s="3" t="s">
        <v>214</v>
      </c>
      <c r="B139" s="16" t="s">
        <v>215</v>
      </c>
      <c r="C139" s="3" t="s">
        <v>19</v>
      </c>
      <c r="D139" s="3" t="s">
        <v>198</v>
      </c>
      <c r="E139" s="3" t="s">
        <v>216</v>
      </c>
      <c r="F139" s="3">
        <v>0</v>
      </c>
      <c r="G139" s="3" t="s">
        <v>235</v>
      </c>
      <c r="H139" s="3" t="s">
        <v>228</v>
      </c>
      <c r="I139" s="3" t="s">
        <v>78</v>
      </c>
      <c r="J139" s="3">
        <v>1</v>
      </c>
      <c r="K139" s="3" t="s">
        <v>234</v>
      </c>
      <c r="L139" s="3">
        <v>3</v>
      </c>
      <c r="M139" s="3">
        <v>0</v>
      </c>
      <c r="N139" s="3" t="s">
        <v>23</v>
      </c>
      <c r="O139" s="3">
        <v>0</v>
      </c>
      <c r="P139" s="3">
        <v>6</v>
      </c>
      <c r="Q139" s="3">
        <f t="shared" si="15"/>
        <v>0.32581543714619465</v>
      </c>
      <c r="R139" s="3" t="s">
        <v>23</v>
      </c>
      <c r="S139" s="3">
        <f t="shared" si="16"/>
        <v>44516</v>
      </c>
      <c r="T139" s="3">
        <v>0.87</v>
      </c>
      <c r="U139" s="3" t="s">
        <v>23</v>
      </c>
      <c r="W139" s="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DCC8-0EBD-CD40-8801-B65C68DC3FA0}">
  <dimension ref="A1:Z8"/>
  <sheetViews>
    <sheetView workbookViewId="0">
      <selection activeCell="Z9" sqref="Z9"/>
    </sheetView>
  </sheetViews>
  <sheetFormatPr baseColWidth="10" defaultRowHeight="16" x14ac:dyDescent="0.2"/>
  <sheetData>
    <row r="1" spans="1:26" s="1" customFormat="1" ht="51" x14ac:dyDescent="0.2">
      <c r="A1" s="1" t="s">
        <v>0</v>
      </c>
      <c r="B1" s="12" t="s">
        <v>1</v>
      </c>
      <c r="C1" s="1" t="s">
        <v>2</v>
      </c>
      <c r="D1" s="1" t="s">
        <v>40</v>
      </c>
      <c r="E1" s="1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" t="s">
        <v>53</v>
      </c>
      <c r="K1" s="1" t="s">
        <v>8</v>
      </c>
      <c r="L1" s="1" t="s">
        <v>9</v>
      </c>
      <c r="M1" s="1" t="s">
        <v>10</v>
      </c>
      <c r="N1" s="4" t="s">
        <v>41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47</v>
      </c>
      <c r="U1" s="1" t="s">
        <v>48</v>
      </c>
      <c r="V1" s="1" t="s">
        <v>50</v>
      </c>
      <c r="W1" s="1" t="s">
        <v>49</v>
      </c>
      <c r="X1" s="1" t="s">
        <v>16</v>
      </c>
      <c r="Y1" s="1" t="s">
        <v>43</v>
      </c>
      <c r="Z1" s="12" t="s">
        <v>70</v>
      </c>
    </row>
    <row r="2" spans="1:26" ht="51" x14ac:dyDescent="0.2">
      <c r="A2" s="3" t="s">
        <v>173</v>
      </c>
      <c r="B2" t="s">
        <v>172</v>
      </c>
      <c r="C2" s="3" t="s">
        <v>174</v>
      </c>
      <c r="D2" t="s">
        <v>75</v>
      </c>
      <c r="F2">
        <v>1</v>
      </c>
      <c r="G2" s="3" t="s">
        <v>175</v>
      </c>
      <c r="L2" s="10" t="s">
        <v>176</v>
      </c>
      <c r="M2" s="3" t="s">
        <v>23</v>
      </c>
      <c r="N2" s="7">
        <v>1</v>
      </c>
      <c r="O2">
        <v>30</v>
      </c>
      <c r="Q2" s="3">
        <v>4</v>
      </c>
      <c r="R2">
        <f>612.78/1274.57</f>
        <v>0.48077390806311149</v>
      </c>
      <c r="T2">
        <v>450</v>
      </c>
      <c r="U2">
        <v>0.88919999999999999</v>
      </c>
      <c r="V2">
        <v>1990</v>
      </c>
      <c r="Z2" t="s">
        <v>177</v>
      </c>
    </row>
    <row r="3" spans="1:26" ht="34" x14ac:dyDescent="0.2">
      <c r="A3" s="3" t="s">
        <v>173</v>
      </c>
      <c r="B3" t="s">
        <v>172</v>
      </c>
      <c r="C3" s="3" t="s">
        <v>174</v>
      </c>
      <c r="D3" t="s">
        <v>75</v>
      </c>
      <c r="N3" s="7"/>
      <c r="Q3" s="3">
        <v>4</v>
      </c>
      <c r="R3">
        <f>575.85/1274.57</f>
        <v>0.45179943039613363</v>
      </c>
      <c r="T3">
        <v>450</v>
      </c>
      <c r="U3">
        <v>0.91590000000000005</v>
      </c>
      <c r="V3">
        <v>2000</v>
      </c>
    </row>
    <row r="4" spans="1:26" ht="34" x14ac:dyDescent="0.2">
      <c r="A4" s="3" t="s">
        <v>173</v>
      </c>
      <c r="B4" t="s">
        <v>172</v>
      </c>
      <c r="C4" s="3" t="s">
        <v>174</v>
      </c>
      <c r="D4" t="s">
        <v>75</v>
      </c>
      <c r="N4" s="7"/>
      <c r="Q4" s="3">
        <v>4</v>
      </c>
      <c r="R4">
        <f>559.28/1274.57</f>
        <v>0.43879896749491987</v>
      </c>
      <c r="T4">
        <v>450</v>
      </c>
      <c r="U4">
        <v>0.92500000000000004</v>
      </c>
      <c r="V4">
        <v>2010</v>
      </c>
    </row>
    <row r="5" spans="1:26" ht="34" x14ac:dyDescent="0.2">
      <c r="A5" s="3" t="s">
        <v>173</v>
      </c>
      <c r="B5" t="s">
        <v>172</v>
      </c>
      <c r="C5" s="3" t="s">
        <v>174</v>
      </c>
      <c r="D5" t="s">
        <v>75</v>
      </c>
      <c r="N5" s="7"/>
      <c r="Q5" s="3">
        <v>4</v>
      </c>
      <c r="R5">
        <f>552.77/1274.57</f>
        <v>0.43369136257718288</v>
      </c>
      <c r="T5">
        <v>450</v>
      </c>
      <c r="U5">
        <v>0.87580000000000002</v>
      </c>
      <c r="V5">
        <v>2017</v>
      </c>
    </row>
    <row r="6" spans="1:26" ht="17" x14ac:dyDescent="0.2">
      <c r="A6" s="3" t="s">
        <v>189</v>
      </c>
      <c r="B6" t="s">
        <v>190</v>
      </c>
      <c r="N6" s="7"/>
      <c r="Z6" t="s">
        <v>191</v>
      </c>
    </row>
    <row r="7" spans="1:26" ht="17" x14ac:dyDescent="0.2">
      <c r="A7" s="3" t="s">
        <v>192</v>
      </c>
      <c r="B7" t="s">
        <v>193</v>
      </c>
      <c r="Z7" t="s">
        <v>191</v>
      </c>
    </row>
    <row r="8" spans="1:26" ht="34" x14ac:dyDescent="0.2">
      <c r="A8" s="3" t="s">
        <v>211</v>
      </c>
      <c r="B8" t="s">
        <v>210</v>
      </c>
      <c r="C8" s="3" t="s">
        <v>196</v>
      </c>
      <c r="Z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Include</vt:lpstr>
      <vt:lpstr>Exclude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Leach, N.M. (Nina)</dc:creator>
  <cp:lastModifiedBy>Leach, N.M. (Nina)</cp:lastModifiedBy>
  <dcterms:created xsi:type="dcterms:W3CDTF">2024-04-17T15:30:03Z</dcterms:created>
  <dcterms:modified xsi:type="dcterms:W3CDTF">2024-05-17T13:23:43Z</dcterms:modified>
</cp:coreProperties>
</file>