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90" yWindow="525" windowWidth="20775" windowHeight="11445"/>
  </bookViews>
  <sheets>
    <sheet name="Sheet1" sheetId="1" r:id="rId1"/>
  </sheets>
  <calcPr calcId="145621"/>
</workbook>
</file>

<file path=xl/calcChain.xml><?xml version="1.0" encoding="utf-8"?>
<calcChain xmlns="http://schemas.openxmlformats.org/spreadsheetml/2006/main">
  <c r="C117" i="1" l="1"/>
  <c r="D117" i="1" s="1"/>
  <c r="E117" i="1" s="1"/>
  <c r="F117" i="1" s="1"/>
  <c r="C109" i="1"/>
  <c r="B109" i="1"/>
  <c r="B110" i="1" s="1"/>
  <c r="B111" i="1" s="1"/>
  <c r="B107" i="1"/>
  <c r="G105" i="1"/>
  <c r="F104" i="1"/>
  <c r="G104" i="1" s="1"/>
  <c r="E104" i="1"/>
  <c r="D104" i="1"/>
  <c r="C104" i="1"/>
  <c r="B104" i="1"/>
  <c r="F103" i="1"/>
  <c r="E103" i="1"/>
  <c r="D103" i="1"/>
  <c r="G103" i="1" s="1"/>
  <c r="C103" i="1"/>
  <c r="B103" i="1"/>
  <c r="B102" i="1"/>
  <c r="G102" i="1" s="1"/>
  <c r="G101" i="1"/>
  <c r="C99" i="1"/>
  <c r="C100" i="1" s="1"/>
  <c r="C98" i="1"/>
  <c r="B98" i="1"/>
  <c r="B99" i="1" s="1"/>
  <c r="C96" i="1"/>
  <c r="B96" i="1"/>
  <c r="G94" i="1"/>
  <c r="G93" i="1"/>
  <c r="G90" i="1"/>
  <c r="B87" i="1"/>
  <c r="D85" i="1"/>
  <c r="C85" i="1"/>
  <c r="B85" i="1"/>
  <c r="G83" i="1"/>
  <c r="G82" i="1"/>
  <c r="D81" i="1"/>
  <c r="D92" i="1" s="1"/>
  <c r="C81" i="1"/>
  <c r="C92" i="1" s="1"/>
  <c r="B81" i="1"/>
  <c r="B92" i="1" s="1"/>
  <c r="G79" i="1"/>
  <c r="B77" i="1"/>
  <c r="B78" i="1" s="1"/>
  <c r="B76" i="1"/>
  <c r="C74" i="1"/>
  <c r="B74" i="1"/>
  <c r="G72" i="1"/>
  <c r="G71" i="1"/>
  <c r="F70" i="1"/>
  <c r="F81" i="1" s="1"/>
  <c r="F92" i="1" s="1"/>
  <c r="E70" i="1"/>
  <c r="E81" i="1" s="1"/>
  <c r="E92" i="1" s="1"/>
  <c r="D70" i="1"/>
  <c r="C70" i="1"/>
  <c r="B70" i="1"/>
  <c r="B69" i="1"/>
  <c r="B80" i="1" s="1"/>
  <c r="G68" i="1"/>
  <c r="C52" i="1"/>
  <c r="B52" i="1"/>
  <c r="B53" i="1" s="1"/>
  <c r="B54" i="1" s="1"/>
  <c r="B50" i="1"/>
  <c r="G48" i="1"/>
  <c r="G47" i="1"/>
  <c r="F47" i="1"/>
  <c r="E47" i="1"/>
  <c r="D47" i="1"/>
  <c r="C47" i="1"/>
  <c r="B47" i="1"/>
  <c r="G46" i="1"/>
  <c r="G45" i="1"/>
  <c r="G44" i="1"/>
  <c r="C122" i="1" s="1"/>
  <c r="B39" i="1"/>
  <c r="C37" i="1"/>
  <c r="B37" i="1"/>
  <c r="B40" i="1" s="1"/>
  <c r="G34" i="1"/>
  <c r="F33" i="1"/>
  <c r="E33" i="1"/>
  <c r="D33" i="1"/>
  <c r="C33" i="1"/>
  <c r="B33" i="1"/>
  <c r="G33" i="1" s="1"/>
  <c r="G32" i="1"/>
  <c r="C121" i="1" s="1"/>
  <c r="B32" i="1"/>
  <c r="G31" i="1"/>
  <c r="B31" i="1"/>
  <c r="B27" i="1"/>
  <c r="B28" i="1" s="1"/>
  <c r="B26" i="1"/>
  <c r="B24" i="1"/>
  <c r="G22" i="1"/>
  <c r="G21" i="1"/>
  <c r="G20" i="1"/>
  <c r="B19" i="1"/>
  <c r="G19" i="1" s="1"/>
  <c r="B18" i="1"/>
  <c r="G18" i="1" s="1"/>
  <c r="C120" i="1" s="1"/>
  <c r="B15" i="1"/>
  <c r="B14" i="1"/>
  <c r="B13" i="1"/>
  <c r="B11" i="1"/>
  <c r="G9" i="1"/>
  <c r="F8" i="1"/>
  <c r="E8" i="1"/>
  <c r="D8" i="1"/>
  <c r="C8" i="1"/>
  <c r="G8" i="1" s="1"/>
  <c r="B8" i="1"/>
  <c r="F7" i="1"/>
  <c r="E7" i="1"/>
  <c r="D7" i="1"/>
  <c r="C7" i="1"/>
  <c r="B7" i="1"/>
  <c r="G7" i="1" s="1"/>
  <c r="G6" i="1"/>
  <c r="G5" i="1"/>
  <c r="C2" i="1"/>
  <c r="C87" i="1" s="1"/>
  <c r="B100" i="1" l="1"/>
  <c r="C119" i="1"/>
  <c r="G92" i="1"/>
  <c r="B41" i="1"/>
  <c r="G80" i="1"/>
  <c r="B91" i="1"/>
  <c r="G91" i="1" s="1"/>
  <c r="C88" i="1"/>
  <c r="C89" i="1" s="1"/>
  <c r="C50" i="1"/>
  <c r="C53" i="1" s="1"/>
  <c r="C54" i="1" s="1"/>
  <c r="C26" i="1"/>
  <c r="B88" i="1"/>
  <c r="B89" i="1" s="1"/>
  <c r="C13" i="1"/>
  <c r="G81" i="1"/>
  <c r="D96" i="1"/>
  <c r="D2" i="1"/>
  <c r="G69" i="1"/>
  <c r="C107" i="1"/>
  <c r="C24" i="1"/>
  <c r="G70" i="1"/>
  <c r="G112" i="1" s="1"/>
  <c r="C123" i="1" s="1"/>
  <c r="C76" i="1"/>
  <c r="C11" i="1"/>
  <c r="C39" i="1"/>
  <c r="D74" i="1"/>
  <c r="C77" i="1" l="1"/>
  <c r="C78" i="1" s="1"/>
  <c r="D24" i="1"/>
  <c r="D50" i="1"/>
  <c r="D98" i="1"/>
  <c r="E85" i="1"/>
  <c r="D52" i="1"/>
  <c r="D37" i="1"/>
  <c r="E96" i="1"/>
  <c r="D13" i="1"/>
  <c r="D109" i="1"/>
  <c r="E74" i="1"/>
  <c r="D107" i="1"/>
  <c r="D76" i="1"/>
  <c r="D77" i="1" s="1"/>
  <c r="D78" i="1" s="1"/>
  <c r="D26" i="1"/>
  <c r="D27" i="1" s="1"/>
  <c r="D28" i="1" s="1"/>
  <c r="E2" i="1"/>
  <c r="D87" i="1"/>
  <c r="D39" i="1"/>
  <c r="D11" i="1"/>
  <c r="C14" i="1"/>
  <c r="C40" i="1"/>
  <c r="C110" i="1"/>
  <c r="C111" i="1" s="1"/>
  <c r="C27" i="1"/>
  <c r="G96" i="1" l="1"/>
  <c r="F96" i="1"/>
  <c r="E13" i="1"/>
  <c r="E52" i="1"/>
  <c r="E53" i="1" s="1"/>
  <c r="E54" i="1" s="1"/>
  <c r="E37" i="1"/>
  <c r="E11" i="1"/>
  <c r="E107" i="1"/>
  <c r="E76" i="1"/>
  <c r="E26" i="1"/>
  <c r="F2" i="1"/>
  <c r="E109" i="1"/>
  <c r="F85" i="1"/>
  <c r="F74" i="1"/>
  <c r="G74" i="1" s="1"/>
  <c r="E39" i="1"/>
  <c r="E40" i="1" s="1"/>
  <c r="E41" i="1" s="1"/>
  <c r="E50" i="1"/>
  <c r="E98" i="1"/>
  <c r="E99" i="1" s="1"/>
  <c r="E100" i="1" s="1"/>
  <c r="E87" i="1"/>
  <c r="E24" i="1"/>
  <c r="D53" i="1"/>
  <c r="D54" i="1" s="1"/>
  <c r="G85" i="1"/>
  <c r="D99" i="1"/>
  <c r="D100" i="1" s="1"/>
  <c r="D40" i="1"/>
  <c r="D41" i="1" s="1"/>
  <c r="C41" i="1"/>
  <c r="D110" i="1"/>
  <c r="D111" i="1" s="1"/>
  <c r="C28" i="1"/>
  <c r="D14" i="1"/>
  <c r="D15" i="1" s="1"/>
  <c r="C15" i="1"/>
  <c r="D88" i="1"/>
  <c r="D89" i="1" s="1"/>
  <c r="G11" i="1" l="1"/>
  <c r="G100" i="1"/>
  <c r="E27" i="1"/>
  <c r="G26" i="1"/>
  <c r="G39" i="1"/>
  <c r="F88" i="1"/>
  <c r="F89" i="1" s="1"/>
  <c r="E110" i="1"/>
  <c r="E111" i="1" s="1"/>
  <c r="E14" i="1"/>
  <c r="G13" i="1"/>
  <c r="G98" i="1"/>
  <c r="G99" i="1" s="1"/>
  <c r="G24" i="1"/>
  <c r="F107" i="1"/>
  <c r="G107" i="1" s="1"/>
  <c r="F76" i="1"/>
  <c r="F77" i="1" s="1"/>
  <c r="F78" i="1" s="1"/>
  <c r="F26" i="1"/>
  <c r="F11" i="1"/>
  <c r="F24" i="1"/>
  <c r="F50" i="1"/>
  <c r="G50" i="1" s="1"/>
  <c r="F52" i="1"/>
  <c r="F37" i="1"/>
  <c r="G37" i="1" s="1"/>
  <c r="F87" i="1"/>
  <c r="G87" i="1" s="1"/>
  <c r="G88" i="1" s="1"/>
  <c r="F109" i="1"/>
  <c r="F98" i="1"/>
  <c r="F99" i="1" s="1"/>
  <c r="F100" i="1" s="1"/>
  <c r="F39" i="1"/>
  <c r="F13" i="1"/>
  <c r="F14" i="1" s="1"/>
  <c r="F15" i="1" s="1"/>
  <c r="E77" i="1"/>
  <c r="E78" i="1" s="1"/>
  <c r="E88" i="1"/>
  <c r="E89" i="1" s="1"/>
  <c r="G89" i="1" s="1"/>
  <c r="G76" i="1" l="1"/>
  <c r="G78" i="1"/>
  <c r="F53" i="1"/>
  <c r="F54" i="1" s="1"/>
  <c r="G54" i="1" s="1"/>
  <c r="D122" i="1" s="1"/>
  <c r="G52" i="1"/>
  <c r="G53" i="1" s="1"/>
  <c r="B122" i="1" s="1"/>
  <c r="E15" i="1"/>
  <c r="G15" i="1" s="1"/>
  <c r="D119" i="1" s="1"/>
  <c r="G14" i="1"/>
  <c r="B119" i="1" s="1"/>
  <c r="F40" i="1"/>
  <c r="F27" i="1"/>
  <c r="F28" i="1" s="1"/>
  <c r="E28" i="1"/>
  <c r="G28" i="1" s="1"/>
  <c r="D120" i="1" s="1"/>
  <c r="G27" i="1"/>
  <c r="B120" i="1" s="1"/>
  <c r="F110" i="1"/>
  <c r="F111" i="1" s="1"/>
  <c r="G111" i="1" s="1"/>
  <c r="G109" i="1"/>
  <c r="G110" i="1" s="1"/>
  <c r="F41" i="1" l="1"/>
  <c r="G41" i="1" s="1"/>
  <c r="D121" i="1" s="1"/>
  <c r="G40" i="1"/>
  <c r="B121" i="1" s="1"/>
  <c r="G114" i="1"/>
  <c r="D123" i="1" s="1"/>
  <c r="G113" i="1"/>
  <c r="B123" i="1" s="1"/>
  <c r="G77" i="1"/>
</calcChain>
</file>

<file path=xl/sharedStrings.xml><?xml version="1.0" encoding="utf-8"?>
<sst xmlns="http://schemas.openxmlformats.org/spreadsheetml/2006/main" count="126" uniqueCount="126">
  <si>
    <t>Year</t>
  </si>
  <si>
    <t>Profit Baseline:</t>
  </si>
  <si>
    <t>Automated Labeling: Year</t>
  </si>
  <si>
    <t>Total</t>
  </si>
  <si>
    <t>Total Equipment Cost</t>
  </si>
  <si>
    <t>Total Cost to Install Equipment</t>
  </si>
  <si>
    <t>Maintenance Expense</t>
  </si>
  <si>
    <t>Utilities Cost</t>
  </si>
  <si>
    <t>Equipment Depreciation Rate</t>
  </si>
  <si>
    <t>Employee Efficiency Percent</t>
  </si>
  <si>
    <t>Employee Efficiency Profit</t>
  </si>
  <si>
    <t>Production Efficiency Percent</t>
  </si>
  <si>
    <t>Production Efficiency Profit</t>
  </si>
  <si>
    <t>Total Profit from Efficiency Gain</t>
  </si>
  <si>
    <t>Present Value</t>
  </si>
  <si>
    <t>Voice Terminals: Year</t>
  </si>
  <si>
    <t>Total</t>
  </si>
  <si>
    <t>Total Equipment Cost</t>
  </si>
  <si>
    <t>Total Cost to Install Equipment</t>
  </si>
  <si>
    <t>Maintenance Expense</t>
  </si>
  <si>
    <t>Utilities Cost</t>
  </si>
  <si>
    <t>Equipment Depreciation Rate</t>
  </si>
  <si>
    <t>Employee Efficiency Percent</t>
  </si>
  <si>
    <t>Employee Efficiency Profit</t>
  </si>
  <si>
    <t>Production Efficiency Percent</t>
  </si>
  <si>
    <t>Production Efficiency Profit</t>
  </si>
  <si>
    <t>Total Profit from Efficiency Gain</t>
  </si>
  <si>
    <t>Present Value</t>
  </si>
  <si>
    <t>Put-to-Light: Year</t>
  </si>
  <si>
    <t>Total</t>
  </si>
  <si>
    <t>Total Equipment Cost</t>
  </si>
  <si>
    <t>Total Cost to Install Equipment</t>
  </si>
  <si>
    <t>Maintenance Expense</t>
  </si>
  <si>
    <t>Utilities Cost</t>
  </si>
  <si>
    <t>Equipment Depreciation Rate</t>
  </si>
  <si>
    <t>Employee Efficiency Percent</t>
  </si>
  <si>
    <t>Employee Efficiency Profit</t>
  </si>
  <si>
    <t>Production Efficiency Percent</t>
  </si>
  <si>
    <t>Production Efficiency Profit</t>
  </si>
  <si>
    <t>Total Profit from Efficiency Gain</t>
  </si>
  <si>
    <t>Present Value</t>
  </si>
  <si>
    <t>Goods-to-Man Machine: Year</t>
  </si>
  <si>
    <t>Total</t>
  </si>
  <si>
    <t>Total Equipment Cost</t>
  </si>
  <si>
    <t>Total Cost to Install Equipment</t>
  </si>
  <si>
    <t>Maintenance Expense</t>
  </si>
  <si>
    <t>Utilities Cost</t>
  </si>
  <si>
    <t>Equipment Depreciation Rate</t>
  </si>
  <si>
    <t>Employee Efficiency Percent</t>
  </si>
  <si>
    <t>Employee Efficiency Profit</t>
  </si>
  <si>
    <t>Production Efficiency Percent</t>
  </si>
  <si>
    <t>Production Efficiency Profit</t>
  </si>
  <si>
    <t>Total Profit from Efficiency Gain</t>
  </si>
  <si>
    <t>Present Value</t>
  </si>
  <si>
    <t>Solution: Year</t>
  </si>
  <si>
    <t>Total</t>
  </si>
  <si>
    <t>Put-To-Light Equipment Cost</t>
  </si>
  <si>
    <t>Put-To-Light Cost to Install</t>
  </si>
  <si>
    <t>Put-To-Light Maintenance Expense</t>
  </si>
  <si>
    <t>Put-To-Light Utilities Cost</t>
  </si>
  <si>
    <t>Put-To-Light Depreciation Rate</t>
  </si>
  <si>
    <t>Employee Efficiency Percent</t>
  </si>
  <si>
    <t>Employee Efficiency Profit</t>
  </si>
  <si>
    <t>Production Efficiency Percent</t>
  </si>
  <si>
    <t>Production Efficiency Profit</t>
  </si>
  <si>
    <t>Total Profit from Efficiency Gain</t>
  </si>
  <si>
    <t>Present Value</t>
  </si>
  <si>
    <t>WMS Software</t>
  </si>
  <si>
    <t>WMS Cost to Install</t>
  </si>
  <si>
    <t>WMS Maintenance Expense</t>
  </si>
  <si>
    <t>WMS Utilities Cost</t>
  </si>
  <si>
    <t>WMS Depreciation Rate</t>
  </si>
  <si>
    <t>WMS Employee Efficiency Percent</t>
  </si>
  <si>
    <t>WMS Employee Efficiency Profit</t>
  </si>
  <si>
    <t>WMS Production Efficiency Percent</t>
  </si>
  <si>
    <t>WMS Production Efficiency Profit</t>
  </si>
  <si>
    <t>WMS Total Profit from Efficiency Gain</t>
  </si>
  <si>
    <t>WMS Present Value</t>
  </si>
  <si>
    <t>MRP Software</t>
  </si>
  <si>
    <t>MRP Cost to Install</t>
  </si>
  <si>
    <t>MRP Maintenance Expense</t>
  </si>
  <si>
    <t>MRP Utilities Cost</t>
  </si>
  <si>
    <t>MRP Depreciation Rate</t>
  </si>
  <si>
    <t>MRP Employee Efficiency Percent</t>
  </si>
  <si>
    <t>MRP Employee Efficiency Profit</t>
  </si>
  <si>
    <t>MRP Production Efficiency Percent</t>
  </si>
  <si>
    <t>MRP Production Efficiency Profit</t>
  </si>
  <si>
    <t>Total Profit from Efficiency Gain</t>
  </si>
  <si>
    <t>MRP Present Value</t>
  </si>
  <si>
    <t>ERP Software</t>
  </si>
  <si>
    <t>ERP Cost to Install</t>
  </si>
  <si>
    <t>ERP Maintenance Expense</t>
  </si>
  <si>
    <t>ERP Utilities Cost</t>
  </si>
  <si>
    <t>ERP Depreciation Rate</t>
  </si>
  <si>
    <t>ERP Employee Efficiency Percent</t>
  </si>
  <si>
    <t>ERP Employee Efficiency Profit</t>
  </si>
  <si>
    <t>ERP Production Efficiency Percent</t>
  </si>
  <si>
    <t>ERP Production Efficiency Profit</t>
  </si>
  <si>
    <t>Total Profit from Efficiency Gain</t>
  </si>
  <si>
    <t>ERP Present Value</t>
  </si>
  <si>
    <t>Sortation Conveyor (West) Equipment Cost</t>
  </si>
  <si>
    <t>Sortation Conveyor Cost to Install</t>
  </si>
  <si>
    <t>Sortation Conveyor Maintenance Expense</t>
  </si>
  <si>
    <t>Sortation Conveyor Utilities Cost</t>
  </si>
  <si>
    <t>Sortation Conveyor Depreciation Rate</t>
  </si>
  <si>
    <t>Conveyor Employee Efficiency Percent</t>
  </si>
  <si>
    <t>Conveyor Employee Efficiency Profit</t>
  </si>
  <si>
    <t>Conveyor Production Efficiency Percent</t>
  </si>
  <si>
    <t>Conveyor Production Efficiency Profit</t>
  </si>
  <si>
    <t>Total Profit from Efficiency Gain</t>
  </si>
  <si>
    <t>Conveyor Present Value</t>
  </si>
  <si>
    <t>Total Cost of Solution</t>
  </si>
  <si>
    <t>Solution Profit from Efficiency</t>
  </si>
  <si>
    <t>Solution Net Present Value</t>
  </si>
  <si>
    <t>Year</t>
  </si>
  <si>
    <t>Profit Baseline</t>
  </si>
  <si>
    <t>Option</t>
  </si>
  <si>
    <t>Efficiency Profit</t>
  </si>
  <si>
    <t>Total Cost</t>
  </si>
  <si>
    <t>Net Present Value</t>
  </si>
  <si>
    <t>Automated Labeling</t>
  </si>
  <si>
    <t>Voice Terminals</t>
  </si>
  <si>
    <t>Put to Light</t>
  </si>
  <si>
    <t>Goods-to-Man Machine</t>
  </si>
  <si>
    <t>Solution: PTL, WMS, MRP, ERP, Sorter</t>
  </si>
  <si>
    <t>Depreciation Calculator: http://www.calculatorsoup.com/calculators/financial/depreciation-declining-double.php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</si>
</sst>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&quot;$&quot;#,##0.00"/>
    <numFmt numFmtId="165" formatCode="&quot;$&quot;#,##0"/>
  </numFmts>
  <fonts count="64" x14ac:knownFonts="1">
    <font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sz val="10"/>
      <name val="Arial"/>
    </font>
    <font>
      <b/>
      <sz val="10"/>
      <color rgb="FF00000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b/>
      <sz val="10"/>
      <color rgb="FF000000"/>
      <name val="Arial"/>
    </font>
    <font>
      <b/>
      <sz val="10"/>
      <name val="Arial"/>
    </font>
    <font>
      <b/>
      <sz val="10"/>
      <name val="Arial"/>
    </font>
    <font>
      <b/>
      <sz val="10"/>
      <color rgb="FF00000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color rgb="FF000000"/>
      <name val="Arial"/>
    </font>
    <font>
      <sz val="10"/>
      <color rgb="FF000000"/>
      <name val="Arial"/>
    </font>
    <font>
      <sz val="10"/>
      <name val="Arial"/>
    </font>
    <font>
      <sz val="10"/>
      <color rgb="FF00000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sz val="10"/>
      <name val="Arial"/>
    </font>
    <font>
      <sz val="10"/>
      <name val="Arial"/>
    </font>
    <font>
      <b/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b/>
      <sz val="10"/>
      <name val="Arial"/>
    </font>
    <font>
      <b/>
      <sz val="10"/>
      <color rgb="FF000000"/>
      <name val="Arial"/>
    </font>
    <font>
      <b/>
      <sz val="10"/>
      <color rgb="FF00000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sz val="10"/>
      <name val="Arial"/>
    </font>
    <font>
      <sz val="10"/>
      <name val="Arial"/>
    </font>
    <font>
      <b/>
      <sz val="10"/>
      <name val="Arial"/>
    </font>
    <font>
      <b/>
      <sz val="10"/>
      <color rgb="FF000000"/>
      <name val="Arial"/>
    </font>
    <font>
      <b/>
      <sz val="10"/>
      <color rgb="FF000000"/>
      <name val="Arial"/>
    </font>
    <font>
      <b/>
      <sz val="10"/>
      <name val="Arial"/>
    </font>
    <font>
      <sz val="10"/>
      <name val="Arial"/>
    </font>
    <font>
      <sz val="10"/>
      <name val="Arial"/>
    </font>
    <font>
      <b/>
      <sz val="10"/>
      <color rgb="FF000000"/>
      <name val="Arial"/>
    </font>
    <font>
      <sz val="10"/>
      <name val="Arial"/>
    </font>
    <font>
      <b/>
      <u/>
      <sz val="10"/>
      <name val="Arial"/>
    </font>
    <font>
      <b/>
      <sz val="10"/>
      <name val="Arial"/>
    </font>
    <font>
      <b/>
      <u/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</fonts>
  <fills count="7">
    <fill>
      <patternFill patternType="none"/>
    </fill>
    <fill>
      <patternFill patternType="gray125"/>
    </fill>
    <fill>
      <patternFill patternType="solid">
        <fgColor rgb="FF00FFFF"/>
        <bgColor rgb="FF00FFFF"/>
      </patternFill>
    </fill>
    <fill>
      <patternFill patternType="none"/>
    </fill>
    <fill>
      <patternFill patternType="solid">
        <fgColor rgb="FF00FF00"/>
        <bgColor rgb="FF00FF00"/>
      </patternFill>
    </fill>
    <fill>
      <patternFill patternType="solid">
        <fgColor rgb="FFFFFFFF"/>
        <bgColor rgb="FFFFFFFF"/>
      </patternFill>
    </fill>
    <fill>
      <patternFill patternType="solid">
        <fgColor rgb="FFFFFF00"/>
        <bgColor rgb="FFFFFF00"/>
      </patternFill>
    </fill>
  </fills>
  <borders count="61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theme="0" tint="-0.14996795556505021"/>
      </left>
      <right style="thin">
        <color indexed="64"/>
      </right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indexed="64"/>
      </left>
      <right style="thin">
        <color theme="0" tint="-0.14996795556505021"/>
      </right>
      <top style="thin">
        <color theme="0" tint="-0.14996795556505021"/>
      </top>
      <bottom style="thin">
        <color indexed="64"/>
      </bottom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indexed="64"/>
      </bottom>
      <diagonal/>
    </border>
    <border>
      <left style="thin">
        <color theme="0" tint="-0.14996795556505021"/>
      </left>
      <right style="thin">
        <color indexed="64"/>
      </right>
      <top style="thin">
        <color theme="0" tint="-0.14996795556505021"/>
      </top>
      <bottom style="thin">
        <color indexed="64"/>
      </bottom>
      <diagonal/>
    </border>
    <border>
      <left style="thin">
        <color indexed="64"/>
      </left>
      <right style="thin">
        <color theme="0" tint="-0.14996795556505021"/>
      </right>
      <top/>
      <bottom style="thin">
        <color theme="0" tint="-0.14996795556505021"/>
      </bottom>
      <diagonal/>
    </border>
    <border>
      <left style="thin">
        <color theme="0" tint="-0.14996795556505021"/>
      </left>
      <right style="thin">
        <color theme="0" tint="-0.14996795556505021"/>
      </right>
      <top/>
      <bottom style="thin">
        <color theme="0" tint="-0.14996795556505021"/>
      </bottom>
      <diagonal/>
    </border>
    <border>
      <left style="thin">
        <color theme="0" tint="-0.14996795556505021"/>
      </left>
      <right style="thin">
        <color indexed="64"/>
      </right>
      <top/>
      <bottom style="thin">
        <color theme="0" tint="-0.14996795556505021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rgb="FF000000"/>
      </bottom>
      <diagonal/>
    </border>
    <border>
      <left/>
      <right/>
      <top style="thin">
        <color indexed="64"/>
      </top>
      <bottom style="thin">
        <color rgb="FF000000"/>
      </bottom>
      <diagonal/>
    </border>
    <border>
      <left/>
      <right style="thin">
        <color indexed="64"/>
      </right>
      <top style="thin">
        <color indexed="64"/>
      </top>
      <bottom style="thin">
        <color rgb="FF000000"/>
      </bottom>
      <diagonal/>
    </border>
    <border>
      <left style="thin">
        <color indexed="64"/>
      </left>
      <right/>
      <top style="thin">
        <color rgb="FF000000"/>
      </top>
      <bottom/>
      <diagonal/>
    </border>
    <border>
      <left/>
      <right style="thin">
        <color indexed="64"/>
      </right>
      <top style="thin">
        <color rgb="FF000000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rgb="FF000000"/>
      </left>
      <right style="thin">
        <color indexed="64"/>
      </right>
      <top style="thin">
        <color rgb="FF000000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rgb="FF000000"/>
      </left>
      <right style="thin">
        <color indexed="64"/>
      </right>
      <top style="thin">
        <color rgb="FF000000"/>
      </top>
      <bottom style="thin">
        <color indexed="64"/>
      </bottom>
      <diagonal/>
    </border>
    <border>
      <left style="thin">
        <color theme="0" tint="-0.14996795556505021"/>
      </left>
      <right style="thin">
        <color indexed="64"/>
      </right>
      <top style="thin">
        <color theme="0" tint="-0.14996795556505021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19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4" fillId="3" borderId="4" xfId="0" applyFont="1" applyFill="1" applyBorder="1" applyAlignment="1">
      <alignment horizontal="center" vertical="center"/>
    </xf>
    <xf numFmtId="0" fontId="5" fillId="3" borderId="5" xfId="0" applyFont="1" applyFill="1" applyBorder="1" applyAlignment="1">
      <alignment horizontal="center" vertical="center"/>
    </xf>
    <xf numFmtId="164" fontId="7" fillId="3" borderId="7" xfId="0" applyNumberFormat="1" applyFont="1" applyFill="1" applyBorder="1" applyAlignment="1">
      <alignment horizontal="center" vertical="center"/>
    </xf>
    <xf numFmtId="164" fontId="8" fillId="3" borderId="8" xfId="0" applyNumberFormat="1" applyFont="1" applyFill="1" applyBorder="1" applyAlignment="1">
      <alignment horizontal="center" vertical="center"/>
    </xf>
    <xf numFmtId="4" fontId="9" fillId="3" borderId="4" xfId="0" applyNumberFormat="1" applyFont="1" applyFill="1" applyBorder="1" applyAlignment="1">
      <alignment horizontal="center" vertical="center"/>
    </xf>
    <xf numFmtId="0" fontId="10" fillId="4" borderId="45" xfId="0" applyFont="1" applyFill="1" applyBorder="1" applyAlignment="1">
      <alignment horizontal="center" vertical="center"/>
    </xf>
    <xf numFmtId="3" fontId="11" fillId="4" borderId="46" xfId="0" applyNumberFormat="1" applyFont="1" applyFill="1" applyBorder="1" applyAlignment="1">
      <alignment horizontal="center" vertical="center"/>
    </xf>
    <xf numFmtId="4" fontId="12" fillId="4" borderId="47" xfId="0" applyNumberFormat="1" applyFont="1" applyFill="1" applyBorder="1" applyAlignment="1">
      <alignment horizontal="center" vertical="center"/>
    </xf>
    <xf numFmtId="0" fontId="13" fillId="3" borderId="42" xfId="0" applyFont="1" applyFill="1" applyBorder="1" applyAlignment="1">
      <alignment horizontal="center" vertical="center"/>
    </xf>
    <xf numFmtId="164" fontId="14" fillId="3" borderId="43" xfId="0" applyNumberFormat="1" applyFont="1" applyFill="1" applyBorder="1" applyAlignment="1">
      <alignment horizontal="center" vertical="center"/>
    </xf>
    <xf numFmtId="164" fontId="15" fillId="3" borderId="44" xfId="0" applyNumberFormat="1" applyFont="1" applyFill="1" applyBorder="1" applyAlignment="1">
      <alignment horizontal="center" vertical="center"/>
    </xf>
    <xf numFmtId="0" fontId="13" fillId="3" borderId="37" xfId="0" applyFont="1" applyFill="1" applyBorder="1" applyAlignment="1">
      <alignment horizontal="center" vertical="center"/>
    </xf>
    <xf numFmtId="164" fontId="14" fillId="3" borderId="33" xfId="0" applyNumberFormat="1" applyFont="1" applyFill="1" applyBorder="1" applyAlignment="1">
      <alignment horizontal="center" vertical="center"/>
    </xf>
    <xf numFmtId="164" fontId="15" fillId="3" borderId="38" xfId="0" applyNumberFormat="1" applyFont="1" applyFill="1" applyBorder="1" applyAlignment="1">
      <alignment horizontal="center" vertical="center"/>
    </xf>
    <xf numFmtId="4" fontId="9" fillId="3" borderId="33" xfId="0" applyNumberFormat="1" applyFont="1" applyFill="1" applyBorder="1" applyAlignment="1">
      <alignment horizontal="center" vertical="center"/>
    </xf>
    <xf numFmtId="4" fontId="16" fillId="3" borderId="38" xfId="0" applyNumberFormat="1" applyFont="1" applyFill="1" applyBorder="1" applyAlignment="1">
      <alignment horizontal="center" vertical="center"/>
    </xf>
    <xf numFmtId="165" fontId="17" fillId="5" borderId="33" xfId="0" applyNumberFormat="1" applyFont="1" applyFill="1" applyBorder="1" applyAlignment="1">
      <alignment horizontal="center" vertical="center"/>
    </xf>
    <xf numFmtId="164" fontId="18" fillId="3" borderId="38" xfId="0" applyNumberFormat="1" applyFont="1" applyFill="1" applyBorder="1" applyAlignment="1">
      <alignment horizontal="center" vertical="center"/>
    </xf>
    <xf numFmtId="4" fontId="19" fillId="3" borderId="33" xfId="0" applyNumberFormat="1" applyFont="1" applyFill="1" applyBorder="1" applyAlignment="1">
      <alignment horizontal="center" vertical="center"/>
    </xf>
    <xf numFmtId="4" fontId="20" fillId="3" borderId="38" xfId="0" applyNumberFormat="1" applyFont="1" applyFill="1" applyBorder="1" applyAlignment="1">
      <alignment horizontal="center" vertical="center"/>
    </xf>
    <xf numFmtId="164" fontId="22" fillId="3" borderId="38" xfId="0" applyNumberFormat="1" applyFont="1" applyFill="1" applyBorder="1" applyAlignment="1">
      <alignment horizontal="center" vertical="center"/>
    </xf>
    <xf numFmtId="164" fontId="23" fillId="3" borderId="33" xfId="0" applyNumberFormat="1" applyFont="1" applyFill="1" applyBorder="1" applyAlignment="1">
      <alignment horizontal="center" vertical="center"/>
    </xf>
    <xf numFmtId="0" fontId="5" fillId="3" borderId="39" xfId="0" applyFont="1" applyFill="1" applyBorder="1" applyAlignment="1">
      <alignment horizontal="center" vertical="center"/>
    </xf>
    <xf numFmtId="164" fontId="25" fillId="3" borderId="41" xfId="0" applyNumberFormat="1" applyFont="1" applyFill="1" applyBorder="1" applyAlignment="1">
      <alignment horizontal="center" vertical="center"/>
    </xf>
    <xf numFmtId="0" fontId="26" fillId="4" borderId="45" xfId="0" applyFont="1" applyFill="1" applyBorder="1" applyAlignment="1">
      <alignment horizontal="center" vertical="center"/>
    </xf>
    <xf numFmtId="0" fontId="27" fillId="4" borderId="46" xfId="0" applyFont="1" applyFill="1" applyBorder="1" applyAlignment="1">
      <alignment horizontal="center" vertical="center"/>
    </xf>
    <xf numFmtId="0" fontId="28" fillId="4" borderId="47" xfId="0" applyFont="1" applyFill="1" applyBorder="1" applyAlignment="1">
      <alignment horizontal="center" vertical="center"/>
    </xf>
    <xf numFmtId="0" fontId="29" fillId="3" borderId="42" xfId="0" applyFont="1" applyFill="1" applyBorder="1" applyAlignment="1">
      <alignment horizontal="center" vertical="center"/>
    </xf>
    <xf numFmtId="164" fontId="30" fillId="3" borderId="43" xfId="0" applyNumberFormat="1" applyFont="1" applyFill="1" applyBorder="1" applyAlignment="1">
      <alignment horizontal="center" vertical="center"/>
    </xf>
    <xf numFmtId="0" fontId="31" fillId="3" borderId="44" xfId="0" applyFont="1" applyFill="1" applyBorder="1" applyAlignment="1">
      <alignment horizontal="center" vertical="center"/>
    </xf>
    <xf numFmtId="0" fontId="32" fillId="3" borderId="37" xfId="0" applyFont="1" applyFill="1" applyBorder="1" applyAlignment="1">
      <alignment horizontal="center" vertical="center"/>
    </xf>
    <xf numFmtId="0" fontId="33" fillId="3" borderId="38" xfId="0" applyFont="1" applyFill="1" applyBorder="1" applyAlignment="1">
      <alignment horizontal="center" vertical="center"/>
    </xf>
    <xf numFmtId="0" fontId="34" fillId="3" borderId="33" xfId="0" applyFont="1" applyFill="1" applyBorder="1" applyAlignment="1">
      <alignment horizontal="center" vertical="center"/>
    </xf>
    <xf numFmtId="0" fontId="35" fillId="3" borderId="38" xfId="0" applyFont="1" applyFill="1" applyBorder="1" applyAlignment="1">
      <alignment horizontal="center" vertical="center"/>
    </xf>
    <xf numFmtId="164" fontId="38" fillId="3" borderId="40" xfId="0" applyNumberFormat="1" applyFont="1" applyFill="1" applyBorder="1" applyAlignment="1">
      <alignment horizontal="center" vertical="center"/>
    </xf>
    <xf numFmtId="0" fontId="26" fillId="4" borderId="14" xfId="0" applyFont="1" applyFill="1" applyBorder="1" applyAlignment="1">
      <alignment horizontal="center" vertical="center"/>
    </xf>
    <xf numFmtId="0" fontId="27" fillId="4" borderId="15" xfId="0" applyFont="1" applyFill="1" applyBorder="1" applyAlignment="1">
      <alignment horizontal="center" vertical="center"/>
    </xf>
    <xf numFmtId="0" fontId="28" fillId="4" borderId="16" xfId="0" applyFont="1" applyFill="1" applyBorder="1" applyAlignment="1">
      <alignment horizontal="center" vertical="center"/>
    </xf>
    <xf numFmtId="0" fontId="32" fillId="3" borderId="17" xfId="0" applyFont="1" applyFill="1" applyBorder="1" applyAlignment="1">
      <alignment horizontal="center" vertical="center"/>
    </xf>
    <xf numFmtId="164" fontId="23" fillId="3" borderId="4" xfId="0" applyNumberFormat="1" applyFont="1" applyFill="1" applyBorder="1" applyAlignment="1">
      <alignment horizontal="center" vertical="center"/>
    </xf>
    <xf numFmtId="0" fontId="34" fillId="3" borderId="4" xfId="0" applyFont="1" applyFill="1" applyBorder="1" applyAlignment="1">
      <alignment horizontal="center" vertical="center"/>
    </xf>
    <xf numFmtId="0" fontId="33" fillId="3" borderId="18" xfId="0" applyFont="1" applyFill="1" applyBorder="1" applyAlignment="1">
      <alignment horizontal="center" vertical="center"/>
    </xf>
    <xf numFmtId="165" fontId="39" fillId="3" borderId="4" xfId="0" applyNumberFormat="1" applyFont="1" applyFill="1" applyBorder="1" applyAlignment="1">
      <alignment horizontal="center" vertical="center"/>
    </xf>
    <xf numFmtId="0" fontId="13" fillId="3" borderId="10" xfId="0" applyFont="1" applyFill="1" applyBorder="1" applyAlignment="1">
      <alignment horizontal="center" vertical="center"/>
    </xf>
    <xf numFmtId="164" fontId="14" fillId="3" borderId="4" xfId="0" applyNumberFormat="1" applyFont="1" applyFill="1" applyBorder="1" applyAlignment="1">
      <alignment horizontal="center" vertical="center"/>
    </xf>
    <xf numFmtId="164" fontId="18" fillId="3" borderId="12" xfId="0" applyNumberFormat="1" applyFont="1" applyFill="1" applyBorder="1" applyAlignment="1">
      <alignment horizontal="center" vertical="center"/>
    </xf>
    <xf numFmtId="0" fontId="35" fillId="3" borderId="19" xfId="0" applyFont="1" applyFill="1" applyBorder="1" applyAlignment="1">
      <alignment horizontal="center" vertical="center"/>
    </xf>
    <xf numFmtId="164" fontId="15" fillId="3" borderId="11" xfId="0" applyNumberFormat="1" applyFont="1" applyFill="1" applyBorder="1" applyAlignment="1">
      <alignment horizontal="center" vertical="center"/>
    </xf>
    <xf numFmtId="0" fontId="40" fillId="3" borderId="21" xfId="0" applyFont="1" applyFill="1" applyBorder="1" applyAlignment="1">
      <alignment horizontal="center" vertical="center"/>
    </xf>
    <xf numFmtId="0" fontId="41" fillId="6" borderId="22" xfId="0" applyFont="1" applyFill="1" applyBorder="1" applyAlignment="1">
      <alignment horizontal="center" vertical="center"/>
    </xf>
    <xf numFmtId="0" fontId="10" fillId="4" borderId="9" xfId="0" applyFont="1" applyFill="1" applyBorder="1" applyAlignment="1">
      <alignment horizontal="center" vertical="center"/>
    </xf>
    <xf numFmtId="0" fontId="42" fillId="4" borderId="23" xfId="0" applyFont="1" applyFill="1" applyBorder="1" applyAlignment="1">
      <alignment horizontal="center" vertical="center"/>
    </xf>
    <xf numFmtId="0" fontId="43" fillId="4" borderId="24" xfId="0" applyFont="1" applyFill="1" applyBorder="1" applyAlignment="1">
      <alignment horizontal="center" vertical="center"/>
    </xf>
    <xf numFmtId="4" fontId="19" fillId="3" borderId="4" xfId="0" applyNumberFormat="1" applyFont="1" applyFill="1" applyBorder="1" applyAlignment="1">
      <alignment horizontal="center" vertical="center"/>
    </xf>
    <xf numFmtId="4" fontId="20" fillId="3" borderId="13" xfId="0" applyNumberFormat="1" applyFont="1" applyFill="1" applyBorder="1" applyAlignment="1">
      <alignment horizontal="center" vertical="center"/>
    </xf>
    <xf numFmtId="0" fontId="44" fillId="3" borderId="25" xfId="0" applyFont="1" applyFill="1" applyBorder="1" applyAlignment="1">
      <alignment horizontal="center" vertical="center"/>
    </xf>
    <xf numFmtId="0" fontId="45" fillId="3" borderId="4" xfId="0" applyFont="1" applyFill="1" applyBorder="1" applyAlignment="1">
      <alignment horizontal="center" vertical="center"/>
    </xf>
    <xf numFmtId="0" fontId="26" fillId="4" borderId="48" xfId="0" applyFont="1" applyFill="1" applyBorder="1" applyAlignment="1">
      <alignment horizontal="center" vertical="center"/>
    </xf>
    <xf numFmtId="0" fontId="27" fillId="4" borderId="49" xfId="0" applyFont="1" applyFill="1" applyBorder="1" applyAlignment="1">
      <alignment horizontal="center" vertical="center"/>
    </xf>
    <xf numFmtId="0" fontId="28" fillId="4" borderId="50" xfId="0" applyFont="1" applyFill="1" applyBorder="1" applyAlignment="1">
      <alignment horizontal="center" vertical="center"/>
    </xf>
    <xf numFmtId="164" fontId="46" fillId="3" borderId="51" xfId="0" applyNumberFormat="1" applyFont="1" applyFill="1" applyBorder="1" applyAlignment="1">
      <alignment horizontal="center" vertical="center"/>
    </xf>
    <xf numFmtId="164" fontId="47" fillId="3" borderId="29" xfId="0" applyNumberFormat="1" applyFont="1" applyFill="1" applyBorder="1" applyAlignment="1">
      <alignment horizontal="center" vertical="center"/>
    </xf>
    <xf numFmtId="164" fontId="30" fillId="3" borderId="29" xfId="0" applyNumberFormat="1" applyFont="1" applyFill="1" applyBorder="1" applyAlignment="1">
      <alignment horizontal="center" vertical="center"/>
    </xf>
    <xf numFmtId="164" fontId="48" fillId="3" borderId="52" xfId="0" applyNumberFormat="1" applyFont="1" applyFill="1" applyBorder="1" applyAlignment="1">
      <alignment horizontal="center" vertical="center"/>
    </xf>
    <xf numFmtId="164" fontId="49" fillId="3" borderId="53" xfId="0" applyNumberFormat="1" applyFont="1" applyFill="1" applyBorder="1" applyAlignment="1">
      <alignment horizontal="center" vertical="center"/>
    </xf>
    <xf numFmtId="164" fontId="15" fillId="3" borderId="54" xfId="0" applyNumberFormat="1" applyFont="1" applyFill="1" applyBorder="1" applyAlignment="1">
      <alignment horizontal="center" vertical="center"/>
    </xf>
    <xf numFmtId="164" fontId="18" fillId="3" borderId="54" xfId="0" applyNumberFormat="1" applyFont="1" applyFill="1" applyBorder="1" applyAlignment="1">
      <alignment horizontal="center" vertical="center"/>
    </xf>
    <xf numFmtId="164" fontId="50" fillId="3" borderId="53" xfId="0" applyNumberFormat="1" applyFont="1" applyFill="1" applyBorder="1" applyAlignment="1">
      <alignment horizontal="center" vertical="center"/>
    </xf>
    <xf numFmtId="4" fontId="20" fillId="3" borderId="54" xfId="0" applyNumberFormat="1" applyFont="1" applyFill="1" applyBorder="1" applyAlignment="1">
      <alignment horizontal="center" vertical="center"/>
    </xf>
    <xf numFmtId="164" fontId="51" fillId="3" borderId="53" xfId="0" applyNumberFormat="1" applyFont="1" applyFill="1" applyBorder="1" applyAlignment="1">
      <alignment horizontal="center" vertical="center"/>
    </xf>
    <xf numFmtId="164" fontId="38" fillId="3" borderId="4" xfId="0" applyNumberFormat="1" applyFont="1" applyFill="1" applyBorder="1" applyAlignment="1">
      <alignment horizontal="center" vertical="center"/>
    </xf>
    <xf numFmtId="164" fontId="52" fillId="6" borderId="55" xfId="0" applyNumberFormat="1" applyFont="1" applyFill="1" applyBorder="1" applyAlignment="1">
      <alignment horizontal="center" vertical="center"/>
    </xf>
    <xf numFmtId="0" fontId="29" fillId="3" borderId="37" xfId="0" applyFont="1" applyFill="1" applyBorder="1" applyAlignment="1">
      <alignment horizontal="center" vertical="center"/>
    </xf>
    <xf numFmtId="164" fontId="30" fillId="3" borderId="33" xfId="0" applyNumberFormat="1" applyFont="1" applyFill="1" applyBorder="1" applyAlignment="1">
      <alignment horizontal="center" vertical="center"/>
    </xf>
    <xf numFmtId="164" fontId="48" fillId="3" borderId="38" xfId="0" applyNumberFormat="1" applyFont="1" applyFill="1" applyBorder="1" applyAlignment="1">
      <alignment horizontal="center" vertical="center"/>
    </xf>
    <xf numFmtId="165" fontId="53" fillId="5" borderId="38" xfId="0" applyNumberFormat="1" applyFont="1" applyFill="1" applyBorder="1" applyAlignment="1">
      <alignment horizontal="center" vertical="center"/>
    </xf>
    <xf numFmtId="164" fontId="18" fillId="3" borderId="59" xfId="0" applyNumberFormat="1" applyFont="1" applyFill="1" applyBorder="1" applyAlignment="1">
      <alignment horizontal="center" vertical="center"/>
    </xf>
    <xf numFmtId="0" fontId="5" fillId="3" borderId="56" xfId="0" applyFont="1" applyFill="1" applyBorder="1" applyAlignment="1">
      <alignment horizontal="center" vertical="center"/>
    </xf>
    <xf numFmtId="0" fontId="40" fillId="3" borderId="57" xfId="0" applyFont="1" applyFill="1" applyBorder="1" applyAlignment="1">
      <alignment horizontal="center" vertical="center"/>
    </xf>
    <xf numFmtId="0" fontId="41" fillId="6" borderId="32" xfId="0" applyFont="1" applyFill="1" applyBorder="1" applyAlignment="1">
      <alignment horizontal="center" vertical="center"/>
    </xf>
    <xf numFmtId="0" fontId="29" fillId="3" borderId="34" xfId="0" applyFont="1" applyFill="1" applyBorder="1" applyAlignment="1">
      <alignment horizontal="center" vertical="center"/>
    </xf>
    <xf numFmtId="164" fontId="30" fillId="3" borderId="35" xfId="0" applyNumberFormat="1" applyFont="1" applyFill="1" applyBorder="1" applyAlignment="1">
      <alignment horizontal="center" vertical="center"/>
    </xf>
    <xf numFmtId="164" fontId="48" fillId="3" borderId="36" xfId="0" applyNumberFormat="1" applyFont="1" applyFill="1" applyBorder="1" applyAlignment="1">
      <alignment horizontal="center" vertical="center"/>
    </xf>
    <xf numFmtId="165" fontId="54" fillId="5" borderId="38" xfId="0" applyNumberFormat="1" applyFont="1" applyFill="1" applyBorder="1" applyAlignment="1">
      <alignment horizontal="center" vertical="center"/>
    </xf>
    <xf numFmtId="0" fontId="13" fillId="3" borderId="53" xfId="0" applyFont="1" applyFill="1" applyBorder="1" applyAlignment="1">
      <alignment horizontal="center" vertical="center"/>
    </xf>
    <xf numFmtId="0" fontId="41" fillId="6" borderId="58" xfId="0" applyFont="1" applyFill="1" applyBorder="1" applyAlignment="1">
      <alignment horizontal="center" vertical="center"/>
    </xf>
    <xf numFmtId="0" fontId="29" fillId="3" borderId="27" xfId="0" applyFont="1" applyFill="1" applyBorder="1" applyAlignment="1">
      <alignment horizontal="center" vertical="center"/>
    </xf>
    <xf numFmtId="164" fontId="30" fillId="3" borderId="4" xfId="0" applyNumberFormat="1" applyFont="1" applyFill="1" applyBorder="1" applyAlignment="1">
      <alignment horizontal="center" vertical="center"/>
    </xf>
    <xf numFmtId="164" fontId="48" fillId="3" borderId="31" xfId="0" applyNumberFormat="1" applyFont="1" applyFill="1" applyBorder="1" applyAlignment="1">
      <alignment horizontal="center" vertical="center"/>
    </xf>
    <xf numFmtId="164" fontId="49" fillId="3" borderId="26" xfId="0" applyNumberFormat="1" applyFont="1" applyFill="1" applyBorder="1" applyAlignment="1">
      <alignment horizontal="center" vertical="center"/>
    </xf>
    <xf numFmtId="0" fontId="55" fillId="3" borderId="28" xfId="0" applyFont="1" applyFill="1" applyBorder="1" applyAlignment="1">
      <alignment horizontal="center" vertical="center"/>
    </xf>
    <xf numFmtId="0" fontId="56" fillId="3" borderId="29" xfId="0" applyFont="1" applyFill="1" applyBorder="1" applyAlignment="1">
      <alignment horizontal="center" vertical="center"/>
    </xf>
    <xf numFmtId="0" fontId="57" fillId="2" borderId="30" xfId="0" applyFont="1" applyFill="1" applyBorder="1" applyAlignment="1">
      <alignment horizontal="center" vertical="center"/>
    </xf>
    <xf numFmtId="0" fontId="58" fillId="3" borderId="27" xfId="0" applyFont="1" applyFill="1" applyBorder="1" applyAlignment="1">
      <alignment horizontal="center" vertical="center"/>
    </xf>
    <xf numFmtId="164" fontId="7" fillId="3" borderId="4" xfId="0" applyNumberFormat="1" applyFont="1" applyFill="1" applyBorder="1" applyAlignment="1">
      <alignment horizontal="center" vertical="center"/>
    </xf>
    <xf numFmtId="0" fontId="59" fillId="4" borderId="48" xfId="0" applyFont="1" applyFill="1" applyBorder="1" applyAlignment="1">
      <alignment horizontal="center" vertical="center"/>
    </xf>
    <xf numFmtId="0" fontId="32" fillId="3" borderId="53" xfId="0" applyFont="1" applyFill="1" applyBorder="1" applyAlignment="1">
      <alignment horizontal="center" vertical="center"/>
    </xf>
    <xf numFmtId="0" fontId="35" fillId="3" borderId="54" xfId="0" applyFont="1" applyFill="1" applyBorder="1" applyAlignment="1">
      <alignment horizontal="center" vertical="center"/>
    </xf>
    <xf numFmtId="0" fontId="4" fillId="3" borderId="33" xfId="0" applyFont="1" applyFill="1" applyBorder="1" applyAlignment="1">
      <alignment horizontal="center" vertical="center"/>
    </xf>
    <xf numFmtId="0" fontId="60" fillId="5" borderId="38" xfId="0" applyFont="1" applyFill="1" applyBorder="1" applyAlignment="1">
      <alignment horizontal="center" vertical="center"/>
    </xf>
    <xf numFmtId="164" fontId="61" fillId="3" borderId="33" xfId="0" applyNumberFormat="1" applyFont="1" applyFill="1" applyBorder="1" applyAlignment="1">
      <alignment horizontal="center" vertical="center"/>
    </xf>
    <xf numFmtId="0" fontId="58" fillId="3" borderId="56" xfId="0" applyFont="1" applyFill="1" applyBorder="1" applyAlignment="1">
      <alignment horizontal="center" vertical="center"/>
    </xf>
    <xf numFmtId="0" fontId="62" fillId="3" borderId="60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164" fontId="6" fillId="3" borderId="6" xfId="0" applyNumberFormat="1" applyFont="1" applyFill="1" applyBorder="1" applyAlignment="1">
      <alignment horizontal="center" vertical="center"/>
    </xf>
    <xf numFmtId="164" fontId="21" fillId="5" borderId="33" xfId="0" applyNumberFormat="1" applyFont="1" applyFill="1" applyBorder="1" applyAlignment="1">
      <alignment horizontal="center" vertical="center"/>
    </xf>
    <xf numFmtId="164" fontId="24" fillId="5" borderId="40" xfId="0" applyNumberFormat="1" applyFont="1" applyFill="1" applyBorder="1" applyAlignment="1">
      <alignment horizontal="center" vertical="center"/>
    </xf>
    <xf numFmtId="164" fontId="36" fillId="3" borderId="33" xfId="0" applyNumberFormat="1" applyFont="1" applyFill="1" applyBorder="1" applyAlignment="1">
      <alignment horizontal="center" vertical="center"/>
    </xf>
    <xf numFmtId="164" fontId="37" fillId="3" borderId="38" xfId="0" applyNumberFormat="1" applyFont="1" applyFill="1" applyBorder="1" applyAlignment="1">
      <alignment horizontal="center" vertical="center"/>
    </xf>
    <xf numFmtId="164" fontId="36" fillId="3" borderId="4" xfId="0" applyNumberFormat="1" applyFont="1" applyFill="1" applyBorder="1" applyAlignment="1">
      <alignment horizontal="center" vertical="center"/>
    </xf>
    <xf numFmtId="164" fontId="37" fillId="3" borderId="20" xfId="0" applyNumberFormat="1" applyFont="1" applyFill="1" applyBorder="1" applyAlignment="1">
      <alignment horizontal="center" vertical="center"/>
    </xf>
    <xf numFmtId="164" fontId="37" fillId="3" borderId="54" xfId="0" applyNumberFormat="1" applyFont="1" applyFill="1" applyBorder="1" applyAlignment="1">
      <alignment horizontal="center" vertical="center"/>
    </xf>
    <xf numFmtId="164" fontId="6" fillId="3" borderId="4" xfId="0" applyNumberFormat="1" applyFont="1" applyFill="1" applyBorder="1" applyAlignment="1">
      <alignment horizontal="center" vertical="center"/>
    </xf>
    <xf numFmtId="0" fontId="63" fillId="3" borderId="4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5"/>
  <sheetViews>
    <sheetView tabSelected="1" workbookViewId="0">
      <selection activeCell="I10" sqref="I10"/>
    </sheetView>
  </sheetViews>
  <sheetFormatPr defaultColWidth="14.42578125" defaultRowHeight="15.75" customHeight="1" x14ac:dyDescent="0.2"/>
  <cols>
    <col min="1" max="1" width="44.5703125" style="107" customWidth="1"/>
    <col min="2" max="2" width="18.28515625" style="107" customWidth="1"/>
    <col min="3" max="3" width="19.7109375" style="107" customWidth="1"/>
    <col min="4" max="4" width="18.7109375" style="107" customWidth="1"/>
    <col min="5" max="5" width="20.140625" style="107" customWidth="1"/>
    <col min="6" max="6" width="17.140625" style="107" customWidth="1"/>
    <col min="7" max="7" width="14.7109375" style="107" customWidth="1"/>
    <col min="8" max="16384" width="14.42578125" style="107"/>
  </cols>
  <sheetData>
    <row r="1" spans="1:7" ht="15.75" customHeight="1" x14ac:dyDescent="0.2">
      <c r="A1" s="1" t="s">
        <v>0</v>
      </c>
      <c r="B1" s="2">
        <v>1</v>
      </c>
      <c r="C1" s="2">
        <v>2</v>
      </c>
      <c r="D1" s="2">
        <v>3</v>
      </c>
      <c r="E1" s="2">
        <v>4</v>
      </c>
      <c r="F1" s="3">
        <v>5</v>
      </c>
      <c r="G1" s="4"/>
    </row>
    <row r="2" spans="1:7" ht="15.75" customHeight="1" x14ac:dyDescent="0.2">
      <c r="A2" s="5" t="s">
        <v>1</v>
      </c>
      <c r="B2" s="108">
        <v>2372838389.25</v>
      </c>
      <c r="C2" s="6">
        <f>1.04*B2</f>
        <v>2467751924.8200002</v>
      </c>
      <c r="D2" s="6">
        <f>1.04*C2</f>
        <v>2566462001.8128004</v>
      </c>
      <c r="E2" s="6">
        <f>1.04*D2</f>
        <v>2669120481.8853126</v>
      </c>
      <c r="F2" s="7">
        <f>1.04*E2</f>
        <v>2775885301.1607251</v>
      </c>
      <c r="G2" s="8"/>
    </row>
    <row r="4" spans="1:7" ht="15.75" customHeight="1" x14ac:dyDescent="0.2">
      <c r="A4" s="9" t="s">
        <v>2</v>
      </c>
      <c r="B4" s="10">
        <v>1</v>
      </c>
      <c r="C4" s="10">
        <v>2</v>
      </c>
      <c r="D4" s="10">
        <v>3</v>
      </c>
      <c r="E4" s="10">
        <v>4</v>
      </c>
      <c r="F4" s="10">
        <v>5</v>
      </c>
      <c r="G4" s="11" t="s">
        <v>3</v>
      </c>
    </row>
    <row r="5" spans="1:7" ht="15.75" customHeight="1" x14ac:dyDescent="0.2">
      <c r="A5" s="12" t="s">
        <v>4</v>
      </c>
      <c r="B5" s="13">
        <v>240000</v>
      </c>
      <c r="C5" s="13">
        <v>0</v>
      </c>
      <c r="D5" s="13">
        <v>0</v>
      </c>
      <c r="E5" s="13">
        <v>0</v>
      </c>
      <c r="F5" s="13">
        <v>0</v>
      </c>
      <c r="G5" s="14">
        <f>SUM(B5:F5)</f>
        <v>240000</v>
      </c>
    </row>
    <row r="6" spans="1:7" ht="15.75" customHeight="1" x14ac:dyDescent="0.2">
      <c r="A6" s="15" t="s">
        <v>5</v>
      </c>
      <c r="B6" s="16">
        <v>20000</v>
      </c>
      <c r="C6" s="16">
        <v>0</v>
      </c>
      <c r="D6" s="16">
        <v>0</v>
      </c>
      <c r="E6" s="16">
        <v>0</v>
      </c>
      <c r="F6" s="16">
        <v>0</v>
      </c>
      <c r="G6" s="17">
        <f>SUM(B6:F6)</f>
        <v>20000</v>
      </c>
    </row>
    <row r="7" spans="1:7" ht="15.75" customHeight="1" x14ac:dyDescent="0.2">
      <c r="A7" s="15" t="s">
        <v>6</v>
      </c>
      <c r="B7" s="16">
        <f>15*21.35*2*52</f>
        <v>33306</v>
      </c>
      <c r="C7" s="16">
        <f>15*21.35*2*52</f>
        <v>33306</v>
      </c>
      <c r="D7" s="16">
        <f>15*21.35*2*52</f>
        <v>33306</v>
      </c>
      <c r="E7" s="16">
        <f>15*21.35*2*52</f>
        <v>33306</v>
      </c>
      <c r="F7" s="16">
        <f>15*21.35*2*52</f>
        <v>33306</v>
      </c>
      <c r="G7" s="17">
        <f>SUM(B7:F7)</f>
        <v>166530</v>
      </c>
    </row>
    <row r="8" spans="1:7" ht="15.75" customHeight="1" x14ac:dyDescent="0.2">
      <c r="A8" s="15" t="s">
        <v>7</v>
      </c>
      <c r="B8" s="18">
        <f>0.5*$B5</f>
        <v>120000</v>
      </c>
      <c r="C8" s="18">
        <f>0.5*$B5</f>
        <v>120000</v>
      </c>
      <c r="D8" s="18">
        <f>0.5*$B5</f>
        <v>120000</v>
      </c>
      <c r="E8" s="18">
        <f>0.5*$B5</f>
        <v>120000</v>
      </c>
      <c r="F8" s="18">
        <f>0.5*$B5</f>
        <v>120000</v>
      </c>
      <c r="G8" s="19">
        <f>SUM(B8:F8)</f>
        <v>600000</v>
      </c>
    </row>
    <row r="9" spans="1:7" ht="15.75" customHeight="1" x14ac:dyDescent="0.2">
      <c r="A9" s="15" t="s">
        <v>8</v>
      </c>
      <c r="B9" s="20">
        <v>24000</v>
      </c>
      <c r="C9" s="20">
        <v>21600</v>
      </c>
      <c r="D9" s="20">
        <v>19440</v>
      </c>
      <c r="E9" s="20">
        <v>17496</v>
      </c>
      <c r="F9" s="20">
        <v>15746</v>
      </c>
      <c r="G9" s="21">
        <f>SUM(B9:F9)</f>
        <v>98282</v>
      </c>
    </row>
    <row r="10" spans="1:7" ht="15.75" customHeight="1" x14ac:dyDescent="0.2">
      <c r="A10" s="15" t="s">
        <v>9</v>
      </c>
      <c r="B10" s="22">
        <v>0.1</v>
      </c>
      <c r="C10" s="22">
        <v>0.1</v>
      </c>
      <c r="D10" s="22">
        <v>0.1</v>
      </c>
      <c r="E10" s="22">
        <v>0.1</v>
      </c>
      <c r="F10" s="22">
        <v>0.1</v>
      </c>
      <c r="G10" s="23">
        <v>0.1</v>
      </c>
    </row>
    <row r="11" spans="1:7" ht="15.75" customHeight="1" x14ac:dyDescent="0.2">
      <c r="A11" s="15" t="s">
        <v>10</v>
      </c>
      <c r="B11" s="16">
        <f>((0.94*B2)*(1+(B10/100)))-(0.94*B2)</f>
        <v>2230468.0858945847</v>
      </c>
      <c r="C11" s="16">
        <f>(C2*(1+(C10/100)))-C2</f>
        <v>2467751.9248199463</v>
      </c>
      <c r="D11" s="16">
        <f>(D2*(1+(D10/100)))-D2</f>
        <v>2566462.001812458</v>
      </c>
      <c r="E11" s="16">
        <f>(E2*(1+(E10/100)))-E2</f>
        <v>2669120.4818849564</v>
      </c>
      <c r="F11" s="16">
        <f>(F2*(1+(F10/100)))-F2</f>
        <v>2775885.3011603355</v>
      </c>
      <c r="G11" s="17">
        <f>SUM(B11:F11)</f>
        <v>12709687.795572281</v>
      </c>
    </row>
    <row r="12" spans="1:7" ht="15.75" customHeight="1" x14ac:dyDescent="0.2">
      <c r="A12" s="15" t="s">
        <v>11</v>
      </c>
      <c r="B12" s="22">
        <v>0.3</v>
      </c>
      <c r="C12" s="22">
        <v>0.3</v>
      </c>
      <c r="D12" s="22">
        <v>0.3</v>
      </c>
      <c r="E12" s="22">
        <v>0.3</v>
      </c>
      <c r="F12" s="22">
        <v>0.3</v>
      </c>
      <c r="G12" s="23">
        <v>0.3</v>
      </c>
    </row>
    <row r="13" spans="1:7" ht="15.75" customHeight="1" x14ac:dyDescent="0.2">
      <c r="A13" s="15" t="s">
        <v>12</v>
      </c>
      <c r="B13" s="109">
        <f>((0.94*B2)*(1+B12/75))-(0.94*B2)</f>
        <v>8921872.343580246</v>
      </c>
      <c r="C13" s="109">
        <f>(C2*(1+C12/75))-C2</f>
        <v>9871007.6992797852</v>
      </c>
      <c r="D13" s="109">
        <f>(D2*(1+D12/75))-D2</f>
        <v>10265848.007251263</v>
      </c>
      <c r="E13" s="109">
        <f>(E2*(1+E12/75))-E2</f>
        <v>10676481.927541256</v>
      </c>
      <c r="F13" s="109">
        <f>(F2*(1+F12/75))-F2</f>
        <v>11103541.204642773</v>
      </c>
      <c r="G13" s="24">
        <f>SUM(B13:F13)</f>
        <v>50838751.182295322</v>
      </c>
    </row>
    <row r="14" spans="1:7" ht="15.75" customHeight="1" x14ac:dyDescent="0.2">
      <c r="A14" s="15" t="s">
        <v>13</v>
      </c>
      <c r="B14" s="25">
        <f>AVERAGE(B13,B11)</f>
        <v>5576170.2147374153</v>
      </c>
      <c r="C14" s="25">
        <f>AVERAGE(C13,C11)</f>
        <v>6169379.8120498657</v>
      </c>
      <c r="D14" s="25">
        <f>AVERAGE(D13,D11)</f>
        <v>6416155.0045318604</v>
      </c>
      <c r="E14" s="25">
        <f>AVERAGE(E13,E11)</f>
        <v>6672801.2047131062</v>
      </c>
      <c r="F14" s="25">
        <f>AVERAGE(F13,F11)</f>
        <v>6939713.2529015541</v>
      </c>
      <c r="G14" s="17">
        <f>SUM(B14:F14)</f>
        <v>31774219.488933802</v>
      </c>
    </row>
    <row r="15" spans="1:7" ht="15.75" customHeight="1" x14ac:dyDescent="0.2">
      <c r="A15" s="26" t="s">
        <v>14</v>
      </c>
      <c r="B15" s="110">
        <f>(B14-SUM(B5:B9))/1.05</f>
        <v>4894156.3949880144</v>
      </c>
      <c r="C15" s="110">
        <f>(C14-SUM(C5:C9))/1.05^2</f>
        <v>5437164.4553740276</v>
      </c>
      <c r="D15" s="110">
        <f>(D14-SUM(D5:D9))/(1.05^3)</f>
        <v>5393291.4411245957</v>
      </c>
      <c r="E15" s="110">
        <f>(E14-SUM(E5:E9))/(1.05^4)</f>
        <v>5349210.8368123211</v>
      </c>
      <c r="F15" s="110">
        <f>(F14-SUM(F5:F9))/1.05^5</f>
        <v>5304990.2559424881</v>
      </c>
      <c r="G15" s="27">
        <f>SUM(B15:F15)</f>
        <v>26378813.384241447</v>
      </c>
    </row>
    <row r="17" spans="1:7" ht="15.75" customHeight="1" x14ac:dyDescent="0.2">
      <c r="A17" s="28" t="s">
        <v>15</v>
      </c>
      <c r="B17" s="29">
        <v>1</v>
      </c>
      <c r="C17" s="29">
        <v>2</v>
      </c>
      <c r="D17" s="29">
        <v>3</v>
      </c>
      <c r="E17" s="29">
        <v>4</v>
      </c>
      <c r="F17" s="29">
        <v>5</v>
      </c>
      <c r="G17" s="30" t="s">
        <v>16</v>
      </c>
    </row>
    <row r="18" spans="1:7" ht="15.75" customHeight="1" x14ac:dyDescent="0.2">
      <c r="A18" s="31" t="s">
        <v>17</v>
      </c>
      <c r="B18" s="32">
        <f>45*2*7000</f>
        <v>630000</v>
      </c>
      <c r="C18" s="32">
        <v>0</v>
      </c>
      <c r="D18" s="32">
        <v>0</v>
      </c>
      <c r="E18" s="32">
        <v>0</v>
      </c>
      <c r="F18" s="32">
        <v>0</v>
      </c>
      <c r="G18" s="33">
        <f>SUM(B18:F18)</f>
        <v>630000</v>
      </c>
    </row>
    <row r="19" spans="1:7" ht="15.75" customHeight="1" x14ac:dyDescent="0.2">
      <c r="A19" s="34" t="s">
        <v>18</v>
      </c>
      <c r="B19" s="16">
        <f>45000+25000+(40000*2)</f>
        <v>150000</v>
      </c>
      <c r="C19" s="16">
        <v>0</v>
      </c>
      <c r="D19" s="16">
        <v>0</v>
      </c>
      <c r="E19" s="16">
        <v>0</v>
      </c>
      <c r="F19" s="16">
        <v>0</v>
      </c>
      <c r="G19" s="35">
        <f>SUM(B19:F19)</f>
        <v>150000</v>
      </c>
    </row>
    <row r="20" spans="1:7" ht="15.75" customHeight="1" x14ac:dyDescent="0.2">
      <c r="A20" s="34" t="s">
        <v>19</v>
      </c>
      <c r="B20" s="16">
        <v>20000</v>
      </c>
      <c r="C20" s="16">
        <v>20000</v>
      </c>
      <c r="D20" s="16">
        <v>20000</v>
      </c>
      <c r="E20" s="16">
        <v>20000</v>
      </c>
      <c r="F20" s="16">
        <v>20000</v>
      </c>
      <c r="G20" s="35">
        <f>SUM(B20:F20)</f>
        <v>100000</v>
      </c>
    </row>
    <row r="21" spans="1:7" ht="15.75" customHeight="1" x14ac:dyDescent="0.2">
      <c r="A21" s="34" t="s">
        <v>20</v>
      </c>
      <c r="B21" s="16">
        <v>600000</v>
      </c>
      <c r="C21" s="16">
        <v>600000</v>
      </c>
      <c r="D21" s="16">
        <v>600000</v>
      </c>
      <c r="E21" s="16">
        <v>600000</v>
      </c>
      <c r="F21" s="16">
        <v>600000</v>
      </c>
      <c r="G21" s="35">
        <f>SUM(B21:F21)</f>
        <v>3000000</v>
      </c>
    </row>
    <row r="22" spans="1:7" ht="15.75" customHeight="1" x14ac:dyDescent="0.2">
      <c r="A22" s="15" t="s">
        <v>21</v>
      </c>
      <c r="B22" s="20">
        <v>96923</v>
      </c>
      <c r="C22" s="20">
        <v>82012</v>
      </c>
      <c r="D22" s="20">
        <v>69395</v>
      </c>
      <c r="E22" s="20">
        <v>58719</v>
      </c>
      <c r="F22" s="20">
        <v>49685</v>
      </c>
      <c r="G22" s="35">
        <f>SUM(B22:F22)</f>
        <v>356734</v>
      </c>
    </row>
    <row r="23" spans="1:7" ht="15.75" customHeight="1" x14ac:dyDescent="0.2">
      <c r="A23" s="15" t="s">
        <v>22</v>
      </c>
      <c r="B23" s="36">
        <v>0.7</v>
      </c>
      <c r="C23" s="36">
        <v>0.7</v>
      </c>
      <c r="D23" s="36">
        <v>0.7</v>
      </c>
      <c r="E23" s="36">
        <v>0.7</v>
      </c>
      <c r="F23" s="36">
        <v>0.7</v>
      </c>
      <c r="G23" s="37">
        <v>0.7</v>
      </c>
    </row>
    <row r="24" spans="1:7" ht="15.75" customHeight="1" x14ac:dyDescent="0.2">
      <c r="A24" s="15" t="s">
        <v>23</v>
      </c>
      <c r="B24" s="25">
        <f>((0.98*B2)*(1+(B23/100)))-(0.98*B2)</f>
        <v>16277671.350254536</v>
      </c>
      <c r="C24" s="25">
        <f>(C2*(1+(C23/100)))-C2</f>
        <v>17274263.473739624</v>
      </c>
      <c r="D24" s="25">
        <f>(D2*(1+(D23/100)))-D2</f>
        <v>17965234.012689114</v>
      </c>
      <c r="E24" s="25">
        <f>(E2*(1+(E23/100)))-E2</f>
        <v>18683843.373197079</v>
      </c>
      <c r="F24" s="25">
        <f>(F2*(1+(F23/100)))-F2</f>
        <v>19431197.108124733</v>
      </c>
      <c r="G24" s="17">
        <f>SUM(B24:F24)</f>
        <v>89632209.318005085</v>
      </c>
    </row>
    <row r="25" spans="1:7" ht="15.75" customHeight="1" x14ac:dyDescent="0.2">
      <c r="A25" s="15" t="s">
        <v>24</v>
      </c>
      <c r="B25" s="36">
        <v>0.15</v>
      </c>
      <c r="C25" s="36">
        <v>0.15</v>
      </c>
      <c r="D25" s="36">
        <v>0.15</v>
      </c>
      <c r="E25" s="36">
        <v>0.15</v>
      </c>
      <c r="F25" s="36">
        <v>0.15</v>
      </c>
      <c r="G25" s="37">
        <v>0.15</v>
      </c>
    </row>
    <row r="26" spans="1:7" ht="15.75" customHeight="1" x14ac:dyDescent="0.2">
      <c r="A26" s="15" t="s">
        <v>25</v>
      </c>
      <c r="B26" s="111">
        <f>((0.98*B2)*(1+B25/75))-(0.98*B2)</f>
        <v>4650763.2429299355</v>
      </c>
      <c r="C26" s="111">
        <f>(C2*(1+C25/75))-C2</f>
        <v>4935503.8496398926</v>
      </c>
      <c r="D26" s="111">
        <f>(D2*(1+D25/75))-D2</f>
        <v>5132924.0036253929</v>
      </c>
      <c r="E26" s="111">
        <f>(E2*(1+E25/75))-E2</f>
        <v>5338240.9637708664</v>
      </c>
      <c r="F26" s="111">
        <f>(F2*(1+F25/75))-F2</f>
        <v>5551770.6023216248</v>
      </c>
      <c r="G26" s="112">
        <f>SUM(B26:F26)</f>
        <v>25609202.662287712</v>
      </c>
    </row>
    <row r="27" spans="1:7" ht="15.75" customHeight="1" x14ac:dyDescent="0.2">
      <c r="A27" s="15" t="s">
        <v>26</v>
      </c>
      <c r="B27" s="111">
        <f>AVERAGE(B26,B24)</f>
        <v>10464217.296592236</v>
      </c>
      <c r="C27" s="111">
        <f>AVERAGE(C26,C24)</f>
        <v>11104883.661689758</v>
      </c>
      <c r="D27" s="111">
        <f>AVERAGE(D26,D24)</f>
        <v>11549079.008157253</v>
      </c>
      <c r="E27" s="111">
        <f>AVERAGE(E26,E24)</f>
        <v>12011042.168483973</v>
      </c>
      <c r="F27" s="111">
        <f>AVERAGE(F26,F24)</f>
        <v>12491483.855223179</v>
      </c>
      <c r="G27" s="112">
        <f>SUM(B27:F27)</f>
        <v>57620705.990146399</v>
      </c>
    </row>
    <row r="28" spans="1:7" ht="15.75" customHeight="1" x14ac:dyDescent="0.2">
      <c r="A28" s="26" t="s">
        <v>27</v>
      </c>
      <c r="B28" s="38">
        <f>(B27-SUM(B18:B22))/1.05</f>
        <v>8540280.2824687958</v>
      </c>
      <c r="C28" s="38">
        <f>(C27-SUM(C18:C22))/1.05^2</f>
        <v>9435711.2577684876</v>
      </c>
      <c r="D28" s="38">
        <f>(D27-SUM(D18:D22))/(1.05^3)</f>
        <v>9381003.3544172347</v>
      </c>
      <c r="E28" s="38">
        <f>(E27-SUM(E18:E22))/(1.05^4)</f>
        <v>9323130.315853145</v>
      </c>
      <c r="F28" s="38">
        <f>(F27-SUM(F18:F22))/1.05^5</f>
        <v>9262688.7377942335</v>
      </c>
      <c r="G28" s="27">
        <f>SUM(B28:F28)</f>
        <v>45942813.948301896</v>
      </c>
    </row>
    <row r="30" spans="1:7" ht="12.75" x14ac:dyDescent="0.2">
      <c r="A30" s="39" t="s">
        <v>28</v>
      </c>
      <c r="B30" s="40">
        <v>1</v>
      </c>
      <c r="C30" s="40">
        <v>2</v>
      </c>
      <c r="D30" s="40">
        <v>3</v>
      </c>
      <c r="E30" s="40">
        <v>4</v>
      </c>
      <c r="F30" s="40">
        <v>5</v>
      </c>
      <c r="G30" s="41" t="s">
        <v>29</v>
      </c>
    </row>
    <row r="31" spans="1:7" ht="12.75" x14ac:dyDescent="0.2">
      <c r="A31" s="42" t="s">
        <v>30</v>
      </c>
      <c r="B31" s="43">
        <f>(3126*200*2)</f>
        <v>1250400</v>
      </c>
      <c r="C31" s="44">
        <v>0</v>
      </c>
      <c r="D31" s="44">
        <v>0</v>
      </c>
      <c r="E31" s="44">
        <v>0</v>
      </c>
      <c r="F31" s="44">
        <v>0</v>
      </c>
      <c r="G31" s="45">
        <f>SUM(B31:F31)</f>
        <v>1250400</v>
      </c>
    </row>
    <row r="32" spans="1:7" ht="12.75" x14ac:dyDescent="0.2">
      <c r="A32" s="42" t="s">
        <v>31</v>
      </c>
      <c r="B32" s="46">
        <f>75000*2</f>
        <v>150000</v>
      </c>
      <c r="C32" s="44">
        <v>0</v>
      </c>
      <c r="D32" s="44">
        <v>0</v>
      </c>
      <c r="E32" s="44">
        <v>0</v>
      </c>
      <c r="F32" s="44">
        <v>0</v>
      </c>
      <c r="G32" s="45">
        <f>SUM(B32:F32)</f>
        <v>150000</v>
      </c>
    </row>
    <row r="33" spans="1:7" ht="12.75" x14ac:dyDescent="0.2">
      <c r="A33" s="42" t="s">
        <v>32</v>
      </c>
      <c r="B33" s="43">
        <f>10*52*21.35*2</f>
        <v>22204</v>
      </c>
      <c r="C33" s="43">
        <f>10*52*21.35*2</f>
        <v>22204</v>
      </c>
      <c r="D33" s="43">
        <f>10*52*21.35*2</f>
        <v>22204</v>
      </c>
      <c r="E33" s="43">
        <f>10*52*21.35*2</f>
        <v>22204</v>
      </c>
      <c r="F33" s="43">
        <f>10*52*21.35*2</f>
        <v>22204</v>
      </c>
      <c r="G33" s="45">
        <f>SUM(B33:F33)</f>
        <v>111020</v>
      </c>
    </row>
    <row r="34" spans="1:7" ht="12.75" x14ac:dyDescent="0.2">
      <c r="A34" s="42" t="s">
        <v>33</v>
      </c>
      <c r="B34" s="46">
        <v>298521.59999999998</v>
      </c>
      <c r="C34" s="46">
        <v>298521.59999999998</v>
      </c>
      <c r="D34" s="46">
        <v>298521.59999999998</v>
      </c>
      <c r="E34" s="46">
        <v>298521.59999999998</v>
      </c>
      <c r="F34" s="46">
        <v>298521.59999999998</v>
      </c>
      <c r="G34" s="45">
        <f>SUM(B34:F34)</f>
        <v>1492608</v>
      </c>
    </row>
    <row r="35" spans="1:7" ht="12.75" x14ac:dyDescent="0.2">
      <c r="A35" s="47" t="s">
        <v>34</v>
      </c>
      <c r="B35" s="48">
        <v>252960</v>
      </c>
      <c r="C35" s="48">
        <v>202368</v>
      </c>
      <c r="D35" s="48">
        <v>161894</v>
      </c>
      <c r="E35" s="48">
        <v>129516</v>
      </c>
      <c r="F35" s="48">
        <v>103612</v>
      </c>
      <c r="G35" s="49">
        <v>35010</v>
      </c>
    </row>
    <row r="36" spans="1:7" ht="12.75" x14ac:dyDescent="0.2">
      <c r="A36" s="47" t="s">
        <v>35</v>
      </c>
      <c r="B36" s="44">
        <v>0.25</v>
      </c>
      <c r="C36" s="44">
        <v>0.25</v>
      </c>
      <c r="D36" s="44">
        <v>0.25</v>
      </c>
      <c r="E36" s="44">
        <v>0.25</v>
      </c>
      <c r="F36" s="44">
        <v>0.25</v>
      </c>
      <c r="G36" s="50">
        <v>0.25</v>
      </c>
    </row>
    <row r="37" spans="1:7" ht="12.75" x14ac:dyDescent="0.2">
      <c r="A37" s="47" t="s">
        <v>36</v>
      </c>
      <c r="B37" s="113">
        <f>((0.98*B2)*(1+(B36/100)))-(0.98*B2)</f>
        <v>5813454.0536623001</v>
      </c>
      <c r="C37" s="113">
        <f>C2*(1+(C36/100))-C2</f>
        <v>6169379.8120498657</v>
      </c>
      <c r="D37" s="113">
        <f>D2*(1+(D36/100))-D2</f>
        <v>6416155.0045318604</v>
      </c>
      <c r="E37" s="113">
        <f>E2*(1+(E36/100))-E2</f>
        <v>6672801.2047133446</v>
      </c>
      <c r="F37" s="113">
        <f>F2*(1+(F36/100))-F2</f>
        <v>6939713.2529015541</v>
      </c>
      <c r="G37" s="114">
        <f>SUM(B37:F37)</f>
        <v>32011503.327858925</v>
      </c>
    </row>
    <row r="38" spans="1:7" ht="12.75" x14ac:dyDescent="0.2">
      <c r="A38" s="47" t="s">
        <v>37</v>
      </c>
      <c r="B38" s="44">
        <v>0.75</v>
      </c>
      <c r="C38" s="44">
        <v>0.75</v>
      </c>
      <c r="D38" s="44">
        <v>0.75</v>
      </c>
      <c r="E38" s="44">
        <v>0.75</v>
      </c>
      <c r="F38" s="44">
        <v>0.75</v>
      </c>
      <c r="G38" s="50">
        <v>0.75</v>
      </c>
    </row>
    <row r="39" spans="1:7" ht="12.75" x14ac:dyDescent="0.2">
      <c r="A39" s="47" t="s">
        <v>38</v>
      </c>
      <c r="B39" s="43">
        <f>((0.98*B2)*(1+(B38/75)))-(0.98*B2)</f>
        <v>23253816.214650154</v>
      </c>
      <c r="C39" s="43">
        <f>C2*(1+(C38/75))-C2</f>
        <v>24677519.24819994</v>
      </c>
      <c r="D39" s="43">
        <f>D2*(1+(D38/75))-D2</f>
        <v>25664620.018127918</v>
      </c>
      <c r="E39" s="43">
        <f>E2*(1+(E38/75))-E2</f>
        <v>26691204.818853378</v>
      </c>
      <c r="F39" s="43">
        <f>F2*(1+(F38/75))-F2</f>
        <v>27758853.01160717</v>
      </c>
      <c r="G39" s="51">
        <f>SUM(B39:F39)</f>
        <v>128046013.31143856</v>
      </c>
    </row>
    <row r="40" spans="1:7" ht="12.75" x14ac:dyDescent="0.2">
      <c r="A40" s="47" t="s">
        <v>39</v>
      </c>
      <c r="B40" s="48">
        <f>AVERAGE(B39,B37)</f>
        <v>14533635.134156227</v>
      </c>
      <c r="C40" s="48">
        <f>AVERAGE(C39,C37)</f>
        <v>15423449.530124903</v>
      </c>
      <c r="D40" s="48">
        <f>AVERAGE(D39,D37)</f>
        <v>16040387.511329889</v>
      </c>
      <c r="E40" s="48">
        <f>AVERAGE(E39,E37)</f>
        <v>16682003.011783361</v>
      </c>
      <c r="F40" s="48">
        <f>AVERAGE(F39,F37)</f>
        <v>17349283.132254362</v>
      </c>
      <c r="G40" s="45">
        <f>SUM(B40:F40)</f>
        <v>80028758.319648743</v>
      </c>
    </row>
    <row r="41" spans="1:7" ht="12.75" x14ac:dyDescent="0.2">
      <c r="A41" s="5" t="s">
        <v>40</v>
      </c>
      <c r="B41" s="52">
        <f>(B40-SUM(B31:B35))/1.05</f>
        <v>11961475.746815454</v>
      </c>
      <c r="C41" s="52">
        <f>(C40-SUM(C31:C35))/1.05^2</f>
        <v>13515062.068140501</v>
      </c>
      <c r="D41" s="52">
        <f>(D40-SUM(D31:D35))/(1.05^3)</f>
        <v>13439384.871033268</v>
      </c>
      <c r="E41" s="52">
        <f>(E40-SUM(E31:E35))/(1.05^4)</f>
        <v>13353910.283705544</v>
      </c>
      <c r="F41" s="52">
        <f>(F40-SUM(F31:F35))/1.05^5</f>
        <v>13261137.69057473</v>
      </c>
      <c r="G41" s="53">
        <f>SUM(B41:F41)</f>
        <v>65530970.660269491</v>
      </c>
    </row>
    <row r="42" spans="1:7" ht="12.75" x14ac:dyDescent="0.2">
      <c r="B42" s="4"/>
      <c r="C42" s="4"/>
      <c r="D42" s="4"/>
      <c r="E42" s="4"/>
      <c r="F42" s="4"/>
      <c r="G42" s="4"/>
    </row>
    <row r="43" spans="1:7" ht="12.75" x14ac:dyDescent="0.2">
      <c r="A43" s="54" t="s">
        <v>41</v>
      </c>
      <c r="B43" s="55">
        <v>1</v>
      </c>
      <c r="C43" s="55">
        <v>2</v>
      </c>
      <c r="D43" s="55">
        <v>3</v>
      </c>
      <c r="E43" s="55">
        <v>4</v>
      </c>
      <c r="F43" s="55">
        <v>5</v>
      </c>
      <c r="G43" s="56" t="s">
        <v>42</v>
      </c>
    </row>
    <row r="44" spans="1:7" ht="12.75" x14ac:dyDescent="0.2">
      <c r="A44" s="42" t="s">
        <v>43</v>
      </c>
      <c r="B44" s="46">
        <v>4000000</v>
      </c>
      <c r="C44" s="44">
        <v>0</v>
      </c>
      <c r="D44" s="44">
        <v>0</v>
      </c>
      <c r="E44" s="44">
        <v>0</v>
      </c>
      <c r="F44" s="44">
        <v>0</v>
      </c>
      <c r="G44" s="45">
        <f>SUM(B44:F44)</f>
        <v>4000000</v>
      </c>
    </row>
    <row r="45" spans="1:7" ht="12.75" x14ac:dyDescent="0.2">
      <c r="A45" s="42" t="s">
        <v>44</v>
      </c>
      <c r="B45" s="46">
        <v>1093120</v>
      </c>
      <c r="C45" s="44">
        <v>0</v>
      </c>
      <c r="D45" s="44">
        <v>0</v>
      </c>
      <c r="E45" s="44">
        <v>0</v>
      </c>
      <c r="F45" s="44">
        <v>0</v>
      </c>
      <c r="G45" s="45">
        <f>SUM(B45:F45)</f>
        <v>1093120</v>
      </c>
    </row>
    <row r="46" spans="1:7" ht="12.75" x14ac:dyDescent="0.2">
      <c r="A46" s="42" t="s">
        <v>45</v>
      </c>
      <c r="B46" s="46">
        <v>199836</v>
      </c>
      <c r="C46" s="46">
        <v>199836</v>
      </c>
      <c r="D46" s="46">
        <v>199836</v>
      </c>
      <c r="E46" s="46">
        <v>199836</v>
      </c>
      <c r="F46" s="46">
        <v>199836</v>
      </c>
      <c r="G46" s="45">
        <f>SUM(B46:F46)</f>
        <v>999180</v>
      </c>
    </row>
    <row r="47" spans="1:7" ht="12.75" x14ac:dyDescent="0.2">
      <c r="A47" s="42" t="s">
        <v>46</v>
      </c>
      <c r="B47" s="4">
        <f>0.5*$B44</f>
        <v>2000000</v>
      </c>
      <c r="C47" s="4">
        <f>0.5*$B44</f>
        <v>2000000</v>
      </c>
      <c r="D47" s="4">
        <f>0.5*$B44</f>
        <v>2000000</v>
      </c>
      <c r="E47" s="4">
        <f>0.5*$B44</f>
        <v>2000000</v>
      </c>
      <c r="F47" s="4">
        <f>0.5*$B44</f>
        <v>2000000</v>
      </c>
      <c r="G47" s="45">
        <f>SUM(B47:F47)</f>
        <v>10000000</v>
      </c>
    </row>
    <row r="48" spans="1:7" ht="12.75" x14ac:dyDescent="0.2">
      <c r="A48" s="47" t="s">
        <v>47</v>
      </c>
      <c r="B48" s="46">
        <v>400000</v>
      </c>
      <c r="C48" s="46">
        <v>360000</v>
      </c>
      <c r="D48" s="46">
        <v>324000</v>
      </c>
      <c r="E48" s="46">
        <v>291000</v>
      </c>
      <c r="F48" s="46">
        <v>262000</v>
      </c>
      <c r="G48" s="45">
        <f>SUM(B48:F48)</f>
        <v>1637000</v>
      </c>
    </row>
    <row r="49" spans="1:7" ht="12.75" x14ac:dyDescent="0.2">
      <c r="A49" s="47" t="s">
        <v>48</v>
      </c>
      <c r="B49" s="57">
        <v>0.4</v>
      </c>
      <c r="C49" s="57">
        <v>0.4</v>
      </c>
      <c r="D49" s="57">
        <v>0.4</v>
      </c>
      <c r="E49" s="57">
        <v>0.4</v>
      </c>
      <c r="F49" s="57">
        <v>0.4</v>
      </c>
      <c r="G49" s="58">
        <v>0.4</v>
      </c>
    </row>
    <row r="50" spans="1:7" ht="12.75" x14ac:dyDescent="0.2">
      <c r="A50" s="47" t="s">
        <v>49</v>
      </c>
      <c r="B50" s="48">
        <f>((0.38*B2)*(1+(B49/100)))-(0.38*B2)</f>
        <v>3606714.3516600132</v>
      </c>
      <c r="C50" s="48">
        <f>C2*(1+(C49/100))-C2</f>
        <v>9871007.6992797852</v>
      </c>
      <c r="D50" s="48">
        <f>D2*(1+(D49/100))-D2</f>
        <v>10265848.007251263</v>
      </c>
      <c r="E50" s="48">
        <f>E2*(1+(E49/100))-E2</f>
        <v>10676481.927541256</v>
      </c>
      <c r="F50" s="48">
        <f>F2*(1+(F49/100))-F2</f>
        <v>11103541.204642773</v>
      </c>
      <c r="G50" s="49">
        <f>SUM(B50:F50)</f>
        <v>45523593.19037509</v>
      </c>
    </row>
    <row r="51" spans="1:7" ht="12.75" x14ac:dyDescent="0.2">
      <c r="A51" s="47" t="s">
        <v>50</v>
      </c>
      <c r="B51" s="57">
        <v>0.8</v>
      </c>
      <c r="C51" s="57">
        <v>0.8</v>
      </c>
      <c r="D51" s="57">
        <v>0.8</v>
      </c>
      <c r="E51" s="57">
        <v>0.8</v>
      </c>
      <c r="F51" s="57">
        <v>0.8</v>
      </c>
      <c r="G51" s="58">
        <v>0.8</v>
      </c>
    </row>
    <row r="52" spans="1:7" ht="12.75" x14ac:dyDescent="0.2">
      <c r="A52" s="47" t="s">
        <v>51</v>
      </c>
      <c r="B52" s="48">
        <f>((0.38*B2)*(1+(B51/75)))-(0.38*B2)</f>
        <v>9617904.9377599955</v>
      </c>
      <c r="C52" s="48">
        <f>C2*(1+(C51/75))-C2</f>
        <v>26322687.198080063</v>
      </c>
      <c r="D52" s="48">
        <f>D2*(1+(D51/75))-D2</f>
        <v>27375594.686003208</v>
      </c>
      <c r="E52" s="48">
        <f>E2*(1+(E51/75))-E2</f>
        <v>28470618.473443031</v>
      </c>
      <c r="F52" s="48">
        <f>F2*(1+(F51/75))-F2</f>
        <v>29609443.212380886</v>
      </c>
      <c r="G52" s="45">
        <f>SUM(B52:F52)</f>
        <v>121396248.50766718</v>
      </c>
    </row>
    <row r="53" spans="1:7" ht="12.75" x14ac:dyDescent="0.2">
      <c r="A53" s="47" t="s">
        <v>52</v>
      </c>
      <c r="B53" s="4">
        <f>AVERAGE(B52,B50)</f>
        <v>6612309.6447100043</v>
      </c>
      <c r="C53" s="4">
        <f>AVERAGE(C52,C50)</f>
        <v>18096847.448679924</v>
      </c>
      <c r="D53" s="4">
        <f>AVERAGE(D52,D50)</f>
        <v>18820721.346627235</v>
      </c>
      <c r="E53" s="4">
        <f>AVERAGE(E52,E50)</f>
        <v>19573550.200492144</v>
      </c>
      <c r="F53" s="4">
        <f>AVERAGE(F52,F50)</f>
        <v>20356492.208511829</v>
      </c>
      <c r="G53" s="45">
        <f>G52</f>
        <v>121396248.50766718</v>
      </c>
    </row>
    <row r="54" spans="1:7" ht="12.75" x14ac:dyDescent="0.2">
      <c r="A54" s="5" t="s">
        <v>53</v>
      </c>
      <c r="B54" s="52">
        <f>(B53-SUM(B44:B48))/1.05</f>
        <v>-1029187.0050380911</v>
      </c>
      <c r="C54" s="52">
        <f>(C53-SUM(C44:C48))/1.05^2</f>
        <v>14092527.391092902</v>
      </c>
      <c r="D54" s="52">
        <f>(D53-SUM(D44:D48))/(1.05^3)</f>
        <v>14077862.301373271</v>
      </c>
      <c r="E54" s="52">
        <f>(E53-SUM(E44:E48))/(1.05^4)</f>
        <v>14053991.248907313</v>
      </c>
      <c r="F54" s="52">
        <f>(F53-SUM(F44:F48))/1.05^5</f>
        <v>14020931.379326282</v>
      </c>
      <c r="G54" s="59">
        <f>SUM(B54:F54)</f>
        <v>55216125.315661676</v>
      </c>
    </row>
    <row r="55" spans="1:7" ht="12.75" x14ac:dyDescent="0.2">
      <c r="A55" s="60"/>
      <c r="B55" s="4"/>
      <c r="C55" s="4"/>
      <c r="D55" s="4"/>
      <c r="E55" s="4"/>
      <c r="F55" s="4"/>
      <c r="G55" s="4"/>
    </row>
    <row r="56" spans="1:7" ht="12.75" x14ac:dyDescent="0.2">
      <c r="A56" s="61" t="s">
        <v>54</v>
      </c>
      <c r="B56" s="62">
        <v>1</v>
      </c>
      <c r="C56" s="62">
        <v>2</v>
      </c>
      <c r="D56" s="62">
        <v>3</v>
      </c>
      <c r="E56" s="62">
        <v>4</v>
      </c>
      <c r="F56" s="62">
        <v>5</v>
      </c>
      <c r="G56" s="63" t="s">
        <v>55</v>
      </c>
    </row>
    <row r="57" spans="1:7" ht="12.75" x14ac:dyDescent="0.2">
      <c r="A57" s="64" t="s">
        <v>56</v>
      </c>
      <c r="B57" s="65">
        <v>1264800</v>
      </c>
      <c r="C57" s="66">
        <v>0</v>
      </c>
      <c r="D57" s="66">
        <v>0</v>
      </c>
      <c r="E57" s="66">
        <v>0</v>
      </c>
      <c r="F57" s="66">
        <v>0</v>
      </c>
      <c r="G57" s="67">
        <v>1264800</v>
      </c>
    </row>
    <row r="58" spans="1:7" ht="12.75" x14ac:dyDescent="0.2">
      <c r="A58" s="68" t="s">
        <v>57</v>
      </c>
      <c r="B58" s="48">
        <v>150000</v>
      </c>
      <c r="C58" s="48">
        <v>0</v>
      </c>
      <c r="D58" s="48">
        <v>0</v>
      </c>
      <c r="E58" s="48">
        <v>0</v>
      </c>
      <c r="F58" s="48">
        <v>0</v>
      </c>
      <c r="G58" s="69">
        <v>150000</v>
      </c>
    </row>
    <row r="59" spans="1:7" ht="12.75" x14ac:dyDescent="0.2">
      <c r="A59" s="68" t="s">
        <v>58</v>
      </c>
      <c r="B59" s="43">
        <v>22204</v>
      </c>
      <c r="C59" s="43">
        <v>22204</v>
      </c>
      <c r="D59" s="43">
        <v>22204</v>
      </c>
      <c r="E59" s="43">
        <v>22204</v>
      </c>
      <c r="F59" s="43">
        <v>22204</v>
      </c>
      <c r="G59" s="69">
        <v>111020</v>
      </c>
    </row>
    <row r="60" spans="1:7" ht="12.75" x14ac:dyDescent="0.2">
      <c r="A60" s="68" t="s">
        <v>59</v>
      </c>
      <c r="B60" s="48">
        <v>298521.59999999998</v>
      </c>
      <c r="C60" s="48">
        <v>298521.59999999998</v>
      </c>
      <c r="D60" s="48">
        <v>298521.59999999998</v>
      </c>
      <c r="E60" s="48">
        <v>298521.59999999998</v>
      </c>
      <c r="F60" s="48">
        <v>298521.59999999998</v>
      </c>
      <c r="G60" s="69">
        <v>1492608</v>
      </c>
    </row>
    <row r="61" spans="1:7" ht="12.75" x14ac:dyDescent="0.2">
      <c r="A61" s="68" t="s">
        <v>60</v>
      </c>
      <c r="B61" s="48">
        <v>252960</v>
      </c>
      <c r="C61" s="48">
        <v>202368</v>
      </c>
      <c r="D61" s="48">
        <v>161894</v>
      </c>
      <c r="E61" s="48">
        <v>129516</v>
      </c>
      <c r="F61" s="48">
        <v>103612</v>
      </c>
      <c r="G61" s="70">
        <v>35010</v>
      </c>
    </row>
    <row r="62" spans="1:7" ht="12.75" x14ac:dyDescent="0.2">
      <c r="A62" s="71" t="s">
        <v>61</v>
      </c>
      <c r="B62" s="57">
        <v>0.25</v>
      </c>
      <c r="C62" s="57">
        <v>0.25</v>
      </c>
      <c r="D62" s="57">
        <v>0.25</v>
      </c>
      <c r="E62" s="57">
        <v>0.25</v>
      </c>
      <c r="F62" s="57">
        <v>0.25</v>
      </c>
      <c r="G62" s="72">
        <v>0.25</v>
      </c>
    </row>
    <row r="63" spans="1:7" ht="12.75" x14ac:dyDescent="0.2">
      <c r="A63" s="71" t="s">
        <v>62</v>
      </c>
      <c r="B63" s="113">
        <v>5813454.0536623001</v>
      </c>
      <c r="C63" s="113">
        <v>6169379.8120498657</v>
      </c>
      <c r="D63" s="113">
        <v>6416155.0045318604</v>
      </c>
      <c r="E63" s="113">
        <v>6672801.2047133446</v>
      </c>
      <c r="F63" s="113">
        <v>6939713.2529015541</v>
      </c>
      <c r="G63" s="115">
        <v>32011503.327858925</v>
      </c>
    </row>
    <row r="64" spans="1:7" ht="12.75" x14ac:dyDescent="0.2">
      <c r="A64" s="71" t="s">
        <v>63</v>
      </c>
      <c r="B64" s="57">
        <v>0.75</v>
      </c>
      <c r="C64" s="57">
        <v>0.75</v>
      </c>
      <c r="D64" s="57">
        <v>0.75</v>
      </c>
      <c r="E64" s="57">
        <v>0.75</v>
      </c>
      <c r="F64" s="57">
        <v>0.75</v>
      </c>
      <c r="G64" s="72">
        <v>0.75</v>
      </c>
    </row>
    <row r="65" spans="1:7" ht="12.75" x14ac:dyDescent="0.2">
      <c r="A65" s="71" t="s">
        <v>64</v>
      </c>
      <c r="B65" s="43">
        <v>23253816.214650154</v>
      </c>
      <c r="C65" s="43">
        <v>24677519.24819994</v>
      </c>
      <c r="D65" s="43">
        <v>25664620.018127918</v>
      </c>
      <c r="E65" s="43">
        <v>26691204.818853378</v>
      </c>
      <c r="F65" s="43">
        <v>27758853.01160717</v>
      </c>
      <c r="G65" s="69">
        <v>128046013.31143856</v>
      </c>
    </row>
    <row r="66" spans="1:7" ht="12.75" x14ac:dyDescent="0.2">
      <c r="A66" s="71" t="s">
        <v>65</v>
      </c>
      <c r="B66" s="48">
        <v>14533635.134156227</v>
      </c>
      <c r="C66" s="48">
        <v>15423449.530124903</v>
      </c>
      <c r="D66" s="48">
        <v>16040387.511329889</v>
      </c>
      <c r="E66" s="48">
        <v>16682003.011783361</v>
      </c>
      <c r="F66" s="48">
        <v>17349283.132254362</v>
      </c>
      <c r="G66" s="69">
        <v>80028758.319648743</v>
      </c>
    </row>
    <row r="67" spans="1:7" ht="12.75" x14ac:dyDescent="0.2">
      <c r="A67" s="73" t="s">
        <v>66</v>
      </c>
      <c r="B67" s="74">
        <v>11947761.461101169</v>
      </c>
      <c r="C67" s="74">
        <v>13515062.068140501</v>
      </c>
      <c r="D67" s="74">
        <v>13439384.871033268</v>
      </c>
      <c r="E67" s="74">
        <v>13353910.283705542</v>
      </c>
      <c r="F67" s="74">
        <v>13261137.690574728</v>
      </c>
      <c r="G67" s="75">
        <v>65517256.374555208</v>
      </c>
    </row>
    <row r="68" spans="1:7" ht="12.75" x14ac:dyDescent="0.2">
      <c r="A68" s="76" t="s">
        <v>67</v>
      </c>
      <c r="B68" s="77">
        <v>5000000</v>
      </c>
      <c r="C68" s="77">
        <v>0</v>
      </c>
      <c r="D68" s="77">
        <v>0</v>
      </c>
      <c r="E68" s="77">
        <v>0</v>
      </c>
      <c r="F68" s="77">
        <v>0</v>
      </c>
      <c r="G68" s="78">
        <f>SUM(B68:F68)</f>
        <v>5000000</v>
      </c>
    </row>
    <row r="69" spans="1:7" ht="12.75" x14ac:dyDescent="0.2">
      <c r="A69" s="34" t="s">
        <v>68</v>
      </c>
      <c r="B69" s="16">
        <f>5*16*10*21.35*2</f>
        <v>34160</v>
      </c>
      <c r="C69" s="16">
        <v>0</v>
      </c>
      <c r="D69" s="16">
        <v>0</v>
      </c>
      <c r="E69" s="16">
        <v>0</v>
      </c>
      <c r="F69" s="16">
        <v>0</v>
      </c>
      <c r="G69" s="17">
        <f>SUM(B69:F69)</f>
        <v>34160</v>
      </c>
    </row>
    <row r="70" spans="1:7" ht="12.75" x14ac:dyDescent="0.2">
      <c r="A70" s="34" t="s">
        <v>69</v>
      </c>
      <c r="B70" s="16">
        <f>52*10*5*21.35*2</f>
        <v>111020.00000000001</v>
      </c>
      <c r="C70" s="16">
        <f>52*10*5*21.35*2</f>
        <v>111020.00000000001</v>
      </c>
      <c r="D70" s="16">
        <f>52*10*5*21.35*2</f>
        <v>111020.00000000001</v>
      </c>
      <c r="E70" s="16">
        <f>52*10*5*21.35*2</f>
        <v>111020.00000000001</v>
      </c>
      <c r="F70" s="16">
        <f>52*10*5*21.35*2</f>
        <v>111020.00000000001</v>
      </c>
      <c r="G70" s="17">
        <f>SUM(B70:F70)</f>
        <v>555100.00000000012</v>
      </c>
    </row>
    <row r="71" spans="1:7" ht="12.75" x14ac:dyDescent="0.2">
      <c r="A71" s="34" t="s">
        <v>70</v>
      </c>
      <c r="B71" s="16">
        <v>800000</v>
      </c>
      <c r="C71" s="16">
        <v>800000</v>
      </c>
      <c r="D71" s="16">
        <v>800000</v>
      </c>
      <c r="E71" s="16">
        <v>800000</v>
      </c>
      <c r="F71" s="16">
        <v>800000</v>
      </c>
      <c r="G71" s="17">
        <f>SUM(B71:F71)</f>
        <v>4000000</v>
      </c>
    </row>
    <row r="72" spans="1:7" ht="12.75" x14ac:dyDescent="0.2">
      <c r="A72" s="34" t="s">
        <v>71</v>
      </c>
      <c r="B72" s="20">
        <v>1000000</v>
      </c>
      <c r="C72" s="20">
        <v>800000</v>
      </c>
      <c r="D72" s="20">
        <v>640000</v>
      </c>
      <c r="E72" s="20">
        <v>512000</v>
      </c>
      <c r="F72" s="20">
        <v>409600</v>
      </c>
      <c r="G72" s="79">
        <f>SUM(B72:F72)</f>
        <v>3361600</v>
      </c>
    </row>
    <row r="73" spans="1:7" ht="12.75" x14ac:dyDescent="0.2">
      <c r="A73" s="15" t="s">
        <v>72</v>
      </c>
      <c r="B73" s="22">
        <v>0.85</v>
      </c>
      <c r="C73" s="22">
        <v>0.85</v>
      </c>
      <c r="D73" s="22">
        <v>0.85</v>
      </c>
      <c r="E73" s="22">
        <v>0.85</v>
      </c>
      <c r="F73" s="22">
        <v>0.85</v>
      </c>
      <c r="G73" s="23">
        <v>0.85</v>
      </c>
    </row>
    <row r="74" spans="1:7" ht="12.75" x14ac:dyDescent="0.2">
      <c r="A74" s="15" t="s">
        <v>73</v>
      </c>
      <c r="B74" s="16">
        <f>((0.98*B2)*(1+(B73/100)))-(0.98*B2)</f>
        <v>19765743.782452583</v>
      </c>
      <c r="C74" s="16">
        <f>(B2*(1+(B73/100)))-B2</f>
        <v>20169126.308624744</v>
      </c>
      <c r="D74" s="16">
        <f>(C2*(1+(C73/100)))-C2</f>
        <v>20975891.36097002</v>
      </c>
      <c r="E74" s="16">
        <f>(D2*(1+(D73/100)))-D2</f>
        <v>21814927.015408516</v>
      </c>
      <c r="F74" s="16">
        <f>(E2*(1+(E73/100)))-E2</f>
        <v>22687524.09602499</v>
      </c>
      <c r="G74" s="17">
        <f>SUM(B74:F74)</f>
        <v>105413212.56348085</v>
      </c>
    </row>
    <row r="75" spans="1:7" ht="12.75" x14ac:dyDescent="0.2">
      <c r="A75" s="15" t="s">
        <v>74</v>
      </c>
      <c r="B75" s="22">
        <v>0.9</v>
      </c>
      <c r="C75" s="22">
        <v>0.9</v>
      </c>
      <c r="D75" s="22">
        <v>0.9</v>
      </c>
      <c r="E75" s="22">
        <v>0.9</v>
      </c>
      <c r="F75" s="22">
        <v>0.9</v>
      </c>
      <c r="G75" s="23">
        <v>0.9</v>
      </c>
    </row>
    <row r="76" spans="1:7" ht="12.75" x14ac:dyDescent="0.2">
      <c r="A76" s="15" t="s">
        <v>75</v>
      </c>
      <c r="B76" s="16">
        <f>((0.98*B2)*(1+(B75/75)))-(0.98*B2)</f>
        <v>27904579.45758009</v>
      </c>
      <c r="C76" s="16">
        <f>(C2*(1+C75/75))-C2</f>
        <v>29613023.097839832</v>
      </c>
      <c r="D76" s="16">
        <f>(D2*(1+D75/75))-D2</f>
        <v>30797544.021753788</v>
      </c>
      <c r="E76" s="16">
        <f>(E2*(1+E75/75))-E2</f>
        <v>32029445.782623768</v>
      </c>
      <c r="F76" s="16">
        <f>(F2*(1+F75/75))-F2</f>
        <v>33310623.613928795</v>
      </c>
      <c r="G76" s="17">
        <f>SUM(B76:F76)</f>
        <v>153655215.97372627</v>
      </c>
    </row>
    <row r="77" spans="1:7" ht="12.75" x14ac:dyDescent="0.2">
      <c r="A77" s="15" t="s">
        <v>76</v>
      </c>
      <c r="B77" s="16">
        <f t="shared" ref="B77:G77" si="0">AVERAGE(B76,B74)</f>
        <v>23835161.620016336</v>
      </c>
      <c r="C77" s="16">
        <f t="shared" si="0"/>
        <v>24891074.703232288</v>
      </c>
      <c r="D77" s="16">
        <f t="shared" si="0"/>
        <v>25886717.691361904</v>
      </c>
      <c r="E77" s="16">
        <f t="shared" si="0"/>
        <v>26922186.399016142</v>
      </c>
      <c r="F77" s="16">
        <f t="shared" si="0"/>
        <v>27999073.854976892</v>
      </c>
      <c r="G77" s="80">
        <f t="shared" si="0"/>
        <v>129534214.26860356</v>
      </c>
    </row>
    <row r="78" spans="1:7" ht="12.75" x14ac:dyDescent="0.2">
      <c r="A78" s="81" t="s">
        <v>77</v>
      </c>
      <c r="B78" s="82">
        <f>(B77-SUM(B68:B72))/1.05</f>
        <v>16085696.78096794</v>
      </c>
      <c r="C78" s="82">
        <f>(C77-SUM(C68:C72))/1.05^2</f>
        <v>21024992.928101849</v>
      </c>
      <c r="D78" s="82">
        <f>(D77-SUM(D68:D72))/(1.05^3)</f>
        <v>21022090.652294051</v>
      </c>
      <c r="E78" s="82">
        <f>(E77-SUM(E68:E72))/(1.05^4)</f>
        <v>20978227.301600583</v>
      </c>
      <c r="F78" s="82">
        <f>(F77-SUM(F68:F72))/1.05^5</f>
        <v>20903266.676295724</v>
      </c>
      <c r="G78" s="83">
        <f t="shared" ref="G78:G83" si="1">SUM(B78:F78)</f>
        <v>100014274.33926016</v>
      </c>
    </row>
    <row r="79" spans="1:7" ht="12.75" x14ac:dyDescent="0.2">
      <c r="A79" s="84" t="s">
        <v>78</v>
      </c>
      <c r="B79" s="85">
        <v>1236000</v>
      </c>
      <c r="C79" s="85">
        <v>0</v>
      </c>
      <c r="D79" s="85">
        <v>0</v>
      </c>
      <c r="E79" s="85">
        <v>0</v>
      </c>
      <c r="F79" s="85">
        <v>0</v>
      </c>
      <c r="G79" s="86">
        <f t="shared" si="1"/>
        <v>1236000</v>
      </c>
    </row>
    <row r="80" spans="1:7" ht="12.75" x14ac:dyDescent="0.2">
      <c r="A80" s="34" t="s">
        <v>79</v>
      </c>
      <c r="B80" s="16">
        <f>B69</f>
        <v>34160</v>
      </c>
      <c r="C80" s="16">
        <v>0</v>
      </c>
      <c r="D80" s="16">
        <v>0</v>
      </c>
      <c r="E80" s="16">
        <v>0</v>
      </c>
      <c r="F80" s="16">
        <v>0</v>
      </c>
      <c r="G80" s="17">
        <f t="shared" si="1"/>
        <v>34160</v>
      </c>
    </row>
    <row r="81" spans="1:7" ht="12.75" x14ac:dyDescent="0.2">
      <c r="A81" s="34" t="s">
        <v>80</v>
      </c>
      <c r="B81" s="16">
        <f>B70</f>
        <v>111020.00000000001</v>
      </c>
      <c r="C81" s="16">
        <f>C70</f>
        <v>111020.00000000001</v>
      </c>
      <c r="D81" s="16">
        <f>D70</f>
        <v>111020.00000000001</v>
      </c>
      <c r="E81" s="16">
        <f>E70</f>
        <v>111020.00000000001</v>
      </c>
      <c r="F81" s="16">
        <f>F70</f>
        <v>111020.00000000001</v>
      </c>
      <c r="G81" s="17">
        <f t="shared" si="1"/>
        <v>555100.00000000012</v>
      </c>
    </row>
    <row r="82" spans="1:7" ht="12.75" x14ac:dyDescent="0.2">
      <c r="A82" s="34" t="s">
        <v>81</v>
      </c>
      <c r="B82" s="16">
        <v>800000</v>
      </c>
      <c r="C82" s="16">
        <v>800000</v>
      </c>
      <c r="D82" s="16">
        <v>800000</v>
      </c>
      <c r="E82" s="16">
        <v>800000</v>
      </c>
      <c r="F82" s="16">
        <v>800000</v>
      </c>
      <c r="G82" s="17">
        <f t="shared" si="1"/>
        <v>4000000</v>
      </c>
    </row>
    <row r="83" spans="1:7" ht="12.75" x14ac:dyDescent="0.2">
      <c r="A83" s="34" t="s">
        <v>82</v>
      </c>
      <c r="B83" s="20">
        <v>247200</v>
      </c>
      <c r="C83" s="20">
        <v>197760</v>
      </c>
      <c r="D83" s="20">
        <v>158208</v>
      </c>
      <c r="E83" s="20">
        <v>126566</v>
      </c>
      <c r="F83" s="20">
        <v>101253</v>
      </c>
      <c r="G83" s="87">
        <f t="shared" si="1"/>
        <v>830987</v>
      </c>
    </row>
    <row r="84" spans="1:7" ht="12.75" x14ac:dyDescent="0.2">
      <c r="A84" s="15" t="s">
        <v>83</v>
      </c>
      <c r="B84" s="22">
        <v>0</v>
      </c>
      <c r="C84" s="22">
        <v>0</v>
      </c>
      <c r="D84" s="22">
        <v>0</v>
      </c>
      <c r="E84" s="22">
        <v>0</v>
      </c>
      <c r="F84" s="22">
        <v>0</v>
      </c>
      <c r="G84" s="23">
        <v>0</v>
      </c>
    </row>
    <row r="85" spans="1:7" ht="12.75" x14ac:dyDescent="0.2">
      <c r="A85" s="15" t="s">
        <v>84</v>
      </c>
      <c r="B85" s="16">
        <f>((0.98*B2)*(1+(B84/100)))-(0.98*B2)</f>
        <v>0</v>
      </c>
      <c r="C85" s="16">
        <f>(B2*(1+(C84/100)))-B2</f>
        <v>0</v>
      </c>
      <c r="D85" s="16">
        <f>(C2*(1+(D84/100)))-C2</f>
        <v>0</v>
      </c>
      <c r="E85" s="16">
        <f>(D2*(1+(E84/100)))-D2</f>
        <v>0</v>
      </c>
      <c r="F85" s="16">
        <f>(E2*(1+(F84/100)))-E2</f>
        <v>0</v>
      </c>
      <c r="G85" s="17">
        <f>SUM(B85:F85)</f>
        <v>0</v>
      </c>
    </row>
    <row r="86" spans="1:7" ht="12.75" x14ac:dyDescent="0.2">
      <c r="A86" s="15" t="s">
        <v>85</v>
      </c>
      <c r="B86" s="22">
        <v>0.9</v>
      </c>
      <c r="C86" s="22">
        <v>0.9</v>
      </c>
      <c r="D86" s="22">
        <v>0.9</v>
      </c>
      <c r="E86" s="22">
        <v>0.9</v>
      </c>
      <c r="F86" s="22">
        <v>0.9</v>
      </c>
      <c r="G86" s="23">
        <v>0.9</v>
      </c>
    </row>
    <row r="87" spans="1:7" ht="12.75" x14ac:dyDescent="0.2">
      <c r="A87" s="15" t="s">
        <v>86</v>
      </c>
      <c r="B87" s="16">
        <f>((0.98*B2)*(1+(B86/75)))-(0.98*B2)</f>
        <v>27904579.45758009</v>
      </c>
      <c r="C87" s="16">
        <f>(C2*(1+C86/75))-C2</f>
        <v>29613023.097839832</v>
      </c>
      <c r="D87" s="16">
        <f>(D2*(1+D86/75))-D2</f>
        <v>30797544.021753788</v>
      </c>
      <c r="E87" s="16">
        <f>(E2*(1+E86/75))-E2</f>
        <v>32029445.782623768</v>
      </c>
      <c r="F87" s="16">
        <f>(F2*(1+F86/75))-F2</f>
        <v>33310623.613928795</v>
      </c>
      <c r="G87" s="17">
        <f>SUM(B87:F87)</f>
        <v>153655215.97372627</v>
      </c>
    </row>
    <row r="88" spans="1:7" ht="12.75" x14ac:dyDescent="0.2">
      <c r="A88" s="88" t="s">
        <v>87</v>
      </c>
      <c r="B88" s="48">
        <f t="shared" ref="B88:G88" si="2">AVERAGE(B85,B87)</f>
        <v>13952289.728790045</v>
      </c>
      <c r="C88" s="48">
        <f t="shared" si="2"/>
        <v>14806511.548919916</v>
      </c>
      <c r="D88" s="48">
        <f t="shared" si="2"/>
        <v>15398772.010876894</v>
      </c>
      <c r="E88" s="48">
        <f t="shared" si="2"/>
        <v>16014722.891311884</v>
      </c>
      <c r="F88" s="48">
        <f t="shared" si="2"/>
        <v>16655311.806964397</v>
      </c>
      <c r="G88" s="70">
        <f t="shared" si="2"/>
        <v>76827607.986863136</v>
      </c>
    </row>
    <row r="89" spans="1:7" ht="12.75" x14ac:dyDescent="0.2">
      <c r="A89" s="81" t="s">
        <v>88</v>
      </c>
      <c r="B89" s="82">
        <f>(B88-SUM(B79:B83))/1.05</f>
        <v>10975152.122657185</v>
      </c>
      <c r="C89" s="82">
        <f>(C88-SUM(C79:C83))/1.05^2</f>
        <v>12424246.302875208</v>
      </c>
      <c r="D89" s="82">
        <f>(D88-SUM(D79:D83))/(1.05^3)</f>
        <v>12378398.88640699</v>
      </c>
      <c r="E89" s="82">
        <f>(E88-SUM(E79:E83))/(1.05^4)</f>
        <v>12321727.58577908</v>
      </c>
      <c r="F89" s="82">
        <f>(F88-SUM(F79:F83))/1.05^5</f>
        <v>12256730.22833815</v>
      </c>
      <c r="G89" s="89">
        <f t="shared" ref="G89:G94" si="3">SUM(B89:F89)</f>
        <v>60356255.126056612</v>
      </c>
    </row>
    <row r="90" spans="1:7" ht="12.75" x14ac:dyDescent="0.2">
      <c r="A90" s="84" t="s">
        <v>89</v>
      </c>
      <c r="B90" s="85">
        <v>1500000</v>
      </c>
      <c r="C90" s="85">
        <v>0</v>
      </c>
      <c r="D90" s="85">
        <v>0</v>
      </c>
      <c r="E90" s="85">
        <v>0</v>
      </c>
      <c r="F90" s="85">
        <v>0</v>
      </c>
      <c r="G90" s="86">
        <f t="shared" si="3"/>
        <v>1500000</v>
      </c>
    </row>
    <row r="91" spans="1:7" ht="12.75" x14ac:dyDescent="0.2">
      <c r="A91" s="34" t="s">
        <v>90</v>
      </c>
      <c r="B91" s="16">
        <f>B80</f>
        <v>34160</v>
      </c>
      <c r="C91" s="16">
        <v>0</v>
      </c>
      <c r="D91" s="16">
        <v>0</v>
      </c>
      <c r="E91" s="16">
        <v>0</v>
      </c>
      <c r="F91" s="16">
        <v>0</v>
      </c>
      <c r="G91" s="17">
        <f t="shared" si="3"/>
        <v>34160</v>
      </c>
    </row>
    <row r="92" spans="1:7" ht="12.75" x14ac:dyDescent="0.2">
      <c r="A92" s="34" t="s">
        <v>91</v>
      </c>
      <c r="B92" s="16">
        <f>B81</f>
        <v>111020.00000000001</v>
      </c>
      <c r="C92" s="16">
        <f>C81</f>
        <v>111020.00000000001</v>
      </c>
      <c r="D92" s="16">
        <f>D81</f>
        <v>111020.00000000001</v>
      </c>
      <c r="E92" s="16">
        <f>E81</f>
        <v>111020.00000000001</v>
      </c>
      <c r="F92" s="16">
        <f>F81</f>
        <v>111020.00000000001</v>
      </c>
      <c r="G92" s="17">
        <f t="shared" si="3"/>
        <v>555100.00000000012</v>
      </c>
    </row>
    <row r="93" spans="1:7" ht="12.75" x14ac:dyDescent="0.2">
      <c r="A93" s="34" t="s">
        <v>92</v>
      </c>
      <c r="B93" s="16">
        <v>800000</v>
      </c>
      <c r="C93" s="16">
        <v>800000</v>
      </c>
      <c r="D93" s="16">
        <v>800000</v>
      </c>
      <c r="E93" s="16">
        <v>800000</v>
      </c>
      <c r="F93" s="16">
        <v>800000</v>
      </c>
      <c r="G93" s="17">
        <f t="shared" si="3"/>
        <v>4000000</v>
      </c>
    </row>
    <row r="94" spans="1:7" ht="12.75" x14ac:dyDescent="0.2">
      <c r="A94" s="34" t="s">
        <v>93</v>
      </c>
      <c r="B94" s="20">
        <v>300000</v>
      </c>
      <c r="C94" s="20">
        <v>240000</v>
      </c>
      <c r="D94" s="20">
        <v>192000</v>
      </c>
      <c r="E94" s="20">
        <v>153600</v>
      </c>
      <c r="F94" s="20">
        <v>122880</v>
      </c>
      <c r="G94" s="17">
        <f t="shared" si="3"/>
        <v>1008480</v>
      </c>
    </row>
    <row r="95" spans="1:7" ht="12.75" x14ac:dyDescent="0.2">
      <c r="A95" s="15" t="s">
        <v>94</v>
      </c>
      <c r="B95" s="22">
        <v>0</v>
      </c>
      <c r="C95" s="22">
        <v>0</v>
      </c>
      <c r="D95" s="22">
        <v>0</v>
      </c>
      <c r="E95" s="22">
        <v>0</v>
      </c>
      <c r="F95" s="22">
        <v>0</v>
      </c>
      <c r="G95" s="23">
        <v>0</v>
      </c>
    </row>
    <row r="96" spans="1:7" ht="12.75" x14ac:dyDescent="0.2">
      <c r="A96" s="15" t="s">
        <v>95</v>
      </c>
      <c r="B96" s="16">
        <f>((0.98*B2)*(1+(B95/100)))-(0.98*B2)</f>
        <v>0</v>
      </c>
      <c r="C96" s="16">
        <f>(B2*(1+(C95/100)))-B2</f>
        <v>0</v>
      </c>
      <c r="D96" s="16">
        <f>(C2*(1+(D95/100)))-C2</f>
        <v>0</v>
      </c>
      <c r="E96" s="16">
        <f>(D2*(1+(E95/100)))-D2</f>
        <v>0</v>
      </c>
      <c r="F96" s="16">
        <f>(E2*(1+(F95/100)))-E2</f>
        <v>0</v>
      </c>
      <c r="G96" s="17">
        <f>SUM(B96:F96)</f>
        <v>0</v>
      </c>
    </row>
    <row r="97" spans="1:7" ht="12.75" x14ac:dyDescent="0.2">
      <c r="A97" s="15" t="s">
        <v>96</v>
      </c>
      <c r="B97" s="22">
        <v>0.9</v>
      </c>
      <c r="C97" s="22">
        <v>0.9</v>
      </c>
      <c r="D97" s="22">
        <v>0.9</v>
      </c>
      <c r="E97" s="22">
        <v>0.9</v>
      </c>
      <c r="F97" s="22">
        <v>0.9</v>
      </c>
      <c r="G97" s="23">
        <v>0.9</v>
      </c>
    </row>
    <row r="98" spans="1:7" ht="12.75" x14ac:dyDescent="0.2">
      <c r="A98" s="15" t="s">
        <v>97</v>
      </c>
      <c r="B98" s="16">
        <f>((0.98*B2)*(1+(B97/75)))-(0.98*B2)</f>
        <v>27904579.45758009</v>
      </c>
      <c r="C98" s="16">
        <f>(C2*(1+C97/75))-C2</f>
        <v>29613023.097839832</v>
      </c>
      <c r="D98" s="16">
        <f>(D2*(1+D97/75))-D2</f>
        <v>30797544.021753788</v>
      </c>
      <c r="E98" s="16">
        <f>(E2*(1+E97/75))-E2</f>
        <v>32029445.782623768</v>
      </c>
      <c r="F98" s="16">
        <f>(F2*(1+F97/75))-F2</f>
        <v>33310623.613928795</v>
      </c>
      <c r="G98" s="17">
        <f>SUM(B98:F98)</f>
        <v>153655215.97372627</v>
      </c>
    </row>
    <row r="99" spans="1:7" ht="12.75" x14ac:dyDescent="0.2">
      <c r="A99" s="15" t="s">
        <v>98</v>
      </c>
      <c r="B99" s="16">
        <f t="shared" ref="B99:G99" si="4">AVERAGE(B98,B96)</f>
        <v>13952289.728790045</v>
      </c>
      <c r="C99" s="16">
        <f t="shared" si="4"/>
        <v>14806511.548919916</v>
      </c>
      <c r="D99" s="16">
        <f t="shared" si="4"/>
        <v>15398772.010876894</v>
      </c>
      <c r="E99" s="16">
        <f t="shared" si="4"/>
        <v>16014722.891311884</v>
      </c>
      <c r="F99" s="16">
        <f t="shared" si="4"/>
        <v>16655311.806964397</v>
      </c>
      <c r="G99" s="80">
        <f t="shared" si="4"/>
        <v>76827607.986863136</v>
      </c>
    </row>
    <row r="100" spans="1:7" ht="12.75" x14ac:dyDescent="0.2">
      <c r="A100" s="81" t="s">
        <v>99</v>
      </c>
      <c r="B100" s="82">
        <f>(B99-SUM(B90:B94))/1.05</f>
        <v>10673437.8369429</v>
      </c>
      <c r="C100" s="82">
        <f>(C99-SUM(C90:C94))/1.05^2</f>
        <v>12385933.377705138</v>
      </c>
      <c r="D100" s="82">
        <f>(D99-SUM(D90:D94))/(1.05^3)</f>
        <v>12349208.086277414</v>
      </c>
      <c r="E100" s="82">
        <f>(E99-SUM(E90:E94))/(1.05^4)</f>
        <v>12299486.647075556</v>
      </c>
      <c r="F100" s="82">
        <f>(F99-SUM(F90:F94))/1.05^5</f>
        <v>12239784.907935936</v>
      </c>
      <c r="G100" s="83">
        <f t="shared" ref="G100:G105" si="5">SUM(B100:F100)</f>
        <v>59947850.855936944</v>
      </c>
    </row>
    <row r="101" spans="1:7" ht="12.75" x14ac:dyDescent="0.2">
      <c r="A101" s="90" t="s">
        <v>100</v>
      </c>
      <c r="B101" s="91">
        <v>1680000</v>
      </c>
      <c r="C101" s="91">
        <v>0</v>
      </c>
      <c r="D101" s="91">
        <v>0</v>
      </c>
      <c r="E101" s="91">
        <v>0</v>
      </c>
      <c r="F101" s="91">
        <v>0</v>
      </c>
      <c r="G101" s="92">
        <f t="shared" si="5"/>
        <v>1680000</v>
      </c>
    </row>
    <row r="102" spans="1:7" ht="12.75" x14ac:dyDescent="0.2">
      <c r="A102" s="93" t="s">
        <v>101</v>
      </c>
      <c r="B102" s="48">
        <f>0.5*B101</f>
        <v>840000</v>
      </c>
      <c r="C102" s="48">
        <v>0</v>
      </c>
      <c r="D102" s="48">
        <v>0</v>
      </c>
      <c r="E102" s="48">
        <v>0</v>
      </c>
      <c r="F102" s="48">
        <v>0</v>
      </c>
      <c r="G102" s="51">
        <f t="shared" si="5"/>
        <v>840000</v>
      </c>
    </row>
    <row r="103" spans="1:7" ht="12.75" x14ac:dyDescent="0.2">
      <c r="A103" s="93" t="s">
        <v>102</v>
      </c>
      <c r="B103" s="48">
        <f>3*20*21.35*52</f>
        <v>66612</v>
      </c>
      <c r="C103" s="48">
        <f>3*20*21.35*52</f>
        <v>66612</v>
      </c>
      <c r="D103" s="48">
        <f>3*20*21.35*52</f>
        <v>66612</v>
      </c>
      <c r="E103" s="48">
        <f>3*20*21.35*52</f>
        <v>66612</v>
      </c>
      <c r="F103" s="48">
        <f>3*20*21.35*52</f>
        <v>66612</v>
      </c>
      <c r="G103" s="51">
        <f t="shared" si="5"/>
        <v>333060</v>
      </c>
    </row>
    <row r="104" spans="1:7" ht="12.75" x14ac:dyDescent="0.2">
      <c r="A104" s="93" t="s">
        <v>103</v>
      </c>
      <c r="B104" s="43">
        <f>0.5*$B101</f>
        <v>840000</v>
      </c>
      <c r="C104" s="43">
        <f>0.5*$B101</f>
        <v>840000</v>
      </c>
      <c r="D104" s="43">
        <f>0.5*$B101</f>
        <v>840000</v>
      </c>
      <c r="E104" s="43">
        <f>0.5*$B101</f>
        <v>840000</v>
      </c>
      <c r="F104" s="43">
        <f>0.5*$B101</f>
        <v>840000</v>
      </c>
      <c r="G104" s="51">
        <f t="shared" si="5"/>
        <v>4200000</v>
      </c>
    </row>
    <row r="105" spans="1:7" ht="12.75" x14ac:dyDescent="0.2">
      <c r="A105" s="93" t="s">
        <v>104</v>
      </c>
      <c r="B105" s="48">
        <v>268800</v>
      </c>
      <c r="C105" s="48">
        <v>247296</v>
      </c>
      <c r="D105" s="48">
        <v>227512</v>
      </c>
      <c r="E105" s="48">
        <v>209311</v>
      </c>
      <c r="F105" s="48">
        <v>192566</v>
      </c>
      <c r="G105" s="51">
        <f t="shared" si="5"/>
        <v>1145485</v>
      </c>
    </row>
    <row r="106" spans="1:7" ht="12.75" x14ac:dyDescent="0.2">
      <c r="A106" s="47" t="s">
        <v>105</v>
      </c>
      <c r="B106" s="57">
        <v>0.5</v>
      </c>
      <c r="C106" s="57">
        <v>0.5</v>
      </c>
      <c r="D106" s="57">
        <v>0.5</v>
      </c>
      <c r="E106" s="57">
        <v>0.5</v>
      </c>
      <c r="F106" s="57">
        <v>0.5</v>
      </c>
      <c r="G106" s="58">
        <v>0.5</v>
      </c>
    </row>
    <row r="107" spans="1:7" ht="12.75" x14ac:dyDescent="0.2">
      <c r="A107" s="47" t="s">
        <v>106</v>
      </c>
      <c r="B107" s="48">
        <f>((0.38*(B2/2))*(1+(B106/100)))-(0.38*(B2/2))</f>
        <v>2254196.4697874784</v>
      </c>
      <c r="C107" s="48">
        <f>(C2/2)*(1+(C106/100))-(C2/2)</f>
        <v>6169379.8120498657</v>
      </c>
      <c r="D107" s="48">
        <f>(D2/2)*(1+(D106/100))-(D2/2)</f>
        <v>6416155.0045318604</v>
      </c>
      <c r="E107" s="48">
        <f>(E2/2)*(1+(E106/100))-(E2/2)</f>
        <v>6672801.2047131062</v>
      </c>
      <c r="F107" s="48">
        <f>(F2/2)*(1+(F106/100))-(F2/2)</f>
        <v>6939713.2529015541</v>
      </c>
      <c r="G107" s="49">
        <f>SUM(B107:F107)</f>
        <v>28452245.743983865</v>
      </c>
    </row>
    <row r="108" spans="1:7" ht="12.75" x14ac:dyDescent="0.2">
      <c r="A108" s="47" t="s">
        <v>107</v>
      </c>
      <c r="B108" s="57">
        <v>0.8</v>
      </c>
      <c r="C108" s="57">
        <v>0.8</v>
      </c>
      <c r="D108" s="57">
        <v>0.8</v>
      </c>
      <c r="E108" s="57">
        <v>0.8</v>
      </c>
      <c r="F108" s="57">
        <v>0.8</v>
      </c>
      <c r="G108" s="58">
        <v>0.8</v>
      </c>
    </row>
    <row r="109" spans="1:7" ht="12.75" x14ac:dyDescent="0.2">
      <c r="A109" s="47" t="s">
        <v>108</v>
      </c>
      <c r="B109" s="48">
        <f>((0.38*(B2/2))*(1+(B108/75)))-(0.38*(B2/2))</f>
        <v>4808952.4688799977</v>
      </c>
      <c r="C109" s="48">
        <f>(C2/2)*(1+(C108/75))-(C2/2)</f>
        <v>13161343.599040031</v>
      </c>
      <c r="D109" s="48">
        <f>(D2/2)*(1+(D108/75))-(D2/2)</f>
        <v>13687797.343001604</v>
      </c>
      <c r="E109" s="48">
        <f>(E2/2)*(1+(E108/75))-(E2/2)</f>
        <v>14235309.236721516</v>
      </c>
      <c r="F109" s="48">
        <f>(F2/2)*(1+(F108/75))-(F2/2)</f>
        <v>14804721.606190443</v>
      </c>
      <c r="G109" s="51">
        <f>SUM(B109:F109)</f>
        <v>60698124.253833592</v>
      </c>
    </row>
    <row r="110" spans="1:7" ht="12.75" x14ac:dyDescent="0.2">
      <c r="A110" s="47" t="s">
        <v>109</v>
      </c>
      <c r="B110" s="48">
        <f t="shared" ref="B110:G110" si="6">AVERAGE(B109,B107)</f>
        <v>3531574.4693337381</v>
      </c>
      <c r="C110" s="48">
        <f t="shared" si="6"/>
        <v>9665361.7055449486</v>
      </c>
      <c r="D110" s="48">
        <f t="shared" si="6"/>
        <v>10051976.173766732</v>
      </c>
      <c r="E110" s="48">
        <f t="shared" si="6"/>
        <v>10454055.220717311</v>
      </c>
      <c r="F110" s="48">
        <f t="shared" si="6"/>
        <v>10872217.429545999</v>
      </c>
      <c r="G110" s="49">
        <f t="shared" si="6"/>
        <v>44575184.998908728</v>
      </c>
    </row>
    <row r="111" spans="1:7" ht="12.75" x14ac:dyDescent="0.2">
      <c r="A111" s="5" t="s">
        <v>110</v>
      </c>
      <c r="B111" s="52">
        <f>(B110-SUM(B101:B105))/1.05</f>
        <v>-156035.743491678</v>
      </c>
      <c r="C111" s="52">
        <f>(C110-SUM(C101:C105))/1.05^2</f>
        <v>7720139.4154602708</v>
      </c>
      <c r="D111" s="52">
        <f>(D110-SUM(D101:D105))/(1.05^3)</f>
        <v>7703576.0058453567</v>
      </c>
      <c r="E111" s="52">
        <f>(E110-SUM(E101:E105))/(1.05^4)</f>
        <v>7682504.4879179448</v>
      </c>
      <c r="F111" s="52">
        <f>(F110-SUM(F101:F105))/1.05^5</f>
        <v>7657432.118977271</v>
      </c>
      <c r="G111" s="53">
        <f>SUM(B111:F111)</f>
        <v>30607616.284709167</v>
      </c>
    </row>
    <row r="112" spans="1:7" ht="12.75" x14ac:dyDescent="0.2">
      <c r="A112" s="94" t="s">
        <v>111</v>
      </c>
      <c r="B112" s="95"/>
      <c r="C112" s="95"/>
      <c r="D112" s="95"/>
      <c r="E112" s="95"/>
      <c r="F112" s="95"/>
      <c r="G112" s="53">
        <f>SUM(G57:G61,G68:G72,G79:G83,G90:G94,G101:G105)</f>
        <v>37956830</v>
      </c>
    </row>
    <row r="113" spans="1:7" ht="12.75" x14ac:dyDescent="0.2">
      <c r="A113" s="47" t="s">
        <v>112</v>
      </c>
      <c r="B113" s="4"/>
      <c r="C113" s="4"/>
      <c r="D113" s="4"/>
      <c r="E113" s="4"/>
      <c r="F113" s="4"/>
      <c r="G113" s="53">
        <f>SUM(G66,G76,G88,G99,G110)</f>
        <v>431914375.26601005</v>
      </c>
    </row>
    <row r="114" spans="1:7" ht="12.75" x14ac:dyDescent="0.2">
      <c r="A114" s="5" t="s">
        <v>113</v>
      </c>
      <c r="B114" s="52"/>
      <c r="C114" s="52"/>
      <c r="D114" s="52"/>
      <c r="E114" s="52"/>
      <c r="F114" s="52"/>
      <c r="G114" s="53">
        <f>SUM(G67,G78,G89,G100,G111)</f>
        <v>316443252.98051804</v>
      </c>
    </row>
    <row r="115" spans="1:7" ht="12.75" x14ac:dyDescent="0.2">
      <c r="A115" s="60"/>
      <c r="B115" s="4"/>
      <c r="C115" s="4"/>
      <c r="D115" s="4"/>
      <c r="E115" s="4"/>
      <c r="F115" s="4"/>
      <c r="G115" s="4"/>
    </row>
    <row r="116" spans="1:7" ht="12.75" x14ac:dyDescent="0.2">
      <c r="A116" s="96" t="s">
        <v>114</v>
      </c>
      <c r="B116" s="2">
        <v>1</v>
      </c>
      <c r="C116" s="2">
        <v>2</v>
      </c>
      <c r="D116" s="2">
        <v>3</v>
      </c>
      <c r="E116" s="2">
        <v>4</v>
      </c>
      <c r="F116" s="3">
        <v>5</v>
      </c>
      <c r="G116" s="4"/>
    </row>
    <row r="117" spans="1:7" ht="12.75" x14ac:dyDescent="0.2">
      <c r="A117" s="97" t="s">
        <v>115</v>
      </c>
      <c r="B117" s="116">
        <v>2372838389.25</v>
      </c>
      <c r="C117" s="98">
        <f>1.04*B117</f>
        <v>2467751924.8200002</v>
      </c>
      <c r="D117" s="98">
        <f>1.04*C117</f>
        <v>2566462001.8128004</v>
      </c>
      <c r="E117" s="6">
        <f>1.04*D117</f>
        <v>2669120481.8853126</v>
      </c>
      <c r="F117" s="7">
        <f>1.04*E117</f>
        <v>2775885301.1607251</v>
      </c>
      <c r="G117" s="4"/>
    </row>
    <row r="118" spans="1:7" ht="12.75" x14ac:dyDescent="0.2">
      <c r="A118" s="99" t="s">
        <v>116</v>
      </c>
      <c r="B118" s="62" t="s">
        <v>117</v>
      </c>
      <c r="C118" s="62" t="s">
        <v>118</v>
      </c>
      <c r="D118" s="63" t="s">
        <v>119</v>
      </c>
      <c r="E118" s="4"/>
      <c r="F118" s="4"/>
      <c r="G118" s="4"/>
    </row>
    <row r="119" spans="1:7" ht="12.75" x14ac:dyDescent="0.2">
      <c r="A119" s="100" t="s">
        <v>120</v>
      </c>
      <c r="B119" s="4">
        <f>G14</f>
        <v>31774219.488933802</v>
      </c>
      <c r="C119" s="4">
        <f>SUM(G5:G9)</f>
        <v>1124812</v>
      </c>
      <c r="D119" s="101">
        <f>G15</f>
        <v>26378813.384241447</v>
      </c>
      <c r="E119" s="4"/>
      <c r="F119" s="4"/>
      <c r="G119" s="4"/>
    </row>
    <row r="120" spans="1:7" ht="12.75" x14ac:dyDescent="0.2">
      <c r="A120" s="100" t="s">
        <v>121</v>
      </c>
      <c r="B120" s="102">
        <f>G27</f>
        <v>57620705.990146399</v>
      </c>
      <c r="C120" s="102">
        <f>SUM(G18:G22)</f>
        <v>4236734</v>
      </c>
      <c r="D120" s="35">
        <f>G28</f>
        <v>45942813.948301896</v>
      </c>
      <c r="E120" s="4"/>
      <c r="F120" s="4"/>
      <c r="G120" s="4"/>
    </row>
    <row r="121" spans="1:7" ht="12.75" x14ac:dyDescent="0.2">
      <c r="A121" s="100" t="s">
        <v>122</v>
      </c>
      <c r="B121" s="102">
        <f>G40</f>
        <v>80028758.319648743</v>
      </c>
      <c r="C121" s="102">
        <f>SUM(G31:G35)</f>
        <v>3039038</v>
      </c>
      <c r="D121" s="103">
        <f>G41</f>
        <v>65530970.660269491</v>
      </c>
      <c r="E121" s="4"/>
      <c r="F121" s="4"/>
      <c r="G121" s="4"/>
    </row>
    <row r="122" spans="1:7" ht="12.75" x14ac:dyDescent="0.2">
      <c r="A122" s="100" t="s">
        <v>123</v>
      </c>
      <c r="B122" s="102">
        <f>G53</f>
        <v>121396248.50766718</v>
      </c>
      <c r="C122" s="104">
        <f>SUM(G44:G48)</f>
        <v>17729300</v>
      </c>
      <c r="D122" s="35">
        <f>G54</f>
        <v>55216125.315661676</v>
      </c>
      <c r="E122" s="4"/>
      <c r="F122" s="4"/>
      <c r="G122" s="4"/>
    </row>
    <row r="123" spans="1:7" ht="12.75" x14ac:dyDescent="0.2">
      <c r="A123" s="105" t="s">
        <v>124</v>
      </c>
      <c r="B123" s="82">
        <f>G113</f>
        <v>431914375.26601005</v>
      </c>
      <c r="C123" s="82">
        <f>G112</f>
        <v>37956830</v>
      </c>
      <c r="D123" s="106">
        <f>G114</f>
        <v>316443252.98051804</v>
      </c>
      <c r="E123" s="4"/>
      <c r="F123" s="4"/>
      <c r="G123" s="4"/>
    </row>
    <row r="124" spans="1:7" ht="12.75" x14ac:dyDescent="0.2">
      <c r="G124" s="4"/>
    </row>
    <row r="125" spans="1:7" ht="12.75" x14ac:dyDescent="0.2">
      <c r="A125" s="117" t="s">
        <v>125</v>
      </c>
      <c r="B125" s="118"/>
      <c r="C125" s="118"/>
      <c r="D125" s="118"/>
      <c r="G125" s="4"/>
    </row>
  </sheetData>
  <mergeCells count="1">
    <mergeCell ref="A125:D12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Nick Morris (RIT Student)</cp:lastModifiedBy>
  <dcterms:modified xsi:type="dcterms:W3CDTF">2014-05-02T19:54:41Z</dcterms:modified>
</cp:coreProperties>
</file>