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urrent Classes\DAPS\HW 5\"/>
    </mc:Choice>
  </mc:AlternateContent>
  <bookViews>
    <workbookView xWindow="0" yWindow="0" windowWidth="24000" windowHeight="9675" firstSheet="1" activeTab="1"/>
  </bookViews>
  <sheets>
    <sheet name="Information" sheetId="1" r:id="rId1"/>
    <sheet name="Problem 1" sheetId="7" r:id="rId2"/>
    <sheet name="Problem 2" sheetId="6" r:id="rId3"/>
    <sheet name="Problem 3" sheetId="5" r:id="rId4"/>
    <sheet name="Problems 4,6,7" sheetId="4" r:id="rId5"/>
    <sheet name="Problem 5" sheetId="3" r:id="rId6"/>
    <sheet name="Problem 8" sheetId="2" r:id="rId7"/>
    <sheet name="Problem 9" sheetId="8" r:id="rId8"/>
    <sheet name="Problem 10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9" l="1"/>
  <c r="C32" i="8"/>
  <c r="C31" i="8"/>
  <c r="C6" i="9"/>
  <c r="C7" i="9" s="1"/>
  <c r="C4" i="9"/>
  <c r="G13" i="8"/>
  <c r="G12" i="8"/>
  <c r="G10" i="8"/>
  <c r="G9" i="8"/>
  <c r="G4" i="8"/>
  <c r="G5" i="8"/>
  <c r="G6" i="8"/>
  <c r="G7" i="8"/>
  <c r="G8" i="8"/>
  <c r="G3" i="8"/>
  <c r="G14" i="8"/>
  <c r="G11" i="8"/>
  <c r="C34" i="8"/>
  <c r="C33" i="8"/>
  <c r="C27" i="8"/>
  <c r="C28" i="8" s="1"/>
  <c r="C26" i="8"/>
  <c r="C23" i="8"/>
  <c r="C24" i="8"/>
  <c r="C22" i="2"/>
  <c r="C17" i="2"/>
  <c r="C20" i="2"/>
  <c r="C18" i="2"/>
  <c r="G12" i="2"/>
  <c r="G13" i="2"/>
  <c r="G11" i="2"/>
  <c r="G8" i="2"/>
  <c r="G9" i="2"/>
  <c r="G7" i="2"/>
  <c r="C16" i="2"/>
  <c r="G10" i="2"/>
  <c r="C19" i="2"/>
  <c r="G6" i="2"/>
  <c r="C13" i="2"/>
  <c r="G4" i="2" s="1"/>
  <c r="C14" i="2"/>
  <c r="G5" i="2" s="1"/>
  <c r="G3" i="2"/>
  <c r="C12" i="2"/>
  <c r="C11" i="2"/>
  <c r="C10" i="2"/>
  <c r="C9" i="2"/>
  <c r="C23" i="7"/>
  <c r="H9" i="4"/>
  <c r="G9" i="4"/>
  <c r="C16" i="4"/>
  <c r="C12" i="4"/>
  <c r="C14" i="4"/>
  <c r="C15" i="4"/>
  <c r="C7" i="4"/>
  <c r="C11" i="4"/>
  <c r="G6" i="4"/>
  <c r="C8" i="4"/>
  <c r="H3" i="4" s="1"/>
  <c r="D10" i="4"/>
  <c r="C10" i="4"/>
  <c r="C19" i="3"/>
  <c r="C13" i="3"/>
  <c r="C20" i="3"/>
  <c r="C14" i="3"/>
  <c r="G12" i="3"/>
  <c r="G11" i="3"/>
  <c r="G10" i="3"/>
  <c r="G9" i="3"/>
  <c r="C17" i="3"/>
  <c r="C11" i="3"/>
  <c r="C10" i="3"/>
  <c r="C16" i="3"/>
  <c r="G8" i="3"/>
  <c r="G7" i="3"/>
  <c r="C7" i="3"/>
  <c r="G6" i="3"/>
  <c r="G5" i="3"/>
  <c r="G4" i="3"/>
  <c r="G3" i="3"/>
  <c r="C8" i="3"/>
  <c r="C15" i="5"/>
  <c r="G3" i="4"/>
  <c r="H3" i="5"/>
  <c r="G5" i="5"/>
  <c r="G4" i="5"/>
  <c r="G3" i="5"/>
  <c r="C27" i="5"/>
  <c r="H5" i="5" s="1"/>
  <c r="C21" i="5"/>
  <c r="H4" i="5" s="1"/>
  <c r="C26" i="5"/>
  <c r="C20" i="5"/>
  <c r="C25" i="5"/>
  <c r="C19" i="5"/>
  <c r="C14" i="5"/>
  <c r="C13" i="5"/>
  <c r="C8" i="5"/>
  <c r="C9" i="5"/>
  <c r="C10" i="5"/>
  <c r="C7" i="5"/>
  <c r="G7" i="6"/>
  <c r="C22" i="6"/>
  <c r="C21" i="6"/>
  <c r="C20" i="6"/>
  <c r="C16" i="6"/>
  <c r="C19" i="6"/>
  <c r="G5" i="6"/>
  <c r="G6" i="6"/>
  <c r="G4" i="6"/>
  <c r="C18" i="6"/>
  <c r="C17" i="6"/>
  <c r="C14" i="6"/>
  <c r="C12" i="6"/>
  <c r="C10" i="6"/>
  <c r="C13" i="6"/>
  <c r="C11" i="6"/>
  <c r="C9" i="6"/>
  <c r="G8" i="7"/>
  <c r="C46" i="7"/>
  <c r="C45" i="7"/>
  <c r="C44" i="7"/>
  <c r="C35" i="7"/>
  <c r="C34" i="7"/>
  <c r="C36" i="7"/>
  <c r="C26" i="7"/>
  <c r="C25" i="7"/>
  <c r="C24" i="7"/>
  <c r="C27" i="7"/>
  <c r="G6" i="7" s="1"/>
  <c r="C5" i="7"/>
  <c r="C14" i="7"/>
  <c r="G5" i="7" s="1"/>
  <c r="G4" i="7"/>
  <c r="C8" i="7"/>
  <c r="G3" i="7"/>
  <c r="C9" i="9" l="1"/>
  <c r="C8" i="9"/>
  <c r="C25" i="8"/>
  <c r="H6" i="4"/>
  <c r="C47" i="7"/>
  <c r="C37" i="7"/>
  <c r="G7" i="7" s="1"/>
</calcChain>
</file>

<file path=xl/sharedStrings.xml><?xml version="1.0" encoding="utf-8"?>
<sst xmlns="http://schemas.openxmlformats.org/spreadsheetml/2006/main" count="519" uniqueCount="129">
  <si>
    <t>Metric</t>
  </si>
  <si>
    <t>Value</t>
  </si>
  <si>
    <t>Units</t>
  </si>
  <si>
    <t>[machine]</t>
  </si>
  <si>
    <t>Parrallel Stations</t>
  </si>
  <si>
    <t>PT</t>
  </si>
  <si>
    <t>Capacity_A</t>
  </si>
  <si>
    <t>[min/part/machine]</t>
  </si>
  <si>
    <t>[part/hr]</t>
  </si>
  <si>
    <t>Sequential Stations</t>
  </si>
  <si>
    <t>Inf</t>
  </si>
  <si>
    <t>Capacity_B</t>
  </si>
  <si>
    <t>PT_1</t>
  </si>
  <si>
    <t>PT_2</t>
  </si>
  <si>
    <t>PT_3</t>
  </si>
  <si>
    <t>PT_4</t>
  </si>
  <si>
    <t>[min/part]</t>
  </si>
  <si>
    <t>Capacity_C</t>
  </si>
  <si>
    <t>S_1</t>
  </si>
  <si>
    <t>S_2</t>
  </si>
  <si>
    <t>S_3</t>
  </si>
  <si>
    <t>S_4</t>
  </si>
  <si>
    <t>TH_1</t>
  </si>
  <si>
    <t>TH_2</t>
  </si>
  <si>
    <t>TH_3</t>
  </si>
  <si>
    <t>TH_4</t>
  </si>
  <si>
    <t>Capacity_D</t>
  </si>
  <si>
    <t>[people]</t>
  </si>
  <si>
    <t>Capacity_E</t>
  </si>
  <si>
    <t>[min/part/person]</t>
  </si>
  <si>
    <t>Capacity_F</t>
  </si>
  <si>
    <t>UT_1</t>
  </si>
  <si>
    <t>UT_2</t>
  </si>
  <si>
    <t>UT_3</t>
  </si>
  <si>
    <t>NA</t>
  </si>
  <si>
    <t>Util_1</t>
  </si>
  <si>
    <t>Util_2</t>
  </si>
  <si>
    <t>Util_3</t>
  </si>
  <si>
    <t>BottleNeck</t>
  </si>
  <si>
    <t>Station 2</t>
  </si>
  <si>
    <t>r_b</t>
  </si>
  <si>
    <t>T_0</t>
  </si>
  <si>
    <t>W_0</t>
  </si>
  <si>
    <t>[min]</t>
  </si>
  <si>
    <t>[parts]</t>
  </si>
  <si>
    <t>TH_2|UT_2=50%</t>
  </si>
  <si>
    <t>r_b|UT_2=50%</t>
  </si>
  <si>
    <t>T_0|UT_2=50%</t>
  </si>
  <si>
    <t>W_0|UT_2=50%</t>
  </si>
  <si>
    <t>Vol_Bush</t>
  </si>
  <si>
    <t>Vol_Bear</t>
  </si>
  <si>
    <t>PT_3_Bush</t>
  </si>
  <si>
    <t>PT_3_Bear</t>
  </si>
  <si>
    <t>TH_3_Bush</t>
  </si>
  <si>
    <t>TH_3_Bear</t>
  </si>
  <si>
    <t>BottleNeck_A</t>
  </si>
  <si>
    <t>BottleNeck_B</t>
  </si>
  <si>
    <t>BottleNeck_C</t>
  </si>
  <si>
    <t>Station 3</t>
  </si>
  <si>
    <t>Vol_Bind</t>
  </si>
  <si>
    <t>Vol_Punch</t>
  </si>
  <si>
    <t>Station 1</t>
  </si>
  <si>
    <t>[hr/job]</t>
  </si>
  <si>
    <t>[job/hr]</t>
  </si>
  <si>
    <t>[hr]</t>
  </si>
  <si>
    <t>r_b_A</t>
  </si>
  <si>
    <t>T_0_A</t>
  </si>
  <si>
    <t>r_b_B</t>
  </si>
  <si>
    <t>T_0_B</t>
  </si>
  <si>
    <t>r_b_C</t>
  </si>
  <si>
    <t>T_0_C</t>
  </si>
  <si>
    <t>r_b_D</t>
  </si>
  <si>
    <t>T_0_D</t>
  </si>
  <si>
    <t>r_b_E</t>
  </si>
  <si>
    <t>T_0_E</t>
  </si>
  <si>
    <t>TH_2|WC</t>
  </si>
  <si>
    <t>TH_2|PWC</t>
  </si>
  <si>
    <t>[part]</t>
  </si>
  <si>
    <t>WIP</t>
  </si>
  <si>
    <t>CT|WC</t>
  </si>
  <si>
    <t>CT|BC</t>
  </si>
  <si>
    <t>CT|PWC</t>
  </si>
  <si>
    <t>[hr/part]</t>
  </si>
  <si>
    <t>WIP|BC</t>
  </si>
  <si>
    <t>WIP|WC</t>
  </si>
  <si>
    <t>WIP|PWC</t>
  </si>
  <si>
    <t>TH</t>
  </si>
  <si>
    <t>&gt; 135</t>
  </si>
  <si>
    <t>Old_S_1</t>
  </si>
  <si>
    <t>Old_S_2</t>
  </si>
  <si>
    <t>Old_S_3</t>
  </si>
  <si>
    <t>Old_PT_2</t>
  </si>
  <si>
    <t>Old_TH_3</t>
  </si>
  <si>
    <t>Old_PT_1</t>
  </si>
  <si>
    <t>Old_TH_1</t>
  </si>
  <si>
    <t>Old_TH_2</t>
  </si>
  <si>
    <t>Old_PT_3</t>
  </si>
  <si>
    <t>Old_S_4</t>
  </si>
  <si>
    <t>Old_PT_4</t>
  </si>
  <si>
    <t>Old_TH_4</t>
  </si>
  <si>
    <t>NewPT_1</t>
  </si>
  <si>
    <t>NewTH_1</t>
  </si>
  <si>
    <t>NewPT_2</t>
  </si>
  <si>
    <t>NewTH_2</t>
  </si>
  <si>
    <t>NewPT_3</t>
  </si>
  <si>
    <t>NewTH_3</t>
  </si>
  <si>
    <t>NewPT_4</t>
  </si>
  <si>
    <t>NewTH_4</t>
  </si>
  <si>
    <t>Old_r_b</t>
  </si>
  <si>
    <t>Old_T_0</t>
  </si>
  <si>
    <t>Old_W_0</t>
  </si>
  <si>
    <t>New_r_b</t>
  </si>
  <si>
    <t>New_T_0</t>
  </si>
  <si>
    <t>New_W_0</t>
  </si>
  <si>
    <t>Old_CT|PWC</t>
  </si>
  <si>
    <t>Old_TH|PWC</t>
  </si>
  <si>
    <t>New_CT|PWC</t>
  </si>
  <si>
    <t>New_TH|PWC</t>
  </si>
  <si>
    <t>Old_WIP</t>
  </si>
  <si>
    <t>New_WIP</t>
  </si>
  <si>
    <t>Old_TH_Actual</t>
  </si>
  <si>
    <t>New_TH_Actual</t>
  </si>
  <si>
    <t>[day/part]</t>
  </si>
  <si>
    <t>TH_Actual</t>
  </si>
  <si>
    <t>CT_Actual</t>
  </si>
  <si>
    <t>[part/day]</t>
  </si>
  <si>
    <t>WIP_Actual</t>
  </si>
  <si>
    <t>TH|PWC</t>
  </si>
  <si>
    <t>Utilization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</si>
</sst>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%"/>
    <numFmt numFmtId="172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12"/>
      <color theme="1"/>
      <name val="Consolas"/>
      <family val="3"/>
    </font>
    <font>
      <b/>
      <sz val="12"/>
      <color rgb="FF000000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9" fontId="2" fillId="0" borderId="0" xfId="0" applyNumberFormat="1" applyFont="1" applyBorder="1" applyAlignment="1">
      <alignment horizontal="center" vertical="center"/>
    </xf>
    <xf numFmtId="166" fontId="2" fillId="0" borderId="0" xfId="1" applyNumberFormat="1" applyFont="1" applyBorder="1" applyAlignment="1">
      <alignment horizontal="center" vertical="center"/>
    </xf>
    <xf numFmtId="9" fontId="2" fillId="0" borderId="0" xfId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0" xfId="1" applyNumberFormat="1" applyFont="1" applyBorder="1" applyAlignment="1">
      <alignment horizontal="center" vertical="center"/>
    </xf>
    <xf numFmtId="0" fontId="2" fillId="0" borderId="7" xfId="0" applyNumberFormat="1" applyFont="1" applyFill="1" applyBorder="1" applyAlignment="1">
      <alignment horizontal="center" vertical="center"/>
    </xf>
    <xf numFmtId="0" fontId="2" fillId="0" borderId="7" xfId="1" applyNumberFormat="1" applyFont="1" applyBorder="1" applyAlignment="1">
      <alignment horizontal="center" vertical="center"/>
    </xf>
    <xf numFmtId="166" fontId="2" fillId="0" borderId="5" xfId="0" applyNumberFormat="1" applyFont="1" applyFill="1" applyBorder="1" applyAlignment="1">
      <alignment horizontal="center" vertical="center"/>
    </xf>
    <xf numFmtId="9" fontId="2" fillId="0" borderId="8" xfId="0" applyNumberFormat="1" applyFont="1" applyFill="1" applyBorder="1" applyAlignment="1">
      <alignment horizontal="center" vertical="center"/>
    </xf>
    <xf numFmtId="9" fontId="2" fillId="0" borderId="0" xfId="1" applyNumberFormat="1" applyFont="1" applyBorder="1" applyAlignment="1">
      <alignment horizontal="center" vertical="center"/>
    </xf>
    <xf numFmtId="166" fontId="2" fillId="0" borderId="8" xfId="1" applyNumberFormat="1" applyFont="1" applyBorder="1" applyAlignment="1">
      <alignment horizontal="center" vertical="center"/>
    </xf>
    <xf numFmtId="9" fontId="2" fillId="0" borderId="7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9" fontId="2" fillId="0" borderId="8" xfId="1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 vertical="center"/>
    </xf>
    <xf numFmtId="172" fontId="2" fillId="0" borderId="0" xfId="0" applyNumberFormat="1" applyFont="1" applyBorder="1" applyAlignment="1">
      <alignment horizontal="center" vertical="center"/>
    </xf>
    <xf numFmtId="0" fontId="4" fillId="0" borderId="3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152400</xdr:colOff>
      <xdr:row>75</xdr:row>
      <xdr:rowOff>0</xdr:rowOff>
    </xdr:from>
    <xdr:to>
      <xdr:col>39</xdr:col>
      <xdr:colOff>323526</xdr:colOff>
      <xdr:row>82</xdr:row>
      <xdr:rowOff>66492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500" y="14287500"/>
          <a:ext cx="2609526" cy="1399992"/>
        </a:xfrm>
        <a:prstGeom prst="rect">
          <a:avLst/>
        </a:prstGeom>
      </xdr:spPr>
    </xdr:pic>
    <xdr:clientData/>
  </xdr:twoCellAnchor>
  <xdr:twoCellAnchor editAs="oneCell">
    <xdr:from>
      <xdr:col>21</xdr:col>
      <xdr:colOff>447675</xdr:colOff>
      <xdr:row>61</xdr:row>
      <xdr:rowOff>104775</xdr:rowOff>
    </xdr:from>
    <xdr:to>
      <xdr:col>31</xdr:col>
      <xdr:colOff>494532</xdr:colOff>
      <xdr:row>81</xdr:row>
      <xdr:rowOff>132846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06375" y="11725275"/>
          <a:ext cx="6142857" cy="38380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63</xdr:row>
      <xdr:rowOff>100013</xdr:rowOff>
    </xdr:from>
    <xdr:to>
      <xdr:col>10</xdr:col>
      <xdr:colOff>542167</xdr:colOff>
      <xdr:row>81</xdr:row>
      <xdr:rowOff>166230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2101513"/>
          <a:ext cx="6066667" cy="3495217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533401</xdr:colOff>
      <xdr:row>66</xdr:row>
      <xdr:rowOff>66675</xdr:rowOff>
    </xdr:from>
    <xdr:to>
      <xdr:col>20</xdr:col>
      <xdr:colOff>361210</xdr:colOff>
      <xdr:row>79</xdr:row>
      <xdr:rowOff>47302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1" y="12639675"/>
          <a:ext cx="5923809" cy="2457127"/>
        </a:xfrm>
        <a:prstGeom prst="rect">
          <a:avLst/>
        </a:prstGeom>
      </xdr:spPr>
    </xdr:pic>
    <xdr:clientData/>
  </xdr:twoCellAnchor>
  <xdr:twoCellAnchor editAs="oneCell">
    <xdr:from>
      <xdr:col>31</xdr:col>
      <xdr:colOff>162358</xdr:colOff>
      <xdr:row>13</xdr:row>
      <xdr:rowOff>157163</xdr:rowOff>
    </xdr:from>
    <xdr:to>
      <xdr:col>39</xdr:col>
      <xdr:colOff>367808</xdr:colOff>
      <xdr:row>30</xdr:row>
      <xdr:rowOff>156738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88903" y="2858799"/>
          <a:ext cx="5054541" cy="3532484"/>
        </a:xfrm>
        <a:prstGeom prst="rect">
          <a:avLst/>
        </a:prstGeom>
      </xdr:spPr>
    </xdr:pic>
    <xdr:clientData/>
  </xdr:twoCellAnchor>
  <xdr:twoCellAnchor editAs="oneCell">
    <xdr:from>
      <xdr:col>31</xdr:col>
      <xdr:colOff>358920</xdr:colOff>
      <xdr:row>29</xdr:row>
      <xdr:rowOff>176212</xdr:rowOff>
    </xdr:from>
    <xdr:to>
      <xdr:col>38</xdr:col>
      <xdr:colOff>577434</xdr:colOff>
      <xdr:row>47</xdr:row>
      <xdr:rowOff>128143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85465" y="6202939"/>
          <a:ext cx="4461469" cy="3692659"/>
        </a:xfrm>
        <a:prstGeom prst="rect">
          <a:avLst/>
        </a:prstGeom>
      </xdr:spPr>
    </xdr:pic>
    <xdr:clientData/>
  </xdr:twoCellAnchor>
  <xdr:twoCellAnchor editAs="oneCell">
    <xdr:from>
      <xdr:col>31</xdr:col>
      <xdr:colOff>47626</xdr:colOff>
      <xdr:row>1</xdr:row>
      <xdr:rowOff>0</xdr:rowOff>
    </xdr:from>
    <xdr:to>
      <xdr:col>39</xdr:col>
      <xdr:colOff>294634</xdr:colOff>
      <xdr:row>12</xdr:row>
      <xdr:rowOff>171152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02326" y="190500"/>
          <a:ext cx="5123808" cy="2266652"/>
        </a:xfrm>
        <a:prstGeom prst="rect">
          <a:avLst/>
        </a:prstGeom>
      </xdr:spPr>
    </xdr:pic>
    <xdr:clientData/>
  </xdr:twoCellAnchor>
  <xdr:twoCellAnchor editAs="oneCell">
    <xdr:from>
      <xdr:col>22</xdr:col>
      <xdr:colOff>376238</xdr:colOff>
      <xdr:row>17</xdr:row>
      <xdr:rowOff>166687</xdr:rowOff>
    </xdr:from>
    <xdr:to>
      <xdr:col>30</xdr:col>
      <xdr:colOff>356581</xdr:colOff>
      <xdr:row>37</xdr:row>
      <xdr:rowOff>13807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4538" y="3405187"/>
          <a:ext cx="4857143" cy="3657120"/>
        </a:xfrm>
        <a:prstGeom prst="rect">
          <a:avLst/>
        </a:prstGeom>
      </xdr:spPr>
    </xdr:pic>
    <xdr:clientData/>
  </xdr:twoCellAnchor>
  <xdr:twoCellAnchor editAs="oneCell">
    <xdr:from>
      <xdr:col>22</xdr:col>
      <xdr:colOff>290513</xdr:colOff>
      <xdr:row>0</xdr:row>
      <xdr:rowOff>114300</xdr:rowOff>
    </xdr:from>
    <xdr:to>
      <xdr:col>30</xdr:col>
      <xdr:colOff>470855</xdr:colOff>
      <xdr:row>22</xdr:row>
      <xdr:rowOff>132798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58813" y="114300"/>
          <a:ext cx="5057142" cy="4209498"/>
        </a:xfrm>
        <a:prstGeom prst="rect">
          <a:avLst/>
        </a:prstGeom>
      </xdr:spPr>
    </xdr:pic>
    <xdr:clientData/>
  </xdr:twoCellAnchor>
  <xdr:twoCellAnchor editAs="oneCell">
    <xdr:from>
      <xdr:col>13</xdr:col>
      <xdr:colOff>166688</xdr:colOff>
      <xdr:row>33</xdr:row>
      <xdr:rowOff>71437</xdr:rowOff>
    </xdr:from>
    <xdr:to>
      <xdr:col>20</xdr:col>
      <xdr:colOff>356631</xdr:colOff>
      <xdr:row>49</xdr:row>
      <xdr:rowOff>51991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48588" y="6357937"/>
          <a:ext cx="4457143" cy="3028554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</xdr:row>
      <xdr:rowOff>114300</xdr:rowOff>
    </xdr:from>
    <xdr:to>
      <xdr:col>21</xdr:col>
      <xdr:colOff>370709</xdr:colOff>
      <xdr:row>20</xdr:row>
      <xdr:rowOff>113901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876300"/>
          <a:ext cx="6123809" cy="30476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0</xdr:row>
      <xdr:rowOff>38100</xdr:rowOff>
    </xdr:from>
    <xdr:to>
      <xdr:col>11</xdr:col>
      <xdr:colOff>189724</xdr:colOff>
      <xdr:row>21</xdr:row>
      <xdr:rowOff>75670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38100"/>
          <a:ext cx="6209524" cy="403807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38100</xdr:rowOff>
    </xdr:from>
    <xdr:to>
      <xdr:col>11</xdr:col>
      <xdr:colOff>284990</xdr:colOff>
      <xdr:row>39</xdr:row>
      <xdr:rowOff>47174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4038600"/>
          <a:ext cx="6076190" cy="34380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39</xdr:row>
      <xdr:rowOff>76200</xdr:rowOff>
    </xdr:from>
    <xdr:to>
      <xdr:col>11</xdr:col>
      <xdr:colOff>104019</xdr:colOff>
      <xdr:row>59</xdr:row>
      <xdr:rowOff>75701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9100" y="7505700"/>
          <a:ext cx="6047619" cy="3809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"/>
  <sheetViews>
    <sheetView zoomScale="55" zoomScaleNormal="55" workbookViewId="0"/>
  </sheetViews>
  <sheetFormatPr defaultRowHeight="15.75" x14ac:dyDescent="0.25"/>
  <cols>
    <col min="1" max="1" width="3.7109375" style="1" customWidth="1"/>
    <col min="2" max="40" width="9.140625" style="1"/>
    <col min="41" max="50" width="9.140625" style="6"/>
    <col min="51" max="16384" width="9.140625" style="1"/>
  </cols>
  <sheetData>
    <row r="1" spans="1:40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spans="1:40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spans="1:40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 spans="1:40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 spans="1:40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 spans="1:40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 spans="1:40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 spans="1:40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 spans="1:40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 spans="1:40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 spans="1:40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 spans="1:40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 spans="1:40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 spans="1:40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40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6"/>
      <c r="AI62" s="6"/>
      <c r="AJ62" s="6"/>
      <c r="AK62" s="6"/>
      <c r="AL62" s="6"/>
      <c r="AM62" s="6"/>
      <c r="AN62" s="6"/>
    </row>
    <row r="63" spans="1:40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6"/>
      <c r="AI63" s="6"/>
      <c r="AJ63" s="6"/>
      <c r="AK63" s="6"/>
      <c r="AL63" s="6"/>
      <c r="AM63" s="6"/>
      <c r="AN63" s="6"/>
    </row>
    <row r="64" spans="1:40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6"/>
      <c r="AI64" s="6"/>
      <c r="AJ64" s="6"/>
      <c r="AK64" s="6"/>
      <c r="AL64" s="6"/>
      <c r="AM64" s="6"/>
      <c r="AN64" s="6"/>
    </row>
    <row r="65" spans="1:40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6"/>
      <c r="AI65" s="6"/>
      <c r="AJ65" s="6"/>
      <c r="AK65" s="6"/>
      <c r="AL65" s="6"/>
      <c r="AM65" s="6"/>
      <c r="AN65" s="6"/>
    </row>
    <row r="66" spans="1:40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6"/>
      <c r="AI66" s="6"/>
      <c r="AJ66" s="6"/>
      <c r="AK66" s="6"/>
      <c r="AL66" s="6"/>
      <c r="AM66" s="6"/>
      <c r="AN66" s="6"/>
    </row>
    <row r="67" spans="1:40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6"/>
      <c r="AI67" s="6"/>
      <c r="AJ67" s="6"/>
      <c r="AK67" s="6"/>
      <c r="AL67" s="6"/>
      <c r="AM67" s="6"/>
      <c r="AN67" s="6"/>
    </row>
    <row r="68" spans="1:40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6"/>
      <c r="AI68" s="6"/>
      <c r="AJ68" s="6"/>
      <c r="AK68" s="6"/>
      <c r="AL68" s="6"/>
      <c r="AM68" s="6"/>
      <c r="AN68" s="6"/>
    </row>
    <row r="69" spans="1:40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6"/>
      <c r="AI69" s="6"/>
      <c r="AJ69" s="6"/>
      <c r="AK69" s="6"/>
      <c r="AL69" s="6"/>
      <c r="AM69" s="6"/>
      <c r="AN69" s="6"/>
    </row>
    <row r="70" spans="1:40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6"/>
      <c r="AI70" s="6"/>
      <c r="AJ70" s="6"/>
      <c r="AK70" s="6"/>
      <c r="AL70" s="6"/>
      <c r="AM70" s="6"/>
      <c r="AN70" s="6"/>
    </row>
    <row r="71" spans="1:40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6"/>
      <c r="AI71" s="6"/>
      <c r="AJ71" s="6"/>
      <c r="AK71" s="6"/>
      <c r="AL71" s="6"/>
      <c r="AM71" s="6"/>
      <c r="AN71" s="6"/>
    </row>
    <row r="72" spans="1:40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6"/>
      <c r="AI72" s="6"/>
      <c r="AJ72" s="6"/>
      <c r="AK72" s="6"/>
      <c r="AL72" s="6"/>
      <c r="AM72" s="6"/>
      <c r="AN72" s="6"/>
    </row>
    <row r="73" spans="1:40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6"/>
      <c r="AI73" s="6"/>
      <c r="AJ73" s="6"/>
      <c r="AK73" s="6"/>
      <c r="AL73" s="6"/>
      <c r="AM73" s="6"/>
      <c r="AN73" s="6"/>
    </row>
    <row r="74" spans="1:40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6"/>
      <c r="AI74" s="6"/>
      <c r="AJ74" s="6"/>
      <c r="AK74" s="6"/>
      <c r="AL74" s="6"/>
      <c r="AM74" s="6"/>
      <c r="AN74" s="6"/>
    </row>
    <row r="75" spans="1:40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6"/>
      <c r="AI75" s="6"/>
      <c r="AJ75" s="6"/>
      <c r="AK75" s="6"/>
      <c r="AL75" s="6"/>
      <c r="AM75" s="6"/>
      <c r="AN75" s="6"/>
    </row>
    <row r="76" spans="1:40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6"/>
      <c r="AI76" s="6"/>
      <c r="AJ76" s="6"/>
      <c r="AK76" s="6"/>
      <c r="AL76" s="6"/>
      <c r="AM76" s="6"/>
      <c r="AN76" s="6"/>
    </row>
    <row r="77" spans="1:40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6"/>
      <c r="AI77" s="6"/>
      <c r="AJ77" s="6"/>
      <c r="AK77" s="6"/>
      <c r="AL77" s="6"/>
      <c r="AM77" s="6"/>
      <c r="AN77" s="6"/>
    </row>
    <row r="78" spans="1:40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6"/>
      <c r="AI78" s="6"/>
      <c r="AJ78" s="6"/>
      <c r="AK78" s="6"/>
      <c r="AL78" s="6"/>
      <c r="AM78" s="6"/>
      <c r="AN78" s="6"/>
    </row>
    <row r="79" spans="1:40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6"/>
      <c r="AI79" s="6"/>
      <c r="AJ79" s="6"/>
      <c r="AK79" s="6"/>
      <c r="AL79" s="6"/>
      <c r="AM79" s="6"/>
      <c r="AN79" s="6"/>
    </row>
    <row r="80" spans="1:40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6"/>
      <c r="AI80" s="6"/>
      <c r="AJ80" s="6"/>
      <c r="AK80" s="6"/>
      <c r="AL80" s="6"/>
      <c r="AM80" s="6"/>
      <c r="AN80" s="6"/>
    </row>
    <row r="81" spans="1:40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6"/>
      <c r="AI81" s="6"/>
      <c r="AJ81" s="6"/>
      <c r="AK81" s="6"/>
      <c r="AL81" s="6"/>
      <c r="AM81" s="6"/>
      <c r="AN81" s="6"/>
    </row>
    <row r="82" spans="1:40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6"/>
      <c r="AI82" s="6"/>
      <c r="AJ82" s="6"/>
      <c r="AK82" s="6"/>
      <c r="AL82" s="6"/>
      <c r="AM82" s="6"/>
      <c r="AN82" s="6"/>
    </row>
    <row r="83" spans="1:40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6"/>
      <c r="AI83" s="6"/>
      <c r="AJ83" s="6"/>
      <c r="AK83" s="6"/>
      <c r="AL83" s="6"/>
      <c r="AM83" s="6"/>
      <c r="AN83" s="6"/>
    </row>
    <row r="84" spans="1:40" s="6" customFormat="1" x14ac:dyDescent="0.25"/>
    <row r="85" spans="1:40" s="6" customFormat="1" x14ac:dyDescent="0.25"/>
    <row r="86" spans="1:40" s="6" customFormat="1" x14ac:dyDescent="0.25"/>
    <row r="87" spans="1:40" s="6" customFormat="1" x14ac:dyDescent="0.25"/>
    <row r="88" spans="1:40" s="6" customFormat="1" x14ac:dyDescent="0.25"/>
    <row r="89" spans="1:40" s="6" customFormat="1" x14ac:dyDescent="0.25"/>
    <row r="90" spans="1:40" s="6" customFormat="1" x14ac:dyDescent="0.25"/>
    <row r="91" spans="1:40" s="6" customFormat="1" x14ac:dyDescent="0.25"/>
    <row r="92" spans="1:40" s="6" customFormat="1" x14ac:dyDescent="0.25"/>
    <row r="93" spans="1:40" s="6" customFormat="1" x14ac:dyDescent="0.25"/>
    <row r="94" spans="1:40" s="6" customFormat="1" x14ac:dyDescent="0.25"/>
    <row r="95" spans="1:40" s="6" customFormat="1" x14ac:dyDescent="0.25"/>
    <row r="96" spans="1:40" s="6" customFormat="1" x14ac:dyDescent="0.25"/>
    <row r="97" s="6" customFormat="1" x14ac:dyDescent="0.25"/>
    <row r="98" s="6" customFormat="1" x14ac:dyDescent="0.25"/>
    <row r="99" s="6" customForma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abSelected="1" workbookViewId="0"/>
  </sheetViews>
  <sheetFormatPr defaultRowHeight="15.75" x14ac:dyDescent="0.25"/>
  <cols>
    <col min="1" max="1" width="3.7109375" style="6" customWidth="1"/>
    <col min="2" max="2" width="26.28515625" style="1" bestFit="1" customWidth="1"/>
    <col min="3" max="3" width="10.28515625" style="1" bestFit="1" customWidth="1"/>
    <col min="4" max="4" width="24.85546875" style="1" bestFit="1" customWidth="1"/>
    <col min="5" max="5" width="3.7109375" style="6" customWidth="1"/>
    <col min="6" max="6" width="14.28515625" style="1" bestFit="1" customWidth="1"/>
    <col min="7" max="7" width="9.140625" style="1"/>
    <col min="8" max="8" width="12.85546875" style="1" bestFit="1" customWidth="1"/>
    <col min="9" max="9" width="3.7109375" style="6" customWidth="1"/>
    <col min="10" max="16384" width="9.140625" style="1"/>
  </cols>
  <sheetData>
    <row r="1" spans="2:8" s="6" customFormat="1" x14ac:dyDescent="0.25"/>
    <row r="2" spans="2:8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9" t="s">
        <v>2</v>
      </c>
    </row>
    <row r="3" spans="2:8" x14ac:dyDescent="0.25">
      <c r="B3" s="10" t="s">
        <v>4</v>
      </c>
      <c r="C3" s="11">
        <v>3</v>
      </c>
      <c r="D3" s="12" t="s">
        <v>34</v>
      </c>
      <c r="F3" s="10" t="s">
        <v>6</v>
      </c>
      <c r="G3" s="20">
        <f>C5</f>
        <v>9</v>
      </c>
      <c r="H3" s="12" t="s">
        <v>8</v>
      </c>
    </row>
    <row r="4" spans="2:8" x14ac:dyDescent="0.25">
      <c r="B4" s="10" t="s">
        <v>5</v>
      </c>
      <c r="C4" s="11">
        <v>20</v>
      </c>
      <c r="D4" s="12" t="s">
        <v>7</v>
      </c>
      <c r="F4" s="10" t="s">
        <v>11</v>
      </c>
      <c r="G4" s="20">
        <f>C8</f>
        <v>4</v>
      </c>
      <c r="H4" s="12" t="s">
        <v>8</v>
      </c>
    </row>
    <row r="5" spans="2:8" x14ac:dyDescent="0.25">
      <c r="B5" s="13" t="s">
        <v>6</v>
      </c>
      <c r="C5" s="14">
        <f>(60/C4)*C3</f>
        <v>9</v>
      </c>
      <c r="D5" s="15" t="s">
        <v>8</v>
      </c>
      <c r="F5" s="10" t="s">
        <v>17</v>
      </c>
      <c r="G5" s="20">
        <f>C14</f>
        <v>3</v>
      </c>
      <c r="H5" s="12" t="s">
        <v>8</v>
      </c>
    </row>
    <row r="6" spans="2:8" x14ac:dyDescent="0.25">
      <c r="B6" s="17" t="s">
        <v>9</v>
      </c>
      <c r="C6" s="18" t="s">
        <v>10</v>
      </c>
      <c r="D6" s="19" t="s">
        <v>34</v>
      </c>
      <c r="F6" s="10" t="s">
        <v>26</v>
      </c>
      <c r="G6" s="11">
        <f>C27</f>
        <v>10</v>
      </c>
      <c r="H6" s="12" t="s">
        <v>8</v>
      </c>
    </row>
    <row r="7" spans="2:8" x14ac:dyDescent="0.25">
      <c r="B7" s="10" t="s">
        <v>5</v>
      </c>
      <c r="C7" s="11">
        <v>15</v>
      </c>
      <c r="D7" s="12" t="s">
        <v>7</v>
      </c>
      <c r="F7" s="10" t="s">
        <v>28</v>
      </c>
      <c r="G7" s="11">
        <f>C37</f>
        <v>12</v>
      </c>
      <c r="H7" s="12" t="s">
        <v>8</v>
      </c>
    </row>
    <row r="8" spans="2:8" x14ac:dyDescent="0.25">
      <c r="B8" s="13" t="s">
        <v>11</v>
      </c>
      <c r="C8" s="14">
        <f>(60/C7)</f>
        <v>4</v>
      </c>
      <c r="D8" s="15" t="s">
        <v>8</v>
      </c>
      <c r="F8" s="13" t="s">
        <v>30</v>
      </c>
      <c r="G8" s="21">
        <f>C47</f>
        <v>8</v>
      </c>
      <c r="H8" s="15" t="s">
        <v>8</v>
      </c>
    </row>
    <row r="9" spans="2:8" x14ac:dyDescent="0.25">
      <c r="B9" s="17" t="s">
        <v>9</v>
      </c>
      <c r="C9" s="18">
        <v>4</v>
      </c>
      <c r="D9" s="19" t="s">
        <v>3</v>
      </c>
      <c r="F9" s="6"/>
      <c r="G9" s="6"/>
      <c r="H9" s="6"/>
    </row>
    <row r="10" spans="2:8" x14ac:dyDescent="0.25">
      <c r="B10" s="10" t="s">
        <v>12</v>
      </c>
      <c r="C10" s="11">
        <v>15</v>
      </c>
      <c r="D10" s="12" t="s">
        <v>16</v>
      </c>
      <c r="F10" s="6"/>
      <c r="G10" s="6"/>
      <c r="H10" s="6"/>
    </row>
    <row r="11" spans="2:8" x14ac:dyDescent="0.25">
      <c r="B11" s="10" t="s">
        <v>13</v>
      </c>
      <c r="C11" s="11">
        <v>20</v>
      </c>
      <c r="D11" s="12" t="s">
        <v>16</v>
      </c>
      <c r="F11" s="6"/>
      <c r="G11" s="6"/>
      <c r="H11" s="6"/>
    </row>
    <row r="12" spans="2:8" x14ac:dyDescent="0.25">
      <c r="B12" s="10" t="s">
        <v>14</v>
      </c>
      <c r="C12" s="11">
        <v>10</v>
      </c>
      <c r="D12" s="12" t="s">
        <v>16</v>
      </c>
      <c r="F12" s="6"/>
      <c r="G12" s="6"/>
      <c r="H12" s="6"/>
    </row>
    <row r="13" spans="2:8" x14ac:dyDescent="0.25">
      <c r="B13" s="10" t="s">
        <v>15</v>
      </c>
      <c r="C13" s="11">
        <v>12</v>
      </c>
      <c r="D13" s="12" t="s">
        <v>16</v>
      </c>
      <c r="F13" s="6"/>
      <c r="G13" s="6"/>
      <c r="H13" s="6"/>
    </row>
    <row r="14" spans="2:8" x14ac:dyDescent="0.25">
      <c r="B14" s="13" t="s">
        <v>17</v>
      </c>
      <c r="C14" s="14">
        <f>(60/MAX(C10:C13))</f>
        <v>3</v>
      </c>
      <c r="D14" s="15" t="s">
        <v>8</v>
      </c>
      <c r="F14" s="6"/>
      <c r="G14" s="6"/>
      <c r="H14" s="6"/>
    </row>
    <row r="15" spans="2:8" x14ac:dyDescent="0.25">
      <c r="B15" s="17" t="s">
        <v>18</v>
      </c>
      <c r="C15" s="18">
        <v>2</v>
      </c>
      <c r="D15" s="19" t="s">
        <v>3</v>
      </c>
      <c r="F15" s="6"/>
      <c r="G15" s="6"/>
      <c r="H15" s="6"/>
    </row>
    <row r="16" spans="2:8" x14ac:dyDescent="0.25">
      <c r="B16" s="10" t="s">
        <v>12</v>
      </c>
      <c r="C16" s="11">
        <v>10</v>
      </c>
      <c r="D16" s="12" t="s">
        <v>7</v>
      </c>
      <c r="F16" s="6"/>
      <c r="G16" s="6"/>
      <c r="H16" s="6"/>
    </row>
    <row r="17" spans="2:8" x14ac:dyDescent="0.25">
      <c r="B17" s="10" t="s">
        <v>19</v>
      </c>
      <c r="C17" s="11">
        <v>6</v>
      </c>
      <c r="D17" s="12" t="s">
        <v>3</v>
      </c>
      <c r="F17" s="6"/>
      <c r="G17" s="6"/>
      <c r="H17" s="6"/>
    </row>
    <row r="18" spans="2:8" x14ac:dyDescent="0.25">
      <c r="B18" s="10" t="s">
        <v>13</v>
      </c>
      <c r="C18" s="11">
        <v>24</v>
      </c>
      <c r="D18" s="12" t="s">
        <v>7</v>
      </c>
      <c r="F18" s="6"/>
      <c r="G18" s="6"/>
      <c r="H18" s="6"/>
    </row>
    <row r="19" spans="2:8" x14ac:dyDescent="0.25">
      <c r="B19" s="10" t="s">
        <v>20</v>
      </c>
      <c r="C19" s="11">
        <v>10</v>
      </c>
      <c r="D19" s="12" t="s">
        <v>3</v>
      </c>
      <c r="F19" s="6"/>
      <c r="G19" s="6"/>
      <c r="H19" s="6"/>
    </row>
    <row r="20" spans="2:8" x14ac:dyDescent="0.25">
      <c r="B20" s="10" t="s">
        <v>14</v>
      </c>
      <c r="C20" s="11">
        <v>40</v>
      </c>
      <c r="D20" s="12" t="s">
        <v>7</v>
      </c>
      <c r="F20" s="6"/>
      <c r="G20" s="6"/>
      <c r="H20" s="6"/>
    </row>
    <row r="21" spans="2:8" x14ac:dyDescent="0.25">
      <c r="B21" s="10" t="s">
        <v>21</v>
      </c>
      <c r="C21" s="11">
        <v>3</v>
      </c>
      <c r="D21" s="12" t="s">
        <v>3</v>
      </c>
      <c r="F21" s="6"/>
      <c r="G21" s="6"/>
      <c r="H21" s="6"/>
    </row>
    <row r="22" spans="2:8" x14ac:dyDescent="0.25">
      <c r="B22" s="10" t="s">
        <v>15</v>
      </c>
      <c r="C22" s="11">
        <v>18</v>
      </c>
      <c r="D22" s="12" t="s">
        <v>7</v>
      </c>
      <c r="F22" s="6"/>
      <c r="G22" s="6"/>
      <c r="H22" s="6"/>
    </row>
    <row r="23" spans="2:8" x14ac:dyDescent="0.25">
      <c r="B23" s="10" t="s">
        <v>22</v>
      </c>
      <c r="C23" s="11">
        <f>(60/C16)*C15</f>
        <v>12</v>
      </c>
      <c r="D23" s="12" t="s">
        <v>8</v>
      </c>
      <c r="F23" s="6"/>
      <c r="G23" s="6"/>
      <c r="H23" s="6"/>
    </row>
    <row r="24" spans="2:8" x14ac:dyDescent="0.25">
      <c r="B24" s="10" t="s">
        <v>23</v>
      </c>
      <c r="C24" s="11">
        <f>(60/C18)*C17</f>
        <v>15</v>
      </c>
      <c r="D24" s="12" t="s">
        <v>8</v>
      </c>
      <c r="F24" s="6"/>
      <c r="G24" s="6"/>
      <c r="H24" s="6"/>
    </row>
    <row r="25" spans="2:8" x14ac:dyDescent="0.25">
      <c r="B25" s="10" t="s">
        <v>24</v>
      </c>
      <c r="C25" s="11">
        <f>(60/C20)*C19</f>
        <v>15</v>
      </c>
      <c r="D25" s="12" t="s">
        <v>8</v>
      </c>
      <c r="F25" s="6"/>
      <c r="G25" s="6"/>
      <c r="H25" s="6"/>
    </row>
    <row r="26" spans="2:8" x14ac:dyDescent="0.25">
      <c r="B26" s="10" t="s">
        <v>25</v>
      </c>
      <c r="C26" s="11">
        <f>(60/C22)*C21</f>
        <v>10</v>
      </c>
      <c r="D26" s="12" t="s">
        <v>8</v>
      </c>
      <c r="F26" s="6"/>
      <c r="G26" s="6"/>
      <c r="H26" s="6"/>
    </row>
    <row r="27" spans="2:8" x14ac:dyDescent="0.25">
      <c r="B27" s="13" t="s">
        <v>26</v>
      </c>
      <c r="C27" s="21">
        <f>MIN(C23:C26)</f>
        <v>10</v>
      </c>
      <c r="D27" s="15" t="s">
        <v>8</v>
      </c>
      <c r="F27" s="6"/>
      <c r="G27" s="6"/>
      <c r="H27" s="6"/>
    </row>
    <row r="28" spans="2:8" x14ac:dyDescent="0.25">
      <c r="B28" s="17" t="s">
        <v>18</v>
      </c>
      <c r="C28" s="22">
        <v>2</v>
      </c>
      <c r="D28" s="19" t="s">
        <v>27</v>
      </c>
      <c r="F28" s="6"/>
      <c r="G28" s="6"/>
      <c r="H28" s="6"/>
    </row>
    <row r="29" spans="2:8" x14ac:dyDescent="0.25">
      <c r="B29" s="10" t="s">
        <v>12</v>
      </c>
      <c r="C29" s="11">
        <v>10</v>
      </c>
      <c r="D29" s="12" t="s">
        <v>29</v>
      </c>
      <c r="F29" s="6"/>
      <c r="G29" s="6"/>
      <c r="H29" s="6"/>
    </row>
    <row r="30" spans="2:8" x14ac:dyDescent="0.25">
      <c r="B30" s="10" t="s">
        <v>19</v>
      </c>
      <c r="C30" s="23">
        <v>3</v>
      </c>
      <c r="D30" s="12" t="s">
        <v>27</v>
      </c>
      <c r="F30" s="6"/>
      <c r="G30" s="6"/>
      <c r="H30" s="6"/>
    </row>
    <row r="31" spans="2:8" x14ac:dyDescent="0.25">
      <c r="B31" s="10" t="s">
        <v>13</v>
      </c>
      <c r="C31" s="11">
        <v>15</v>
      </c>
      <c r="D31" s="12" t="s">
        <v>29</v>
      </c>
      <c r="F31" s="6"/>
      <c r="G31" s="6"/>
      <c r="H31" s="6"/>
    </row>
    <row r="32" spans="2:8" x14ac:dyDescent="0.25">
      <c r="B32" s="10" t="s">
        <v>20</v>
      </c>
      <c r="C32" s="23">
        <v>1</v>
      </c>
      <c r="D32" s="12" t="s">
        <v>27</v>
      </c>
      <c r="F32" s="6"/>
      <c r="G32" s="6"/>
      <c r="H32" s="6"/>
    </row>
    <row r="33" spans="2:8" x14ac:dyDescent="0.25">
      <c r="B33" s="10" t="s">
        <v>14</v>
      </c>
      <c r="C33" s="11">
        <v>5</v>
      </c>
      <c r="D33" s="12" t="s">
        <v>29</v>
      </c>
      <c r="F33" s="6"/>
      <c r="G33" s="6"/>
      <c r="H33" s="6"/>
    </row>
    <row r="34" spans="2:8" x14ac:dyDescent="0.25">
      <c r="B34" s="10" t="s">
        <v>22</v>
      </c>
      <c r="C34" s="24">
        <f>(60/C29)*C28</f>
        <v>12</v>
      </c>
      <c r="D34" s="12" t="s">
        <v>8</v>
      </c>
      <c r="F34" s="6"/>
      <c r="G34" s="6"/>
      <c r="H34" s="6"/>
    </row>
    <row r="35" spans="2:8" x14ac:dyDescent="0.25">
      <c r="B35" s="10" t="s">
        <v>23</v>
      </c>
      <c r="C35" s="24">
        <f>(60/C31)*C30</f>
        <v>12</v>
      </c>
      <c r="D35" s="12" t="s">
        <v>8</v>
      </c>
      <c r="F35" s="6"/>
      <c r="G35" s="6"/>
      <c r="H35" s="6"/>
    </row>
    <row r="36" spans="2:8" x14ac:dyDescent="0.25">
      <c r="B36" s="10" t="s">
        <v>24</v>
      </c>
      <c r="C36" s="24">
        <f>(60/C33)*C32</f>
        <v>12</v>
      </c>
      <c r="D36" s="12" t="s">
        <v>8</v>
      </c>
      <c r="F36" s="6"/>
      <c r="G36" s="6"/>
      <c r="H36" s="6"/>
    </row>
    <row r="37" spans="2:8" x14ac:dyDescent="0.25">
      <c r="B37" s="13" t="s">
        <v>28</v>
      </c>
      <c r="C37" s="21">
        <f>MIN(C34:C36)</f>
        <v>12</v>
      </c>
      <c r="D37" s="15" t="s">
        <v>8</v>
      </c>
      <c r="F37" s="6"/>
      <c r="G37" s="6"/>
      <c r="H37" s="6"/>
    </row>
    <row r="38" spans="2:8" x14ac:dyDescent="0.25">
      <c r="B38" s="17" t="s">
        <v>18</v>
      </c>
      <c r="C38" s="22">
        <v>3</v>
      </c>
      <c r="D38" s="19" t="s">
        <v>27</v>
      </c>
      <c r="F38" s="6"/>
      <c r="G38" s="6"/>
      <c r="H38" s="6"/>
    </row>
    <row r="39" spans="2:8" x14ac:dyDescent="0.25">
      <c r="B39" s="10" t="s">
        <v>12</v>
      </c>
      <c r="C39" s="11">
        <v>10</v>
      </c>
      <c r="D39" s="12" t="s">
        <v>29</v>
      </c>
      <c r="F39" s="6"/>
      <c r="G39" s="6"/>
      <c r="H39" s="6"/>
    </row>
    <row r="40" spans="2:8" x14ac:dyDescent="0.25">
      <c r="B40" s="10" t="s">
        <v>19</v>
      </c>
      <c r="C40" s="25">
        <v>2</v>
      </c>
      <c r="D40" s="12" t="s">
        <v>27</v>
      </c>
      <c r="F40" s="6"/>
      <c r="G40" s="6"/>
      <c r="H40" s="6"/>
    </row>
    <row r="41" spans="2:8" x14ac:dyDescent="0.25">
      <c r="B41" s="10" t="s">
        <v>13</v>
      </c>
      <c r="C41" s="11">
        <v>15</v>
      </c>
      <c r="D41" s="12" t="s">
        <v>29</v>
      </c>
      <c r="F41" s="6"/>
      <c r="G41" s="6"/>
      <c r="H41" s="6"/>
    </row>
    <row r="42" spans="2:8" x14ac:dyDescent="0.25">
      <c r="B42" s="10" t="s">
        <v>20</v>
      </c>
      <c r="C42" s="23">
        <v>1</v>
      </c>
      <c r="D42" s="12" t="s">
        <v>27</v>
      </c>
      <c r="F42" s="6"/>
      <c r="G42" s="6"/>
      <c r="H42" s="6"/>
    </row>
    <row r="43" spans="2:8" x14ac:dyDescent="0.25">
      <c r="B43" s="10" t="s">
        <v>14</v>
      </c>
      <c r="C43" s="11">
        <v>5</v>
      </c>
      <c r="D43" s="12" t="s">
        <v>29</v>
      </c>
      <c r="F43" s="6"/>
      <c r="G43" s="6"/>
      <c r="H43" s="6"/>
    </row>
    <row r="44" spans="2:8" x14ac:dyDescent="0.25">
      <c r="B44" s="10" t="s">
        <v>22</v>
      </c>
      <c r="C44" s="24">
        <f>(60/C39)*C38</f>
        <v>18</v>
      </c>
      <c r="D44" s="12" t="s">
        <v>8</v>
      </c>
      <c r="F44" s="6"/>
      <c r="G44" s="6"/>
      <c r="H44" s="6"/>
    </row>
    <row r="45" spans="2:8" x14ac:dyDescent="0.25">
      <c r="B45" s="10" t="s">
        <v>23</v>
      </c>
      <c r="C45" s="25">
        <f>(60/C41)*C40</f>
        <v>8</v>
      </c>
      <c r="D45" s="12" t="s">
        <v>8</v>
      </c>
      <c r="F45" s="6"/>
      <c r="G45" s="6"/>
      <c r="H45" s="6"/>
    </row>
    <row r="46" spans="2:8" x14ac:dyDescent="0.25">
      <c r="B46" s="10" t="s">
        <v>24</v>
      </c>
      <c r="C46" s="24">
        <f>(60/C43)*C42</f>
        <v>12</v>
      </c>
      <c r="D46" s="12" t="s">
        <v>8</v>
      </c>
      <c r="F46" s="6"/>
      <c r="G46" s="6"/>
      <c r="H46" s="6"/>
    </row>
    <row r="47" spans="2:8" x14ac:dyDescent="0.25">
      <c r="B47" s="13" t="s">
        <v>30</v>
      </c>
      <c r="C47" s="21">
        <f>MIN(C44:C46)</f>
        <v>8</v>
      </c>
      <c r="D47" s="15" t="s">
        <v>8</v>
      </c>
      <c r="F47" s="6"/>
      <c r="G47" s="6"/>
      <c r="H47" s="6"/>
    </row>
    <row r="48" spans="2:8" s="6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5.75" x14ac:dyDescent="0.25"/>
  <cols>
    <col min="1" max="1" width="3.7109375" style="6" customWidth="1"/>
    <col min="2" max="2" width="18.28515625" style="1" bestFit="1" customWidth="1"/>
    <col min="3" max="3" width="12.85546875" style="1" bestFit="1" customWidth="1"/>
    <col min="4" max="4" width="14.28515625" style="1" bestFit="1" customWidth="1"/>
    <col min="5" max="5" width="3.7109375" style="6" customWidth="1"/>
    <col min="6" max="6" width="16.85546875" style="1" bestFit="1" customWidth="1"/>
    <col min="7" max="8" width="12.85546875" style="1" bestFit="1" customWidth="1"/>
    <col min="9" max="9" width="3.7109375" style="6" customWidth="1"/>
    <col min="10" max="16384" width="9.140625" style="1"/>
  </cols>
  <sheetData>
    <row r="1" spans="2:8" s="6" customFormat="1" x14ac:dyDescent="0.25"/>
    <row r="2" spans="2:8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9" t="s">
        <v>2</v>
      </c>
    </row>
    <row r="3" spans="2:8" x14ac:dyDescent="0.25">
      <c r="B3" s="10" t="s">
        <v>12</v>
      </c>
      <c r="C3" s="11">
        <v>15</v>
      </c>
      <c r="D3" s="12" t="s">
        <v>16</v>
      </c>
      <c r="F3" s="10" t="s">
        <v>38</v>
      </c>
      <c r="G3" s="11" t="s">
        <v>39</v>
      </c>
      <c r="H3" s="12" t="s">
        <v>34</v>
      </c>
    </row>
    <row r="4" spans="2:8" x14ac:dyDescent="0.25">
      <c r="B4" s="10" t="s">
        <v>31</v>
      </c>
      <c r="C4" s="26">
        <v>1</v>
      </c>
      <c r="D4" s="12" t="s">
        <v>34</v>
      </c>
      <c r="F4" s="10" t="s">
        <v>40</v>
      </c>
      <c r="G4" s="29">
        <f>C16</f>
        <v>3.75</v>
      </c>
      <c r="H4" s="12" t="s">
        <v>8</v>
      </c>
    </row>
    <row r="5" spans="2:8" x14ac:dyDescent="0.25">
      <c r="B5" s="10" t="s">
        <v>13</v>
      </c>
      <c r="C5" s="11">
        <v>12</v>
      </c>
      <c r="D5" s="12" t="s">
        <v>16</v>
      </c>
      <c r="F5" s="10" t="s">
        <v>41</v>
      </c>
      <c r="G5" s="20">
        <f t="shared" ref="G5:G6" si="0">C17</f>
        <v>41</v>
      </c>
      <c r="H5" s="12" t="s">
        <v>43</v>
      </c>
    </row>
    <row r="6" spans="2:8" x14ac:dyDescent="0.25">
      <c r="B6" s="10" t="s">
        <v>32</v>
      </c>
      <c r="C6" s="26">
        <v>0.75</v>
      </c>
      <c r="D6" s="12" t="s">
        <v>34</v>
      </c>
      <c r="F6" s="10" t="s">
        <v>42</v>
      </c>
      <c r="G6" s="31">
        <f t="shared" si="0"/>
        <v>2.5625</v>
      </c>
      <c r="H6" s="12" t="s">
        <v>44</v>
      </c>
    </row>
    <row r="7" spans="2:8" x14ac:dyDescent="0.25">
      <c r="B7" s="10" t="s">
        <v>14</v>
      </c>
      <c r="C7" s="11">
        <v>14</v>
      </c>
      <c r="D7" s="12" t="s">
        <v>16</v>
      </c>
      <c r="F7" s="13" t="s">
        <v>48</v>
      </c>
      <c r="G7" s="16">
        <f>C22</f>
        <v>1.7083333333333335</v>
      </c>
      <c r="H7" s="15" t="s">
        <v>44</v>
      </c>
    </row>
    <row r="8" spans="2:8" x14ac:dyDescent="0.25">
      <c r="B8" s="13" t="s">
        <v>33</v>
      </c>
      <c r="C8" s="42">
        <v>1</v>
      </c>
      <c r="D8" s="15" t="s">
        <v>34</v>
      </c>
      <c r="F8" s="6"/>
      <c r="G8" s="6"/>
      <c r="H8" s="6"/>
    </row>
    <row r="9" spans="2:8" x14ac:dyDescent="0.25">
      <c r="B9" s="10" t="s">
        <v>22</v>
      </c>
      <c r="C9" s="11">
        <f>(60/C3)*C4</f>
        <v>4</v>
      </c>
      <c r="D9" s="12" t="s">
        <v>8</v>
      </c>
      <c r="F9" s="6"/>
      <c r="G9" s="6"/>
      <c r="H9" s="6"/>
    </row>
    <row r="10" spans="2:8" x14ac:dyDescent="0.25">
      <c r="B10" s="10" t="s">
        <v>35</v>
      </c>
      <c r="C10" s="27">
        <f>MIN($C$9,$C$11,$C$13)/C9</f>
        <v>0.9375</v>
      </c>
      <c r="D10" s="12" t="s">
        <v>34</v>
      </c>
      <c r="F10" s="6"/>
      <c r="G10" s="6"/>
      <c r="H10" s="6"/>
    </row>
    <row r="11" spans="2:8" x14ac:dyDescent="0.25">
      <c r="B11" s="10" t="s">
        <v>23</v>
      </c>
      <c r="C11" s="11">
        <f>(60/C5)*C6</f>
        <v>3.75</v>
      </c>
      <c r="D11" s="12" t="s">
        <v>8</v>
      </c>
      <c r="F11" s="6"/>
      <c r="G11" s="6"/>
      <c r="H11" s="6"/>
    </row>
    <row r="12" spans="2:8" x14ac:dyDescent="0.25">
      <c r="B12" s="10" t="s">
        <v>36</v>
      </c>
      <c r="C12" s="28">
        <f>MIN($C$9,$C$11,$C$13)/C11</f>
        <v>1</v>
      </c>
      <c r="D12" s="12" t="s">
        <v>34</v>
      </c>
      <c r="F12" s="6"/>
      <c r="G12" s="6"/>
      <c r="H12" s="6"/>
    </row>
    <row r="13" spans="2:8" x14ac:dyDescent="0.25">
      <c r="B13" s="10" t="s">
        <v>24</v>
      </c>
      <c r="C13" s="29">
        <f>(60/C7)*C8</f>
        <v>4.2857142857142856</v>
      </c>
      <c r="D13" s="12" t="s">
        <v>8</v>
      </c>
      <c r="F13" s="6"/>
      <c r="G13" s="6"/>
      <c r="H13" s="6"/>
    </row>
    <row r="14" spans="2:8" x14ac:dyDescent="0.25">
      <c r="B14" s="10" t="s">
        <v>37</v>
      </c>
      <c r="C14" s="27">
        <f>MIN($C$9,$C$11,$C$13)/C13</f>
        <v>0.875</v>
      </c>
      <c r="D14" s="12" t="s">
        <v>34</v>
      </c>
      <c r="F14" s="6"/>
      <c r="G14" s="6"/>
      <c r="H14" s="6"/>
    </row>
    <row r="15" spans="2:8" x14ac:dyDescent="0.25">
      <c r="B15" s="13" t="s">
        <v>38</v>
      </c>
      <c r="C15" s="21" t="s">
        <v>39</v>
      </c>
      <c r="D15" s="15" t="s">
        <v>34</v>
      </c>
      <c r="F15" s="6"/>
      <c r="G15" s="6"/>
      <c r="H15" s="6"/>
    </row>
    <row r="16" spans="2:8" x14ac:dyDescent="0.25">
      <c r="B16" s="17" t="s">
        <v>40</v>
      </c>
      <c r="C16" s="30">
        <f>MIN(C13,C11,C9)</f>
        <v>3.75</v>
      </c>
      <c r="D16" s="19" t="s">
        <v>8</v>
      </c>
      <c r="F16" s="6"/>
      <c r="G16" s="6"/>
      <c r="H16" s="6"/>
    </row>
    <row r="17" spans="2:8" x14ac:dyDescent="0.25">
      <c r="B17" s="10" t="s">
        <v>41</v>
      </c>
      <c r="C17" s="11">
        <f>SUM(C3,C5,C7)</f>
        <v>41</v>
      </c>
      <c r="D17" s="12" t="s">
        <v>43</v>
      </c>
      <c r="F17" s="6"/>
      <c r="G17" s="6"/>
      <c r="H17" s="6"/>
    </row>
    <row r="18" spans="2:8" x14ac:dyDescent="0.25">
      <c r="B18" s="10" t="s">
        <v>42</v>
      </c>
      <c r="C18" s="31">
        <f>(C17/60)*C16</f>
        <v>2.5625</v>
      </c>
      <c r="D18" s="12" t="s">
        <v>44</v>
      </c>
      <c r="F18" s="6"/>
      <c r="G18" s="6"/>
      <c r="H18" s="6"/>
    </row>
    <row r="19" spans="2:8" x14ac:dyDescent="0.25">
      <c r="B19" s="17" t="s">
        <v>45</v>
      </c>
      <c r="C19" s="18">
        <f>(60/C5)*0.5</f>
        <v>2.5</v>
      </c>
      <c r="D19" s="19"/>
      <c r="F19" s="6"/>
      <c r="G19" s="6"/>
      <c r="H19" s="6"/>
    </row>
    <row r="20" spans="2:8" x14ac:dyDescent="0.25">
      <c r="B20" s="10" t="s">
        <v>46</v>
      </c>
      <c r="C20" s="31">
        <f>MIN(C13,C19,C9)</f>
        <v>2.5</v>
      </c>
      <c r="D20" s="12" t="s">
        <v>8</v>
      </c>
      <c r="F20" s="6"/>
      <c r="G20" s="6"/>
      <c r="H20" s="6"/>
    </row>
    <row r="21" spans="2:8" x14ac:dyDescent="0.25">
      <c r="B21" s="10" t="s">
        <v>47</v>
      </c>
      <c r="C21" s="11">
        <f>C17</f>
        <v>41</v>
      </c>
      <c r="D21" s="12" t="s">
        <v>43</v>
      </c>
      <c r="F21" s="6"/>
      <c r="G21" s="6"/>
      <c r="H21" s="6"/>
    </row>
    <row r="22" spans="2:8" x14ac:dyDescent="0.25">
      <c r="B22" s="13" t="s">
        <v>48</v>
      </c>
      <c r="C22" s="16">
        <f>(C21/60)*C20</f>
        <v>1.7083333333333335</v>
      </c>
      <c r="D22" s="15" t="s">
        <v>44</v>
      </c>
      <c r="F22" s="6"/>
      <c r="G22" s="6"/>
      <c r="H22" s="6"/>
    </row>
    <row r="23" spans="2:8" s="6" customForma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5.75" x14ac:dyDescent="0.25"/>
  <cols>
    <col min="1" max="1" width="3.7109375" style="6" customWidth="1"/>
    <col min="2" max="2" width="16.85546875" style="1" bestFit="1" customWidth="1"/>
    <col min="3" max="3" width="12.85546875" style="1" bestFit="1" customWidth="1"/>
    <col min="4" max="4" width="14.28515625" style="1" bestFit="1" customWidth="1"/>
    <col min="5" max="5" width="3.7109375" style="6" customWidth="1"/>
    <col min="6" max="6" width="16.85546875" style="1" bestFit="1" customWidth="1"/>
    <col min="7" max="7" width="12.85546875" style="1" bestFit="1" customWidth="1"/>
    <col min="8" max="8" width="15.5703125" style="3" bestFit="1" customWidth="1"/>
    <col min="9" max="9" width="3.7109375" style="6" customWidth="1"/>
    <col min="10" max="16384" width="9.140625" style="1"/>
  </cols>
  <sheetData>
    <row r="1" spans="2:8" s="6" customFormat="1" x14ac:dyDescent="0.25">
      <c r="H1" s="3"/>
    </row>
    <row r="2" spans="2:8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50" t="s">
        <v>128</v>
      </c>
    </row>
    <row r="3" spans="2:8" x14ac:dyDescent="0.25">
      <c r="B3" s="10" t="s">
        <v>12</v>
      </c>
      <c r="C3" s="11">
        <v>12</v>
      </c>
      <c r="D3" s="12" t="s">
        <v>16</v>
      </c>
      <c r="F3" s="10" t="s">
        <v>55</v>
      </c>
      <c r="G3" s="35" t="str">
        <f>C16</f>
        <v>Station 3</v>
      </c>
      <c r="H3" s="38">
        <f>C15</f>
        <v>0.23809523809523808</v>
      </c>
    </row>
    <row r="4" spans="2:8" x14ac:dyDescent="0.25">
      <c r="B4" s="10" t="s">
        <v>13</v>
      </c>
      <c r="C4" s="11">
        <v>10</v>
      </c>
      <c r="D4" s="12" t="s">
        <v>16</v>
      </c>
      <c r="F4" s="10" t="s">
        <v>56</v>
      </c>
      <c r="G4" s="35" t="str">
        <f>C22</f>
        <v>Station 3</v>
      </c>
      <c r="H4" s="38">
        <f>C21</f>
        <v>0.38095238095238093</v>
      </c>
    </row>
    <row r="5" spans="2:8" x14ac:dyDescent="0.25">
      <c r="B5" s="10" t="s">
        <v>51</v>
      </c>
      <c r="C5" s="11">
        <v>6</v>
      </c>
      <c r="D5" s="12" t="s">
        <v>16</v>
      </c>
      <c r="F5" s="33" t="s">
        <v>57</v>
      </c>
      <c r="G5" s="36" t="str">
        <f>C28</f>
        <v>Station 3</v>
      </c>
      <c r="H5" s="39">
        <f>C27</f>
        <v>0.80952380952380953</v>
      </c>
    </row>
    <row r="6" spans="2:8" x14ac:dyDescent="0.25">
      <c r="B6" s="10" t="s">
        <v>52</v>
      </c>
      <c r="C6" s="11">
        <v>14</v>
      </c>
      <c r="D6" s="12" t="s">
        <v>16</v>
      </c>
      <c r="F6" s="6"/>
      <c r="G6" s="6"/>
      <c r="H6" s="6"/>
    </row>
    <row r="7" spans="2:8" x14ac:dyDescent="0.25">
      <c r="B7" s="10" t="s">
        <v>22</v>
      </c>
      <c r="C7" s="11">
        <f>60/C3</f>
        <v>5</v>
      </c>
      <c r="D7" s="12" t="s">
        <v>8</v>
      </c>
      <c r="F7" s="6"/>
      <c r="G7" s="6"/>
      <c r="H7" s="6"/>
    </row>
    <row r="8" spans="2:8" x14ac:dyDescent="0.25">
      <c r="B8" s="10" t="s">
        <v>23</v>
      </c>
      <c r="C8" s="11">
        <f t="shared" ref="C8:C10" si="0">60/C4</f>
        <v>6</v>
      </c>
      <c r="D8" s="12" t="s">
        <v>8</v>
      </c>
      <c r="F8" s="6"/>
      <c r="G8" s="6"/>
      <c r="H8" s="6"/>
    </row>
    <row r="9" spans="2:8" x14ac:dyDescent="0.25">
      <c r="B9" s="10" t="s">
        <v>53</v>
      </c>
      <c r="C9" s="11">
        <f t="shared" si="0"/>
        <v>10</v>
      </c>
      <c r="D9" s="12" t="s">
        <v>8</v>
      </c>
      <c r="F9" s="6"/>
      <c r="G9" s="6"/>
      <c r="H9" s="6"/>
    </row>
    <row r="10" spans="2:8" x14ac:dyDescent="0.25">
      <c r="B10" s="13" t="s">
        <v>54</v>
      </c>
      <c r="C10" s="16">
        <f t="shared" si="0"/>
        <v>4.2857142857142856</v>
      </c>
      <c r="D10" s="15" t="s">
        <v>8</v>
      </c>
      <c r="F10" s="6"/>
      <c r="G10" s="6"/>
      <c r="H10" s="6"/>
    </row>
    <row r="11" spans="2:8" x14ac:dyDescent="0.25">
      <c r="B11" s="10" t="s">
        <v>49</v>
      </c>
      <c r="C11" s="11">
        <v>1</v>
      </c>
      <c r="D11" s="12" t="s">
        <v>8</v>
      </c>
      <c r="F11" s="6"/>
      <c r="G11" s="6"/>
      <c r="H11" s="6"/>
    </row>
    <row r="12" spans="2:8" x14ac:dyDescent="0.25">
      <c r="B12" s="10" t="s">
        <v>50</v>
      </c>
      <c r="C12" s="11">
        <v>1</v>
      </c>
      <c r="D12" s="12" t="s">
        <v>8</v>
      </c>
      <c r="F12" s="6"/>
      <c r="G12" s="6"/>
      <c r="H12" s="6"/>
    </row>
    <row r="13" spans="2:8" x14ac:dyDescent="0.25">
      <c r="B13" s="10" t="s">
        <v>35</v>
      </c>
      <c r="C13" s="27">
        <f>$C$11/C3</f>
        <v>8.3333333333333329E-2</v>
      </c>
      <c r="D13" s="12" t="s">
        <v>34</v>
      </c>
      <c r="F13" s="6"/>
      <c r="G13" s="6"/>
      <c r="H13" s="6"/>
    </row>
    <row r="14" spans="2:8" x14ac:dyDescent="0.25">
      <c r="B14" s="10" t="s">
        <v>36</v>
      </c>
      <c r="C14" s="27">
        <f>$C$11/C4</f>
        <v>0.1</v>
      </c>
      <c r="D14" s="12" t="s">
        <v>34</v>
      </c>
      <c r="F14" s="6"/>
      <c r="G14" s="6"/>
      <c r="H14" s="6"/>
    </row>
    <row r="15" spans="2:8" x14ac:dyDescent="0.25">
      <c r="B15" s="10" t="s">
        <v>37</v>
      </c>
      <c r="C15" s="27">
        <f>($C$11/C5)+(C12/C6)</f>
        <v>0.23809523809523808</v>
      </c>
      <c r="D15" s="12" t="s">
        <v>34</v>
      </c>
      <c r="F15" s="6"/>
      <c r="G15" s="6"/>
      <c r="H15" s="6"/>
    </row>
    <row r="16" spans="2:8" x14ac:dyDescent="0.25">
      <c r="B16" s="13" t="s">
        <v>55</v>
      </c>
      <c r="C16" s="37" t="s">
        <v>58</v>
      </c>
      <c r="D16" s="15" t="s">
        <v>34</v>
      </c>
      <c r="F16" s="6"/>
      <c r="G16" s="6"/>
      <c r="H16" s="6"/>
    </row>
    <row r="17" spans="1:9" x14ac:dyDescent="0.25">
      <c r="B17" s="17" t="s">
        <v>49</v>
      </c>
      <c r="C17" s="18">
        <v>1</v>
      </c>
      <c r="D17" s="19" t="s">
        <v>8</v>
      </c>
      <c r="F17" s="6"/>
      <c r="G17" s="6"/>
      <c r="H17" s="6"/>
    </row>
    <row r="18" spans="1:9" x14ac:dyDescent="0.25">
      <c r="B18" s="10" t="s">
        <v>50</v>
      </c>
      <c r="C18" s="11">
        <v>3</v>
      </c>
      <c r="D18" s="12" t="s">
        <v>8</v>
      </c>
      <c r="F18" s="6"/>
      <c r="G18" s="6"/>
      <c r="H18" s="6"/>
    </row>
    <row r="19" spans="1:9" x14ac:dyDescent="0.25">
      <c r="B19" s="10" t="s">
        <v>35</v>
      </c>
      <c r="C19" s="27">
        <f>$C$17/C3</f>
        <v>8.3333333333333329E-2</v>
      </c>
      <c r="D19" s="12" t="s">
        <v>34</v>
      </c>
      <c r="F19" s="6"/>
      <c r="G19" s="6"/>
      <c r="H19" s="6"/>
    </row>
    <row r="20" spans="1:9" x14ac:dyDescent="0.25">
      <c r="B20" s="10" t="s">
        <v>36</v>
      </c>
      <c r="C20" s="27">
        <f>$C$17/C4</f>
        <v>0.1</v>
      </c>
      <c r="D20" s="12" t="s">
        <v>34</v>
      </c>
      <c r="F20" s="6"/>
      <c r="G20" s="6"/>
      <c r="H20" s="6"/>
    </row>
    <row r="21" spans="1:9" x14ac:dyDescent="0.25">
      <c r="B21" s="10" t="s">
        <v>37</v>
      </c>
      <c r="C21" s="27">
        <f>($C$17/C5)+(C18/C6)</f>
        <v>0.38095238095238093</v>
      </c>
      <c r="D21" s="12" t="s">
        <v>34</v>
      </c>
      <c r="F21" s="6"/>
      <c r="G21" s="6"/>
      <c r="H21" s="6"/>
    </row>
    <row r="22" spans="1:9" x14ac:dyDescent="0.25">
      <c r="B22" s="13" t="s">
        <v>56</v>
      </c>
      <c r="C22" s="37" t="s">
        <v>58</v>
      </c>
      <c r="D22" s="15" t="s">
        <v>34</v>
      </c>
      <c r="F22" s="6"/>
      <c r="G22" s="6"/>
      <c r="H22" s="6"/>
    </row>
    <row r="23" spans="1:9" x14ac:dyDescent="0.25">
      <c r="B23" s="17" t="s">
        <v>49</v>
      </c>
      <c r="C23" s="18">
        <v>1</v>
      </c>
      <c r="D23" s="19" t="s">
        <v>8</v>
      </c>
      <c r="F23" s="6"/>
      <c r="G23" s="6"/>
      <c r="H23" s="6"/>
    </row>
    <row r="24" spans="1:9" x14ac:dyDescent="0.25">
      <c r="B24" s="10" t="s">
        <v>50</v>
      </c>
      <c r="C24" s="11">
        <v>9</v>
      </c>
      <c r="D24" s="12" t="s">
        <v>8</v>
      </c>
      <c r="F24" s="6"/>
      <c r="G24" s="6"/>
      <c r="H24" s="6"/>
    </row>
    <row r="25" spans="1:9" x14ac:dyDescent="0.25">
      <c r="B25" s="10" t="s">
        <v>35</v>
      </c>
      <c r="C25" s="27">
        <f>$C$23/C3</f>
        <v>8.3333333333333329E-2</v>
      </c>
      <c r="D25" s="12" t="s">
        <v>34</v>
      </c>
      <c r="F25" s="6"/>
      <c r="G25" s="6"/>
      <c r="H25" s="6"/>
    </row>
    <row r="26" spans="1:9" x14ac:dyDescent="0.25">
      <c r="B26" s="10" t="s">
        <v>36</v>
      </c>
      <c r="C26" s="27">
        <f>$C$23/C4</f>
        <v>0.1</v>
      </c>
      <c r="D26" s="12" t="s">
        <v>34</v>
      </c>
      <c r="F26" s="6"/>
      <c r="G26" s="6"/>
      <c r="H26" s="6"/>
    </row>
    <row r="27" spans="1:9" x14ac:dyDescent="0.25">
      <c r="B27" s="10" t="s">
        <v>37</v>
      </c>
      <c r="C27" s="27">
        <f>($C$23/C5)+(C24/C6)</f>
        <v>0.80952380952380953</v>
      </c>
      <c r="D27" s="12" t="s">
        <v>34</v>
      </c>
      <c r="F27" s="6"/>
      <c r="G27" s="6"/>
      <c r="H27" s="6"/>
    </row>
    <row r="28" spans="1:9" s="3" customFormat="1" x14ac:dyDescent="0.25">
      <c r="A28" s="6"/>
      <c r="B28" s="33" t="s">
        <v>57</v>
      </c>
      <c r="C28" s="37" t="s">
        <v>58</v>
      </c>
      <c r="D28" s="34" t="s">
        <v>34</v>
      </c>
      <c r="E28" s="6"/>
      <c r="F28" s="6"/>
      <c r="G28" s="6"/>
      <c r="H28" s="6"/>
      <c r="I28" s="6"/>
    </row>
    <row r="29" spans="1:9" s="6" customForma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defaultRowHeight="15.75" x14ac:dyDescent="0.25"/>
  <cols>
    <col min="1" max="1" width="3.7109375" style="6" customWidth="1"/>
    <col min="2" max="2" width="14.28515625" style="1" bestFit="1" customWidth="1"/>
    <col min="3" max="4" width="12.85546875" style="1" bestFit="1" customWidth="1"/>
    <col min="5" max="5" width="3.7109375" style="6" customWidth="1"/>
    <col min="6" max="6" width="14.28515625" style="1" bestFit="1" customWidth="1"/>
    <col min="7" max="7" width="12.85546875" style="1" bestFit="1" customWidth="1"/>
    <col min="8" max="8" width="15.5703125" style="1" bestFit="1" customWidth="1"/>
    <col min="9" max="9" width="3.7109375" style="6" customWidth="1"/>
    <col min="10" max="16384" width="9.140625" style="1"/>
  </cols>
  <sheetData>
    <row r="1" spans="1:9" s="6" customFormat="1" x14ac:dyDescent="0.25"/>
    <row r="2" spans="1:9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50" t="s">
        <v>128</v>
      </c>
    </row>
    <row r="3" spans="1:9" x14ac:dyDescent="0.25">
      <c r="B3" s="10" t="s">
        <v>22</v>
      </c>
      <c r="C3" s="11">
        <v>15000</v>
      </c>
      <c r="D3" s="12" t="s">
        <v>8</v>
      </c>
      <c r="F3" s="13" t="s">
        <v>38</v>
      </c>
      <c r="G3" s="21" t="str">
        <f>C9</f>
        <v>Station 1</v>
      </c>
      <c r="H3" s="41">
        <f>MAX(C7:C8)</f>
        <v>0.8666666666666667</v>
      </c>
    </row>
    <row r="4" spans="1:9" x14ac:dyDescent="0.25">
      <c r="B4" s="10" t="s">
        <v>23</v>
      </c>
      <c r="C4" s="11">
        <v>10000</v>
      </c>
      <c r="D4" s="12" t="s">
        <v>8</v>
      </c>
      <c r="F4" s="6"/>
      <c r="G4" s="6"/>
      <c r="H4" s="6"/>
    </row>
    <row r="5" spans="1:9" x14ac:dyDescent="0.25">
      <c r="B5" s="10" t="s">
        <v>59</v>
      </c>
      <c r="C5" s="11">
        <v>8000</v>
      </c>
      <c r="D5" s="12" t="s">
        <v>8</v>
      </c>
      <c r="F5" s="7" t="s">
        <v>0</v>
      </c>
      <c r="G5" s="8" t="s">
        <v>1</v>
      </c>
      <c r="H5" s="50" t="s">
        <v>128</v>
      </c>
    </row>
    <row r="6" spans="1:9" x14ac:dyDescent="0.25">
      <c r="B6" s="13" t="s">
        <v>60</v>
      </c>
      <c r="C6" s="21">
        <v>5000</v>
      </c>
      <c r="D6" s="15" t="s">
        <v>8</v>
      </c>
      <c r="F6" s="13" t="s">
        <v>38</v>
      </c>
      <c r="G6" s="21" t="str">
        <f>C13</f>
        <v>Station 2</v>
      </c>
      <c r="H6" s="46">
        <f>MAX(C11:C12)</f>
        <v>1</v>
      </c>
    </row>
    <row r="7" spans="1:9" x14ac:dyDescent="0.25">
      <c r="B7" s="10" t="s">
        <v>35</v>
      </c>
      <c r="C7" s="27">
        <f>SUM(C5:C6)/C3</f>
        <v>0.8666666666666667</v>
      </c>
      <c r="D7" s="12" t="s">
        <v>34</v>
      </c>
      <c r="F7" s="6"/>
      <c r="G7" s="6"/>
      <c r="H7" s="6"/>
    </row>
    <row r="8" spans="1:9" x14ac:dyDescent="0.25">
      <c r="B8" s="10" t="s">
        <v>36</v>
      </c>
      <c r="C8" s="40">
        <f>C5/C4</f>
        <v>0.8</v>
      </c>
      <c r="D8" s="12" t="s">
        <v>34</v>
      </c>
      <c r="F8" s="7" t="s">
        <v>0</v>
      </c>
      <c r="G8" s="8" t="s">
        <v>1</v>
      </c>
      <c r="H8" s="50" t="s">
        <v>128</v>
      </c>
    </row>
    <row r="9" spans="1:9" x14ac:dyDescent="0.25">
      <c r="B9" s="10" t="s">
        <v>38</v>
      </c>
      <c r="C9" s="11" t="s">
        <v>61</v>
      </c>
      <c r="D9" s="12" t="s">
        <v>34</v>
      </c>
      <c r="F9" s="13" t="s">
        <v>38</v>
      </c>
      <c r="G9" s="21" t="str">
        <f>C17</f>
        <v>Station 2</v>
      </c>
      <c r="H9" s="46">
        <f>C16</f>
        <v>1</v>
      </c>
    </row>
    <row r="10" spans="1:9" x14ac:dyDescent="0.25">
      <c r="B10" s="17" t="s">
        <v>75</v>
      </c>
      <c r="C10" s="45">
        <f>((C3^-1)+(C4^-1))^-1</f>
        <v>5999.9999999999991</v>
      </c>
      <c r="D10" s="19" t="str">
        <f>D4</f>
        <v>[part/hr]</v>
      </c>
      <c r="F10" s="6"/>
      <c r="G10" s="6"/>
      <c r="H10" s="6"/>
    </row>
    <row r="11" spans="1:9" x14ac:dyDescent="0.25">
      <c r="B11" s="10" t="s">
        <v>35</v>
      </c>
      <c r="C11" s="27">
        <f>C7</f>
        <v>0.8666666666666667</v>
      </c>
      <c r="D11" s="12" t="s">
        <v>34</v>
      </c>
      <c r="F11" s="6"/>
      <c r="G11" s="6"/>
      <c r="H11" s="6"/>
    </row>
    <row r="12" spans="1:9" x14ac:dyDescent="0.25">
      <c r="B12" s="10" t="s">
        <v>36</v>
      </c>
      <c r="C12" s="28">
        <f>MIN(C5/C10,1)</f>
        <v>1</v>
      </c>
      <c r="D12" s="12" t="s">
        <v>34</v>
      </c>
      <c r="F12" s="6"/>
      <c r="G12" s="6"/>
      <c r="H12" s="6"/>
    </row>
    <row r="13" spans="1:9" x14ac:dyDescent="0.25">
      <c r="B13" s="13" t="s">
        <v>38</v>
      </c>
      <c r="C13" s="21" t="s">
        <v>39</v>
      </c>
      <c r="D13" s="15" t="s">
        <v>34</v>
      </c>
      <c r="F13" s="6"/>
      <c r="G13" s="6"/>
      <c r="H13" s="6"/>
    </row>
    <row r="14" spans="1:9" s="3" customFormat="1" x14ac:dyDescent="0.25">
      <c r="A14" s="6"/>
      <c r="B14" s="47" t="s">
        <v>76</v>
      </c>
      <c r="C14" s="48">
        <f>(C5/((2*C5)-1))*C4</f>
        <v>5000.3125195324701</v>
      </c>
      <c r="D14" s="19" t="s">
        <v>8</v>
      </c>
      <c r="E14" s="6"/>
      <c r="F14" s="6"/>
      <c r="G14" s="6"/>
      <c r="H14" s="6"/>
      <c r="I14" s="6"/>
    </row>
    <row r="15" spans="1:9" x14ac:dyDescent="0.25">
      <c r="B15" s="10" t="s">
        <v>35</v>
      </c>
      <c r="C15" s="27">
        <f>C11</f>
        <v>0.8666666666666667</v>
      </c>
      <c r="D15" s="12" t="s">
        <v>34</v>
      </c>
      <c r="F15" s="6"/>
      <c r="G15" s="6"/>
      <c r="H15" s="6"/>
    </row>
    <row r="16" spans="1:9" x14ac:dyDescent="0.25">
      <c r="B16" s="10" t="s">
        <v>36</v>
      </c>
      <c r="C16" s="28">
        <f>MIN(C5/C14,1)</f>
        <v>1</v>
      </c>
      <c r="D16" s="12" t="s">
        <v>34</v>
      </c>
      <c r="F16" s="6"/>
      <c r="G16" s="6"/>
      <c r="H16" s="6"/>
    </row>
    <row r="17" spans="2:8" x14ac:dyDescent="0.25">
      <c r="B17" s="13" t="s">
        <v>38</v>
      </c>
      <c r="C17" s="21" t="s">
        <v>39</v>
      </c>
      <c r="D17" s="15" t="s">
        <v>34</v>
      </c>
      <c r="F17" s="6"/>
      <c r="G17" s="6"/>
      <c r="H17" s="6"/>
    </row>
    <row r="18" spans="2:8" s="6" customForma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/>
  </sheetViews>
  <sheetFormatPr defaultRowHeight="15.75" x14ac:dyDescent="0.25"/>
  <cols>
    <col min="1" max="1" width="3.7109375" style="6" customWidth="1"/>
    <col min="2" max="3" width="9.140625" style="1"/>
    <col min="4" max="4" width="12.85546875" style="1" bestFit="1" customWidth="1"/>
    <col min="5" max="5" width="3.7109375" style="6" customWidth="1"/>
    <col min="6" max="7" width="9.140625" style="1"/>
    <col min="8" max="8" width="11.5703125" style="1" bestFit="1" customWidth="1"/>
    <col min="9" max="9" width="3.7109375" style="6" customWidth="1"/>
    <col min="10" max="16384" width="9.140625" style="1"/>
  </cols>
  <sheetData>
    <row r="1" spans="2:8" s="6" customFormat="1" x14ac:dyDescent="0.25"/>
    <row r="2" spans="2:8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9" t="s">
        <v>2</v>
      </c>
    </row>
    <row r="3" spans="2:8" x14ac:dyDescent="0.25">
      <c r="B3" s="10" t="s">
        <v>12</v>
      </c>
      <c r="C3" s="11">
        <v>1</v>
      </c>
      <c r="D3" s="12" t="s">
        <v>62</v>
      </c>
      <c r="F3" s="10" t="s">
        <v>65</v>
      </c>
      <c r="G3" s="31">
        <f>C7</f>
        <v>0.5</v>
      </c>
      <c r="H3" s="12" t="s">
        <v>63</v>
      </c>
    </row>
    <row r="4" spans="2:8" x14ac:dyDescent="0.25">
      <c r="B4" s="10" t="s">
        <v>13</v>
      </c>
      <c r="C4" s="11">
        <v>2</v>
      </c>
      <c r="D4" s="12" t="s">
        <v>62</v>
      </c>
      <c r="F4" s="10" t="s">
        <v>66</v>
      </c>
      <c r="G4" s="11">
        <f>C8</f>
        <v>5</v>
      </c>
      <c r="H4" s="12" t="s">
        <v>62</v>
      </c>
    </row>
    <row r="5" spans="2:8" x14ac:dyDescent="0.25">
      <c r="B5" s="10" t="s">
        <v>14</v>
      </c>
      <c r="C5" s="11">
        <v>1</v>
      </c>
      <c r="D5" s="12" t="s">
        <v>62</v>
      </c>
      <c r="F5" s="10" t="s">
        <v>67</v>
      </c>
      <c r="G5" s="20">
        <f>C10</f>
        <v>1</v>
      </c>
      <c r="H5" s="12" t="s">
        <v>63</v>
      </c>
    </row>
    <row r="6" spans="2:8" x14ac:dyDescent="0.25">
      <c r="B6" s="13" t="s">
        <v>15</v>
      </c>
      <c r="C6" s="21">
        <v>1</v>
      </c>
      <c r="D6" s="15" t="s">
        <v>62</v>
      </c>
      <c r="F6" s="10" t="s">
        <v>68</v>
      </c>
      <c r="G6" s="11">
        <f>C11</f>
        <v>5</v>
      </c>
      <c r="H6" s="12" t="s">
        <v>62</v>
      </c>
    </row>
    <row r="7" spans="2:8" x14ac:dyDescent="0.25">
      <c r="B7" s="17" t="s">
        <v>65</v>
      </c>
      <c r="C7" s="43">
        <f>MIN(1/C3,1/C4,1/C5,1/C6)</f>
        <v>0.5</v>
      </c>
      <c r="D7" s="19" t="s">
        <v>63</v>
      </c>
      <c r="F7" s="10" t="s">
        <v>69</v>
      </c>
      <c r="G7" s="20">
        <f>C13</f>
        <v>1</v>
      </c>
      <c r="H7" s="12" t="s">
        <v>63</v>
      </c>
    </row>
    <row r="8" spans="2:8" x14ac:dyDescent="0.25">
      <c r="B8" s="10" t="s">
        <v>66</v>
      </c>
      <c r="C8" s="20">
        <f>SUM(C3:C6)</f>
        <v>5</v>
      </c>
      <c r="D8" s="12" t="s">
        <v>64</v>
      </c>
      <c r="F8" s="10" t="s">
        <v>70</v>
      </c>
      <c r="G8" s="20">
        <f>C14</f>
        <v>4</v>
      </c>
      <c r="H8" s="12" t="s">
        <v>62</v>
      </c>
    </row>
    <row r="9" spans="2:8" x14ac:dyDescent="0.25">
      <c r="B9" s="17" t="s">
        <v>19</v>
      </c>
      <c r="C9" s="44">
        <v>2</v>
      </c>
      <c r="D9" s="19" t="s">
        <v>3</v>
      </c>
      <c r="F9" s="10" t="s">
        <v>71</v>
      </c>
      <c r="G9" s="31">
        <f>C16</f>
        <v>0.5</v>
      </c>
      <c r="H9" s="12" t="s">
        <v>63</v>
      </c>
    </row>
    <row r="10" spans="2:8" x14ac:dyDescent="0.25">
      <c r="B10" s="10" t="s">
        <v>67</v>
      </c>
      <c r="C10" s="20">
        <f>MIN(1/C3,1/(C4/C9),1/C5,1/C6)</f>
        <v>1</v>
      </c>
      <c r="D10" s="12" t="s">
        <v>63</v>
      </c>
      <c r="F10" s="10" t="s">
        <v>72</v>
      </c>
      <c r="G10" s="11">
        <f>C17</f>
        <v>5</v>
      </c>
      <c r="H10" s="12" t="s">
        <v>62</v>
      </c>
    </row>
    <row r="11" spans="2:8" x14ac:dyDescent="0.25">
      <c r="B11" s="13" t="s">
        <v>68</v>
      </c>
      <c r="C11" s="14">
        <f>C8</f>
        <v>5</v>
      </c>
      <c r="D11" s="15" t="s">
        <v>64</v>
      </c>
      <c r="F11" s="10" t="s">
        <v>73</v>
      </c>
      <c r="G11" s="31">
        <f>C19</f>
        <v>0.5</v>
      </c>
      <c r="H11" s="12" t="s">
        <v>63</v>
      </c>
    </row>
    <row r="12" spans="2:8" x14ac:dyDescent="0.25">
      <c r="B12" s="17" t="s">
        <v>13</v>
      </c>
      <c r="C12" s="44">
        <v>1</v>
      </c>
      <c r="D12" s="19" t="s">
        <v>62</v>
      </c>
      <c r="F12" s="13" t="s">
        <v>74</v>
      </c>
      <c r="G12" s="21">
        <f>C20</f>
        <v>4.5</v>
      </c>
      <c r="H12" s="12" t="s">
        <v>62</v>
      </c>
    </row>
    <row r="13" spans="2:8" x14ac:dyDescent="0.25">
      <c r="B13" s="10" t="s">
        <v>69</v>
      </c>
      <c r="C13" s="20">
        <f>MIN(1/C3,1/C12,1/C5,1/C6)</f>
        <v>1</v>
      </c>
      <c r="D13" s="12" t="s">
        <v>63</v>
      </c>
      <c r="F13" s="6"/>
      <c r="G13" s="6"/>
      <c r="H13" s="18"/>
    </row>
    <row r="14" spans="2:8" x14ac:dyDescent="0.25">
      <c r="B14" s="13" t="s">
        <v>70</v>
      </c>
      <c r="C14" s="14">
        <f>SUM(C3,C5:C6,C12)</f>
        <v>4</v>
      </c>
      <c r="D14" s="15" t="s">
        <v>64</v>
      </c>
      <c r="F14" s="6"/>
      <c r="G14" s="6"/>
      <c r="H14" s="6"/>
    </row>
    <row r="15" spans="2:8" x14ac:dyDescent="0.25">
      <c r="B15" s="17" t="s">
        <v>18</v>
      </c>
      <c r="C15" s="44">
        <v>2</v>
      </c>
      <c r="D15" s="19" t="s">
        <v>3</v>
      </c>
      <c r="F15" s="6"/>
      <c r="G15" s="6"/>
      <c r="H15" s="6"/>
    </row>
    <row r="16" spans="2:8" x14ac:dyDescent="0.25">
      <c r="B16" s="10" t="s">
        <v>71</v>
      </c>
      <c r="C16" s="31">
        <f>MIN(1/(C3/C15),1/C4,1/C5,1/C6)</f>
        <v>0.5</v>
      </c>
      <c r="D16" s="12" t="s">
        <v>63</v>
      </c>
      <c r="F16" s="6"/>
      <c r="G16" s="6"/>
      <c r="H16" s="6"/>
    </row>
    <row r="17" spans="2:8" x14ac:dyDescent="0.25">
      <c r="B17" s="13" t="s">
        <v>72</v>
      </c>
      <c r="C17" s="14">
        <f>C8</f>
        <v>5</v>
      </c>
      <c r="D17" s="15" t="s">
        <v>64</v>
      </c>
      <c r="F17" s="6"/>
      <c r="G17" s="6"/>
      <c r="H17" s="6"/>
    </row>
    <row r="18" spans="2:8" x14ac:dyDescent="0.25">
      <c r="B18" s="17" t="s">
        <v>12</v>
      </c>
      <c r="C18" s="18">
        <v>0.5</v>
      </c>
      <c r="D18" s="19" t="s">
        <v>62</v>
      </c>
      <c r="F18" s="6"/>
      <c r="G18" s="6"/>
      <c r="H18" s="6"/>
    </row>
    <row r="19" spans="2:8" x14ac:dyDescent="0.25">
      <c r="B19" s="10" t="s">
        <v>73</v>
      </c>
      <c r="C19" s="31">
        <f>MIN(1/C18,1/C4,1/C5,1/C6)</f>
        <v>0.5</v>
      </c>
      <c r="D19" s="12" t="s">
        <v>63</v>
      </c>
      <c r="F19" s="6"/>
      <c r="G19" s="6"/>
      <c r="H19" s="6"/>
    </row>
    <row r="20" spans="2:8" x14ac:dyDescent="0.25">
      <c r="B20" s="13" t="s">
        <v>74</v>
      </c>
      <c r="C20" s="16">
        <f>SUM(C4,C5:C6,C18)</f>
        <v>4.5</v>
      </c>
      <c r="D20" s="15" t="s">
        <v>64</v>
      </c>
      <c r="F20" s="6"/>
      <c r="G20" s="6"/>
      <c r="H20" s="6"/>
    </row>
    <row r="21" spans="2:8" s="6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"/>
  <sheetViews>
    <sheetView workbookViewId="0"/>
  </sheetViews>
  <sheetFormatPr defaultRowHeight="15.75" x14ac:dyDescent="0.25"/>
  <cols>
    <col min="1" max="1" width="3.7109375" style="6" customWidth="1"/>
    <col min="2" max="2" width="10.28515625" style="1" bestFit="1" customWidth="1"/>
    <col min="3" max="3" width="9.140625" style="1"/>
    <col min="4" max="4" width="14.28515625" style="1" bestFit="1" customWidth="1"/>
    <col min="5" max="5" width="3.7109375" style="6" customWidth="1"/>
    <col min="6" max="6" width="10.28515625" style="1" bestFit="1" customWidth="1"/>
    <col min="7" max="7" width="9.140625" style="1"/>
    <col min="8" max="8" width="12.85546875" style="1" bestFit="1" customWidth="1"/>
    <col min="9" max="9" width="3.7109375" style="6" customWidth="1"/>
    <col min="10" max="16384" width="9.140625" style="1"/>
  </cols>
  <sheetData>
    <row r="1" spans="2:27" s="6" customFormat="1" x14ac:dyDescent="0.25"/>
    <row r="2" spans="2:27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9" t="s">
        <v>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2:27" x14ac:dyDescent="0.25">
      <c r="B3" s="10" t="s">
        <v>18</v>
      </c>
      <c r="C3" s="11">
        <v>5</v>
      </c>
      <c r="D3" s="12" t="s">
        <v>3</v>
      </c>
      <c r="F3" s="10" t="s">
        <v>40</v>
      </c>
      <c r="G3" s="11">
        <f>C12</f>
        <v>20</v>
      </c>
      <c r="H3" s="12" t="s">
        <v>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2:27" x14ac:dyDescent="0.25">
      <c r="B4" s="10" t="s">
        <v>12</v>
      </c>
      <c r="C4" s="11">
        <v>15</v>
      </c>
      <c r="D4" s="12" t="s">
        <v>16</v>
      </c>
      <c r="F4" s="10" t="s">
        <v>41</v>
      </c>
      <c r="G4" s="11">
        <f t="shared" ref="G4:G5" si="0">C13</f>
        <v>0.8</v>
      </c>
      <c r="H4" s="12" t="s">
        <v>64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2:27" x14ac:dyDescent="0.25">
      <c r="B5" s="10" t="s">
        <v>19</v>
      </c>
      <c r="C5" s="11">
        <v>12</v>
      </c>
      <c r="D5" s="12" t="s">
        <v>3</v>
      </c>
      <c r="F5" s="10" t="s">
        <v>42</v>
      </c>
      <c r="G5" s="11">
        <f t="shared" si="0"/>
        <v>16</v>
      </c>
      <c r="H5" s="12" t="s">
        <v>77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2:27" x14ac:dyDescent="0.25">
      <c r="B6" s="10" t="s">
        <v>13</v>
      </c>
      <c r="C6" s="11">
        <v>30</v>
      </c>
      <c r="D6" s="12" t="s">
        <v>16</v>
      </c>
      <c r="F6" s="17" t="s">
        <v>78</v>
      </c>
      <c r="G6" s="18">
        <f>C15</f>
        <v>20</v>
      </c>
      <c r="H6" s="19" t="s">
        <v>77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2:27" x14ac:dyDescent="0.25">
      <c r="B7" s="10" t="s">
        <v>20</v>
      </c>
      <c r="C7" s="11">
        <v>1</v>
      </c>
      <c r="D7" s="12" t="s">
        <v>3</v>
      </c>
      <c r="F7" s="10" t="s">
        <v>80</v>
      </c>
      <c r="G7" s="20">
        <f>C16</f>
        <v>1</v>
      </c>
      <c r="H7" s="12" t="s">
        <v>82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x14ac:dyDescent="0.25">
      <c r="B8" s="13" t="s">
        <v>14</v>
      </c>
      <c r="C8" s="21">
        <v>3</v>
      </c>
      <c r="D8" s="15" t="s">
        <v>16</v>
      </c>
      <c r="F8" s="10" t="s">
        <v>79</v>
      </c>
      <c r="G8" s="20">
        <f t="shared" ref="G8:G9" si="1">C17</f>
        <v>16</v>
      </c>
      <c r="H8" s="12" t="s">
        <v>82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2:27" x14ac:dyDescent="0.25">
      <c r="B9" s="17" t="s">
        <v>22</v>
      </c>
      <c r="C9" s="18">
        <f>(60/C4)*C3</f>
        <v>20</v>
      </c>
      <c r="D9" s="19" t="s">
        <v>8</v>
      </c>
      <c r="F9" s="13" t="s">
        <v>81</v>
      </c>
      <c r="G9" s="14">
        <f t="shared" si="1"/>
        <v>1.75</v>
      </c>
      <c r="H9" s="15" t="s">
        <v>82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2:27" x14ac:dyDescent="0.25">
      <c r="B10" s="10" t="s">
        <v>23</v>
      </c>
      <c r="C10" s="11">
        <f>(60/C6)*C5</f>
        <v>24</v>
      </c>
      <c r="D10" s="12" t="s">
        <v>8</v>
      </c>
      <c r="F10" s="10" t="s">
        <v>86</v>
      </c>
      <c r="G10" s="20">
        <f>C19</f>
        <v>18</v>
      </c>
      <c r="H10" s="12" t="s">
        <v>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2:27" x14ac:dyDescent="0.25">
      <c r="B11" s="10" t="s">
        <v>24</v>
      </c>
      <c r="C11" s="11">
        <f>(60/C8)*C7</f>
        <v>20</v>
      </c>
      <c r="D11" s="12" t="s">
        <v>8</v>
      </c>
      <c r="F11" s="10" t="s">
        <v>83</v>
      </c>
      <c r="G11" s="11">
        <f>C20</f>
        <v>14.4</v>
      </c>
      <c r="H11" s="12" t="s">
        <v>77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2:27" x14ac:dyDescent="0.25">
      <c r="B12" s="10" t="s">
        <v>40</v>
      </c>
      <c r="C12" s="11">
        <f>MIN(C9:C11)</f>
        <v>20</v>
      </c>
      <c r="D12" s="12" t="s">
        <v>8</v>
      </c>
      <c r="F12" s="10" t="s">
        <v>84</v>
      </c>
      <c r="G12" s="11" t="str">
        <f t="shared" ref="G12:G13" si="2">C21</f>
        <v>&gt; 135</v>
      </c>
      <c r="H12" s="12" t="s">
        <v>77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2:27" x14ac:dyDescent="0.25">
      <c r="B13" s="10" t="s">
        <v>41</v>
      </c>
      <c r="C13" s="11">
        <f>SUM(C8,C6,C4)/60</f>
        <v>0.8</v>
      </c>
      <c r="D13" s="12" t="s">
        <v>82</v>
      </c>
      <c r="F13" s="13" t="s">
        <v>85</v>
      </c>
      <c r="G13" s="21">
        <f t="shared" si="2"/>
        <v>134.99999999999994</v>
      </c>
      <c r="H13" s="15" t="s">
        <v>77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2:27" x14ac:dyDescent="0.25">
      <c r="B14" s="13" t="s">
        <v>42</v>
      </c>
      <c r="C14" s="21">
        <f>(C13)*C12</f>
        <v>16</v>
      </c>
      <c r="D14" s="15" t="s">
        <v>77</v>
      </c>
      <c r="F14" s="6"/>
      <c r="G14" s="6"/>
      <c r="H14" s="6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2:27" x14ac:dyDescent="0.25">
      <c r="B15" s="17" t="s">
        <v>78</v>
      </c>
      <c r="C15" s="18">
        <v>20</v>
      </c>
      <c r="D15" s="19" t="s">
        <v>77</v>
      </c>
      <c r="F15" s="6"/>
      <c r="G15" s="6"/>
      <c r="H15" s="6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2:27" x14ac:dyDescent="0.25">
      <c r="B16" s="10" t="s">
        <v>80</v>
      </c>
      <c r="C16" s="20">
        <f>C15/C12</f>
        <v>1</v>
      </c>
      <c r="D16" s="12" t="s">
        <v>82</v>
      </c>
      <c r="F16" s="6"/>
      <c r="G16" s="6"/>
      <c r="H16" s="6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2:27" x14ac:dyDescent="0.25">
      <c r="B17" s="10" t="s">
        <v>79</v>
      </c>
      <c r="C17" s="11">
        <f>C15*C13</f>
        <v>16</v>
      </c>
      <c r="D17" s="12" t="s">
        <v>82</v>
      </c>
      <c r="F17" s="6"/>
      <c r="G17" s="6"/>
      <c r="H17" s="6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2:27" x14ac:dyDescent="0.25">
      <c r="B18" s="13" t="s">
        <v>81</v>
      </c>
      <c r="C18" s="21">
        <f>C13+((C15-1)/C12)</f>
        <v>1.75</v>
      </c>
      <c r="D18" s="15" t="s">
        <v>82</v>
      </c>
      <c r="F18" s="6"/>
      <c r="G18" s="6"/>
      <c r="H18" s="6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2:27" x14ac:dyDescent="0.25">
      <c r="B19" s="17" t="s">
        <v>86</v>
      </c>
      <c r="C19" s="44">
        <f>0.9*C12</f>
        <v>18</v>
      </c>
      <c r="D19" s="19" t="s">
        <v>8</v>
      </c>
      <c r="F19" s="6"/>
      <c r="G19" s="6"/>
      <c r="H19" s="6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2:27" x14ac:dyDescent="0.25">
      <c r="B20" s="10" t="s">
        <v>83</v>
      </c>
      <c r="C20" s="11">
        <f>C19*C13</f>
        <v>14.4</v>
      </c>
      <c r="D20" s="12" t="s">
        <v>77</v>
      </c>
      <c r="F20" s="6"/>
      <c r="G20" s="6"/>
      <c r="H20" s="6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2:27" x14ac:dyDescent="0.25">
      <c r="B21" s="10" t="s">
        <v>84</v>
      </c>
      <c r="C21" s="11" t="s">
        <v>87</v>
      </c>
      <c r="D21" s="12" t="s">
        <v>77</v>
      </c>
      <c r="F21" s="6"/>
      <c r="G21" s="6"/>
      <c r="H21" s="6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2:27" x14ac:dyDescent="0.25">
      <c r="B22" s="13" t="s">
        <v>85</v>
      </c>
      <c r="C22" s="21">
        <f>(C14-1)/((C12/C19)-1)</f>
        <v>134.99999999999994</v>
      </c>
      <c r="D22" s="15" t="s">
        <v>77</v>
      </c>
      <c r="F22" s="6"/>
      <c r="G22" s="6"/>
      <c r="H22" s="6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2:27" s="6" customFormat="1" x14ac:dyDescent="0.25"/>
    <row r="24" spans="2:27" x14ac:dyDescent="0.25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2:27" x14ac:dyDescent="0.25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2:27" x14ac:dyDescent="0.25"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2:27" x14ac:dyDescent="0.25"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2:27" x14ac:dyDescent="0.25"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2:27" x14ac:dyDescent="0.25"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2:27" x14ac:dyDescent="0.25"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2:27" x14ac:dyDescent="0.25"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2:27" x14ac:dyDescent="0.25"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0:27" x14ac:dyDescent="0.25"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0:27" x14ac:dyDescent="0.25"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0:27" x14ac:dyDescent="0.25"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0:27" x14ac:dyDescent="0.25"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0:27" x14ac:dyDescent="0.25"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0:27" x14ac:dyDescent="0.25"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0:27" x14ac:dyDescent="0.25"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0:27" x14ac:dyDescent="0.25"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0:27" x14ac:dyDescent="0.25"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0:27" x14ac:dyDescent="0.25"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0:27" x14ac:dyDescent="0.25"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0:27" x14ac:dyDescent="0.25"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0:27" x14ac:dyDescent="0.25"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0:27" x14ac:dyDescent="0.25"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0:27" x14ac:dyDescent="0.25"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0:27" x14ac:dyDescent="0.25"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0:27" x14ac:dyDescent="0.25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5.75" x14ac:dyDescent="0.25"/>
  <cols>
    <col min="1" max="1" width="3.7109375" style="6" customWidth="1"/>
    <col min="2" max="2" width="14.28515625" style="1" bestFit="1" customWidth="1"/>
    <col min="3" max="3" width="9.140625" style="1"/>
    <col min="4" max="4" width="14.28515625" style="1" bestFit="1" customWidth="1"/>
    <col min="5" max="5" width="3.7109375" style="6" customWidth="1"/>
    <col min="6" max="6" width="18.28515625" style="1" bestFit="1" customWidth="1"/>
    <col min="7" max="7" width="9.140625" style="1"/>
    <col min="8" max="8" width="12.85546875" style="1" bestFit="1" customWidth="1"/>
    <col min="9" max="9" width="3.7109375" style="6" customWidth="1"/>
    <col min="10" max="16384" width="9.140625" style="1"/>
  </cols>
  <sheetData>
    <row r="1" spans="2:8" s="6" customFormat="1" x14ac:dyDescent="0.25"/>
    <row r="2" spans="2:8" x14ac:dyDescent="0.25">
      <c r="B2" s="7" t="s">
        <v>0</v>
      </c>
      <c r="C2" s="8" t="s">
        <v>1</v>
      </c>
      <c r="D2" s="9" t="s">
        <v>2</v>
      </c>
      <c r="F2" s="7" t="s">
        <v>0</v>
      </c>
      <c r="G2" s="8" t="s">
        <v>1</v>
      </c>
      <c r="H2" s="9" t="s">
        <v>2</v>
      </c>
    </row>
    <row r="3" spans="2:8" x14ac:dyDescent="0.25">
      <c r="B3" s="10" t="s">
        <v>88</v>
      </c>
      <c r="C3" s="11">
        <v>4</v>
      </c>
      <c r="D3" s="12" t="s">
        <v>3</v>
      </c>
      <c r="F3" s="10" t="s">
        <v>108</v>
      </c>
      <c r="G3" s="11">
        <f>C23</f>
        <v>40</v>
      </c>
      <c r="H3" s="12" t="s">
        <v>8</v>
      </c>
    </row>
    <row r="4" spans="2:8" x14ac:dyDescent="0.25">
      <c r="B4" s="10" t="s">
        <v>93</v>
      </c>
      <c r="C4" s="11">
        <v>4</v>
      </c>
      <c r="D4" s="12" t="s">
        <v>16</v>
      </c>
      <c r="F4" s="10" t="s">
        <v>109</v>
      </c>
      <c r="G4" s="11">
        <f t="shared" ref="G4:G8" si="0">C24</f>
        <v>0.22</v>
      </c>
      <c r="H4" s="12" t="s">
        <v>82</v>
      </c>
    </row>
    <row r="5" spans="2:8" x14ac:dyDescent="0.25">
      <c r="B5" s="10" t="s">
        <v>94</v>
      </c>
      <c r="C5" s="11">
        <v>15</v>
      </c>
      <c r="D5" s="12" t="s">
        <v>8</v>
      </c>
      <c r="F5" s="10" t="s">
        <v>110</v>
      </c>
      <c r="G5" s="11">
        <f t="shared" si="0"/>
        <v>8.8000000000000007</v>
      </c>
      <c r="H5" s="12" t="s">
        <v>77</v>
      </c>
    </row>
    <row r="6" spans="2:8" x14ac:dyDescent="0.25">
      <c r="B6" s="10" t="s">
        <v>89</v>
      </c>
      <c r="C6" s="11">
        <v>4</v>
      </c>
      <c r="D6" s="12" t="s">
        <v>3</v>
      </c>
      <c r="F6" s="10" t="s">
        <v>111</v>
      </c>
      <c r="G6" s="11">
        <f t="shared" si="0"/>
        <v>120</v>
      </c>
      <c r="H6" s="12" t="s">
        <v>8</v>
      </c>
    </row>
    <row r="7" spans="2:8" x14ac:dyDescent="0.25">
      <c r="B7" s="10" t="s">
        <v>91</v>
      </c>
      <c r="C7" s="11">
        <v>5</v>
      </c>
      <c r="D7" s="12" t="s">
        <v>16</v>
      </c>
      <c r="F7" s="10" t="s">
        <v>112</v>
      </c>
      <c r="G7" s="29">
        <f t="shared" si="0"/>
        <v>3.2666666666666663E-2</v>
      </c>
      <c r="H7" s="12" t="s">
        <v>82</v>
      </c>
    </row>
    <row r="8" spans="2:8" x14ac:dyDescent="0.25">
      <c r="B8" s="10" t="s">
        <v>95</v>
      </c>
      <c r="C8" s="11">
        <v>12</v>
      </c>
      <c r="D8" s="12" t="s">
        <v>8</v>
      </c>
      <c r="F8" s="13" t="s">
        <v>113</v>
      </c>
      <c r="G8" s="21">
        <f t="shared" si="0"/>
        <v>3.9199999999999995</v>
      </c>
      <c r="H8" s="15" t="s">
        <v>77</v>
      </c>
    </row>
    <row r="9" spans="2:8" x14ac:dyDescent="0.25">
      <c r="B9" s="10" t="s">
        <v>90</v>
      </c>
      <c r="C9" s="11">
        <v>2</v>
      </c>
      <c r="D9" s="12" t="s">
        <v>3</v>
      </c>
      <c r="F9" s="10" t="s">
        <v>114</v>
      </c>
      <c r="G9" s="31">
        <f>C31</f>
        <v>10.195</v>
      </c>
      <c r="H9" s="12" t="s">
        <v>82</v>
      </c>
    </row>
    <row r="10" spans="2:8" x14ac:dyDescent="0.25">
      <c r="B10" s="10" t="s">
        <v>96</v>
      </c>
      <c r="C10" s="11">
        <v>3</v>
      </c>
      <c r="D10" s="12" t="s">
        <v>16</v>
      </c>
      <c r="F10" s="10" t="s">
        <v>115</v>
      </c>
      <c r="G10" s="31">
        <f>C32</f>
        <v>39.234919077979399</v>
      </c>
      <c r="H10" s="12" t="s">
        <v>8</v>
      </c>
    </row>
    <row r="11" spans="2:8" x14ac:dyDescent="0.25">
      <c r="B11" s="10" t="s">
        <v>92</v>
      </c>
      <c r="C11" s="11">
        <v>20</v>
      </c>
      <c r="D11" s="12" t="s">
        <v>8</v>
      </c>
      <c r="F11" s="10" t="s">
        <v>120</v>
      </c>
      <c r="G11" s="31">
        <f>315/8</f>
        <v>39.375</v>
      </c>
      <c r="H11" s="12" t="s">
        <v>8</v>
      </c>
    </row>
    <row r="12" spans="2:8" x14ac:dyDescent="0.25">
      <c r="B12" s="10" t="s">
        <v>97</v>
      </c>
      <c r="C12" s="11">
        <v>1</v>
      </c>
      <c r="D12" s="12" t="s">
        <v>3</v>
      </c>
      <c r="F12" s="10" t="s">
        <v>116</v>
      </c>
      <c r="G12" s="31">
        <f>C33</f>
        <v>2.9409999999999998</v>
      </c>
      <c r="H12" s="12" t="s">
        <v>82</v>
      </c>
    </row>
    <row r="13" spans="2:8" x14ac:dyDescent="0.25">
      <c r="B13" s="10" t="s">
        <v>98</v>
      </c>
      <c r="C13" s="11">
        <v>1.2</v>
      </c>
      <c r="D13" s="12" t="s">
        <v>16</v>
      </c>
      <c r="F13" s="10" t="s">
        <v>117</v>
      </c>
      <c r="G13" s="20">
        <f>C34</f>
        <v>119.0071404284257</v>
      </c>
      <c r="H13" s="12" t="s">
        <v>8</v>
      </c>
    </row>
    <row r="14" spans="2:8" x14ac:dyDescent="0.25">
      <c r="B14" s="10" t="s">
        <v>99</v>
      </c>
      <c r="C14" s="11">
        <v>50</v>
      </c>
      <c r="D14" s="12" t="s">
        <v>8</v>
      </c>
      <c r="F14" s="13" t="s">
        <v>121</v>
      </c>
      <c r="G14" s="14">
        <f>680/8</f>
        <v>85</v>
      </c>
      <c r="H14" s="15" t="s">
        <v>8</v>
      </c>
    </row>
    <row r="15" spans="2:8" x14ac:dyDescent="0.25">
      <c r="B15" s="10" t="s">
        <v>100</v>
      </c>
      <c r="C15" s="11">
        <v>0.5</v>
      </c>
      <c r="D15" s="12" t="s">
        <v>16</v>
      </c>
      <c r="F15" s="6"/>
      <c r="G15" s="6"/>
      <c r="H15" s="6"/>
    </row>
    <row r="16" spans="2:8" x14ac:dyDescent="0.25">
      <c r="B16" s="10" t="s">
        <v>101</v>
      </c>
      <c r="C16" s="11">
        <v>120</v>
      </c>
      <c r="D16" s="12" t="s">
        <v>8</v>
      </c>
      <c r="F16" s="6"/>
      <c r="G16" s="6"/>
      <c r="H16" s="6"/>
    </row>
    <row r="17" spans="2:8" x14ac:dyDescent="0.25">
      <c r="B17" s="10" t="s">
        <v>102</v>
      </c>
      <c r="C17" s="11">
        <v>0.5</v>
      </c>
      <c r="D17" s="12" t="s">
        <v>16</v>
      </c>
      <c r="F17" s="6"/>
      <c r="G17" s="6"/>
      <c r="H17" s="6"/>
    </row>
    <row r="18" spans="2:8" x14ac:dyDescent="0.25">
      <c r="B18" s="10" t="s">
        <v>103</v>
      </c>
      <c r="C18" s="11">
        <v>120</v>
      </c>
      <c r="D18" s="12" t="s">
        <v>8</v>
      </c>
      <c r="F18" s="6"/>
      <c r="G18" s="6"/>
      <c r="H18" s="6"/>
    </row>
    <row r="19" spans="2:8" x14ac:dyDescent="0.25">
      <c r="B19" s="10" t="s">
        <v>104</v>
      </c>
      <c r="C19" s="11">
        <v>0.48</v>
      </c>
      <c r="D19" s="12" t="s">
        <v>16</v>
      </c>
      <c r="F19" s="6"/>
      <c r="G19" s="6"/>
      <c r="H19" s="6"/>
    </row>
    <row r="20" spans="2:8" x14ac:dyDescent="0.25">
      <c r="B20" s="10" t="s">
        <v>105</v>
      </c>
      <c r="C20" s="11">
        <v>125</v>
      </c>
      <c r="D20" s="12" t="s">
        <v>8</v>
      </c>
      <c r="F20" s="6"/>
      <c r="G20" s="6"/>
      <c r="H20" s="6"/>
    </row>
    <row r="21" spans="2:8" x14ac:dyDescent="0.25">
      <c r="B21" s="10" t="s">
        <v>106</v>
      </c>
      <c r="C21" s="11">
        <v>0.48</v>
      </c>
      <c r="D21" s="12" t="s">
        <v>16</v>
      </c>
      <c r="F21" s="6"/>
      <c r="G21" s="6"/>
      <c r="H21" s="6"/>
    </row>
    <row r="22" spans="2:8" x14ac:dyDescent="0.25">
      <c r="B22" s="13" t="s">
        <v>107</v>
      </c>
      <c r="C22" s="21">
        <v>125</v>
      </c>
      <c r="D22" s="15" t="s">
        <v>8</v>
      </c>
      <c r="F22" s="6"/>
      <c r="G22" s="6"/>
      <c r="H22" s="6"/>
    </row>
    <row r="23" spans="2:8" x14ac:dyDescent="0.25">
      <c r="B23" s="10" t="s">
        <v>108</v>
      </c>
      <c r="C23" s="11">
        <f>MIN(C3*C5,C6*C8,C9*C11,C12*C14)</f>
        <v>40</v>
      </c>
      <c r="D23" s="12" t="s">
        <v>8</v>
      </c>
      <c r="F23" s="6"/>
      <c r="G23" s="6"/>
      <c r="H23" s="6"/>
    </row>
    <row r="24" spans="2:8" x14ac:dyDescent="0.25">
      <c r="B24" s="10" t="s">
        <v>109</v>
      </c>
      <c r="C24" s="11">
        <f>SUM(C4,C7,C10,C13)/60</f>
        <v>0.22</v>
      </c>
      <c r="D24" s="12" t="s">
        <v>82</v>
      </c>
      <c r="F24" s="6"/>
      <c r="G24" s="6"/>
      <c r="H24" s="6"/>
    </row>
    <row r="25" spans="2:8" x14ac:dyDescent="0.25">
      <c r="B25" s="13" t="s">
        <v>110</v>
      </c>
      <c r="C25" s="21">
        <f>C24*C23</f>
        <v>8.8000000000000007</v>
      </c>
      <c r="D25" s="15" t="s">
        <v>77</v>
      </c>
      <c r="F25" s="6"/>
      <c r="G25" s="6"/>
      <c r="H25" s="6"/>
    </row>
    <row r="26" spans="2:8" x14ac:dyDescent="0.25">
      <c r="B26" s="10" t="s">
        <v>111</v>
      </c>
      <c r="C26" s="11">
        <f>MIN(C22,C20,C18,C16)</f>
        <v>120</v>
      </c>
      <c r="D26" s="12" t="s">
        <v>8</v>
      </c>
      <c r="F26" s="6"/>
      <c r="G26" s="6"/>
      <c r="H26" s="6"/>
    </row>
    <row r="27" spans="2:8" x14ac:dyDescent="0.25">
      <c r="B27" s="10" t="s">
        <v>112</v>
      </c>
      <c r="C27" s="29">
        <f>SUM(C21,C19,C17,C15)/60</f>
        <v>3.2666666666666663E-2</v>
      </c>
      <c r="D27" s="12" t="s">
        <v>82</v>
      </c>
      <c r="F27" s="6"/>
      <c r="G27" s="6"/>
      <c r="H27" s="6"/>
    </row>
    <row r="28" spans="2:8" x14ac:dyDescent="0.25">
      <c r="B28" s="10" t="s">
        <v>113</v>
      </c>
      <c r="C28" s="31">
        <f>C27*C26</f>
        <v>3.9199999999999995</v>
      </c>
      <c r="D28" s="12" t="s">
        <v>77</v>
      </c>
      <c r="F28" s="6"/>
      <c r="G28" s="6"/>
      <c r="H28" s="6"/>
    </row>
    <row r="29" spans="2:8" x14ac:dyDescent="0.25">
      <c r="B29" s="17" t="s">
        <v>118</v>
      </c>
      <c r="C29" s="18">
        <v>400</v>
      </c>
      <c r="D29" s="19" t="s">
        <v>77</v>
      </c>
      <c r="F29" s="6"/>
      <c r="G29" s="6"/>
      <c r="H29" s="6"/>
    </row>
    <row r="30" spans="2:8" x14ac:dyDescent="0.25">
      <c r="B30" s="10" t="s">
        <v>119</v>
      </c>
      <c r="C30" s="11">
        <v>350</v>
      </c>
      <c r="D30" s="12" t="s">
        <v>77</v>
      </c>
      <c r="F30" s="6"/>
      <c r="G30" s="6"/>
      <c r="H30" s="6"/>
    </row>
    <row r="31" spans="2:8" x14ac:dyDescent="0.25">
      <c r="B31" s="10" t="s">
        <v>114</v>
      </c>
      <c r="C31" s="31">
        <f>C24+((C29-1)/C23)</f>
        <v>10.195</v>
      </c>
      <c r="D31" s="12" t="s">
        <v>82</v>
      </c>
      <c r="F31" s="6"/>
      <c r="G31" s="6"/>
      <c r="H31" s="6"/>
    </row>
    <row r="32" spans="2:8" x14ac:dyDescent="0.25">
      <c r="B32" s="10" t="s">
        <v>115</v>
      </c>
      <c r="C32" s="31">
        <f>(C29/(C25+C29-1))*C23</f>
        <v>39.234919077979399</v>
      </c>
      <c r="D32" s="12" t="s">
        <v>8</v>
      </c>
      <c r="F32" s="6"/>
      <c r="G32" s="6"/>
      <c r="H32" s="6"/>
    </row>
    <row r="33" spans="2:8" x14ac:dyDescent="0.25">
      <c r="B33" s="10" t="s">
        <v>116</v>
      </c>
      <c r="C33" s="31">
        <f>C27+((C30-1)/C26)</f>
        <v>2.9409999999999998</v>
      </c>
      <c r="D33" s="12" t="s">
        <v>82</v>
      </c>
      <c r="F33" s="6"/>
      <c r="G33" s="6"/>
      <c r="H33" s="6"/>
    </row>
    <row r="34" spans="2:8" x14ac:dyDescent="0.25">
      <c r="B34" s="13" t="s">
        <v>117</v>
      </c>
      <c r="C34" s="14">
        <f>(C30/(C28+C30-1))*C26</f>
        <v>119.0071404284257</v>
      </c>
      <c r="D34" s="15" t="s">
        <v>8</v>
      </c>
      <c r="F34" s="6"/>
      <c r="G34" s="6"/>
      <c r="H34" s="6"/>
    </row>
    <row r="35" spans="2:8" s="6" customFormat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defaultRowHeight="15.75" x14ac:dyDescent="0.25"/>
  <cols>
    <col min="1" max="1" width="3.7109375" style="6" customWidth="1"/>
    <col min="2" max="2" width="14.28515625" style="1" bestFit="1" customWidth="1"/>
    <col min="3" max="3" width="10.28515625" style="1" bestFit="1" customWidth="1"/>
    <col min="4" max="4" width="14.28515625" style="1" bestFit="1" customWidth="1"/>
    <col min="5" max="5" width="3.7109375" style="6" customWidth="1"/>
    <col min="6" max="16384" width="9.140625" style="1"/>
  </cols>
  <sheetData>
    <row r="1" spans="2:4" s="6" customFormat="1" x14ac:dyDescent="0.25"/>
    <row r="2" spans="2:4" x14ac:dyDescent="0.25">
      <c r="B2" s="7" t="s">
        <v>0</v>
      </c>
      <c r="C2" s="8" t="s">
        <v>1</v>
      </c>
      <c r="D2" s="9" t="s">
        <v>2</v>
      </c>
    </row>
    <row r="3" spans="2:4" x14ac:dyDescent="0.25">
      <c r="B3" s="10" t="s">
        <v>40</v>
      </c>
      <c r="C3" s="11">
        <v>2000</v>
      </c>
      <c r="D3" s="12" t="s">
        <v>125</v>
      </c>
    </row>
    <row r="4" spans="2:4" x14ac:dyDescent="0.25">
      <c r="B4" s="10" t="s">
        <v>41</v>
      </c>
      <c r="C4" s="49">
        <f>0.5/16</f>
        <v>3.125E-2</v>
      </c>
      <c r="D4" s="12" t="s">
        <v>122</v>
      </c>
    </row>
    <row r="5" spans="2:4" x14ac:dyDescent="0.25">
      <c r="B5" s="10" t="s">
        <v>123</v>
      </c>
      <c r="C5" s="11">
        <v>1700</v>
      </c>
      <c r="D5" s="12" t="s">
        <v>125</v>
      </c>
    </row>
    <row r="6" spans="2:4" x14ac:dyDescent="0.25">
      <c r="B6" s="10" t="s">
        <v>124</v>
      </c>
      <c r="C6" s="32">
        <f>3.5/16</f>
        <v>0.21875</v>
      </c>
      <c r="D6" s="12" t="s">
        <v>122</v>
      </c>
    </row>
    <row r="7" spans="2:4" x14ac:dyDescent="0.25">
      <c r="B7" s="10" t="s">
        <v>126</v>
      </c>
      <c r="C7" s="31">
        <f>C6*C5</f>
        <v>371.875</v>
      </c>
      <c r="D7" s="12" t="s">
        <v>77</v>
      </c>
    </row>
    <row r="8" spans="2:4" x14ac:dyDescent="0.25">
      <c r="B8" s="10" t="s">
        <v>81</v>
      </c>
      <c r="C8" s="32">
        <f>C4+((C7-1)/C3)</f>
        <v>0.21668750000000001</v>
      </c>
      <c r="D8" s="12" t="s">
        <v>122</v>
      </c>
    </row>
    <row r="9" spans="2:4" x14ac:dyDescent="0.25">
      <c r="B9" s="13" t="s">
        <v>127</v>
      </c>
      <c r="C9" s="14">
        <f>(C7/((C3*C4)+C7-1))*C3</f>
        <v>1716.1811364291896</v>
      </c>
      <c r="D9" s="15" t="s">
        <v>125</v>
      </c>
    </row>
    <row r="10" spans="2:4" s="6" customFormat="1" x14ac:dyDescent="0.25"/>
    <row r="11" spans="2:4" x14ac:dyDescent="0.25">
      <c r="C11" s="1">
        <f>C4*C3</f>
        <v>62.5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Information</vt:lpstr>
      <vt:lpstr>Problem 1</vt:lpstr>
      <vt:lpstr>Problem 2</vt:lpstr>
      <vt:lpstr>Problem 3</vt:lpstr>
      <vt:lpstr>Problems 4,6,7</vt:lpstr>
      <vt:lpstr>Problem 5</vt:lpstr>
      <vt:lpstr>Problem 8</vt:lpstr>
      <vt:lpstr>Problem 9</vt:lpstr>
      <vt:lpstr>Problem 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</dc:creator>
  <cp:lastModifiedBy>Nick Morris</cp:lastModifiedBy>
  <dcterms:created xsi:type="dcterms:W3CDTF">2015-10-30T19:14:26Z</dcterms:created>
  <dcterms:modified xsi:type="dcterms:W3CDTF">2015-10-31T02:36:26Z</dcterms:modified>
</cp:coreProperties>
</file>