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Current Classes\PP_S\HW 5\"/>
    </mc:Choice>
  </mc:AlternateContent>
  <bookViews>
    <workbookView xWindow="0" yWindow="0" windowWidth="28800" windowHeight="12435"/>
  </bookViews>
  <sheets>
    <sheet name="Problem 14" sheetId="6" r:id="rId1"/>
    <sheet name="Problem 15" sheetId="5" r:id="rId2"/>
    <sheet name="Problem 17 &amp; 18" sheetId="4" r:id="rId3"/>
    <sheet name="Problem 33" sheetId="2" r:id="rId4"/>
    <sheet name="Problem 34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4" l="1"/>
  <c r="G7" i="4"/>
  <c r="G5" i="2"/>
  <c r="G12" i="4"/>
  <c r="C34" i="6"/>
  <c r="C33" i="6"/>
  <c r="C32" i="6"/>
  <c r="G10" i="6"/>
  <c r="G11" i="6"/>
  <c r="G9" i="6"/>
  <c r="C22" i="6"/>
  <c r="C21" i="6"/>
  <c r="C20" i="6"/>
  <c r="C19" i="6"/>
  <c r="C18" i="6"/>
  <c r="C17" i="6"/>
  <c r="C31" i="6"/>
  <c r="C30" i="6"/>
  <c r="C29" i="6"/>
  <c r="C28" i="6"/>
  <c r="G12" i="1" l="1"/>
  <c r="G11" i="1"/>
  <c r="G4" i="1"/>
  <c r="G5" i="1"/>
  <c r="G6" i="1"/>
  <c r="G7" i="1"/>
  <c r="G8" i="1"/>
  <c r="G3" i="1"/>
  <c r="C20" i="1"/>
  <c r="C19" i="1"/>
  <c r="C18" i="1"/>
  <c r="C17" i="1"/>
  <c r="C15" i="1"/>
  <c r="C16" i="1"/>
  <c r="C14" i="1"/>
  <c r="C13" i="1"/>
  <c r="C19" i="4"/>
  <c r="C23" i="4" s="1"/>
  <c r="G20" i="4" s="1"/>
  <c r="C16" i="4"/>
  <c r="C12" i="1"/>
  <c r="C11" i="1"/>
  <c r="C10" i="1"/>
  <c r="C9" i="1"/>
  <c r="C7" i="1"/>
  <c r="G7" i="2"/>
  <c r="G6" i="2"/>
  <c r="G4" i="2"/>
  <c r="G3" i="2"/>
  <c r="C6" i="2"/>
  <c r="C4" i="2"/>
  <c r="C14" i="2"/>
  <c r="C13" i="2"/>
  <c r="C12" i="2"/>
  <c r="C11" i="2"/>
  <c r="C9" i="2"/>
  <c r="G19" i="4"/>
  <c r="G18" i="4"/>
  <c r="C22" i="4"/>
  <c r="C21" i="4"/>
  <c r="G13" i="4"/>
  <c r="G8" i="4"/>
  <c r="G6" i="4"/>
  <c r="G3" i="4"/>
  <c r="C18" i="4"/>
  <c r="C15" i="4"/>
  <c r="C13" i="4"/>
  <c r="C12" i="4"/>
  <c r="C14" i="4"/>
  <c r="C11" i="4"/>
  <c r="C4" i="4"/>
  <c r="G14" i="4" l="1"/>
  <c r="C20" i="4"/>
  <c r="G15" i="4" s="1"/>
  <c r="C12" i="5"/>
  <c r="C4" i="5"/>
  <c r="C18" i="5" s="1"/>
  <c r="C22" i="5"/>
  <c r="C23" i="5" s="1"/>
  <c r="C26" i="5" s="1"/>
  <c r="C8" i="5"/>
  <c r="G6" i="6"/>
  <c r="G5" i="6"/>
  <c r="G4" i="6"/>
  <c r="G3" i="6"/>
  <c r="C27" i="6"/>
  <c r="C26" i="6"/>
  <c r="C25" i="6"/>
  <c r="C24" i="6"/>
  <c r="C23" i="6"/>
  <c r="C12" i="6"/>
  <c r="C27" i="5" l="1"/>
  <c r="C13" i="5"/>
  <c r="C14" i="5" s="1"/>
  <c r="C21" i="5" s="1"/>
  <c r="C16" i="5"/>
  <c r="C25" i="5" s="1"/>
  <c r="C19" i="5"/>
  <c r="C20" i="5" s="1"/>
  <c r="C15" i="6"/>
  <c r="C13" i="6"/>
  <c r="C14" i="6"/>
  <c r="C11" i="6"/>
  <c r="C7" i="6" l="1"/>
  <c r="C8" i="6"/>
  <c r="C16" i="6" l="1"/>
</calcChain>
</file>

<file path=xl/sharedStrings.xml><?xml version="1.0" encoding="utf-8"?>
<sst xmlns="http://schemas.openxmlformats.org/spreadsheetml/2006/main" count="347" uniqueCount="101">
  <si>
    <t>c_hex</t>
  </si>
  <si>
    <t>[$/unit]</t>
  </si>
  <si>
    <t>c_molly</t>
  </si>
  <si>
    <t>K</t>
  </si>
  <si>
    <t>[$/order]</t>
  </si>
  <si>
    <t>interest</t>
  </si>
  <si>
    <t>[annual]</t>
  </si>
  <si>
    <t>lam_hex</t>
  </si>
  <si>
    <t>lam_molly</t>
  </si>
  <si>
    <t>[$/year]</t>
  </si>
  <si>
    <t>h_hex</t>
  </si>
  <si>
    <t>h_molly</t>
  </si>
  <si>
    <t>[$/unit/year]</t>
  </si>
  <si>
    <t>Metric</t>
  </si>
  <si>
    <t>Value</t>
  </si>
  <si>
    <t>Units</t>
  </si>
  <si>
    <t>Q*_hex</t>
  </si>
  <si>
    <t>T*_hex</t>
  </si>
  <si>
    <t>[years/order]</t>
  </si>
  <si>
    <t>[weeks/order]</t>
  </si>
  <si>
    <t>G(Q*)_hex</t>
  </si>
  <si>
    <t>G(Q*)_molly</t>
  </si>
  <si>
    <t>T*_molly</t>
  </si>
  <si>
    <t>Q*_molly</t>
  </si>
  <si>
    <t>G(Q*)_total</t>
  </si>
  <si>
    <t>G(Q|T*_hex)_total</t>
  </si>
  <si>
    <t>G(Q|T*_molly)_total</t>
  </si>
  <si>
    <t>(Q|T*_hex)_molly</t>
  </si>
  <si>
    <t>(Q|T*_molly)_hex</t>
  </si>
  <si>
    <t>H(Q|T*_hex)_total</t>
  </si>
  <si>
    <t>H(Q|T*_molly)_total</t>
  </si>
  <si>
    <t>lam</t>
  </si>
  <si>
    <t>c</t>
  </si>
  <si>
    <t>tau</t>
  </si>
  <si>
    <t>i_cap</t>
  </si>
  <si>
    <t>i_space</t>
  </si>
  <si>
    <t>[unit cost]</t>
  </si>
  <si>
    <t>i_tax</t>
  </si>
  <si>
    <t>h</t>
  </si>
  <si>
    <t>Q*</t>
  </si>
  <si>
    <t>T*</t>
  </si>
  <si>
    <t>[logical]</t>
  </si>
  <si>
    <t>[unit/year]</t>
  </si>
  <si>
    <t>[unit]</t>
  </si>
  <si>
    <t>[unit/order]</t>
  </si>
  <si>
    <t>[unit/month]</t>
  </si>
  <si>
    <t>tau &lt;= T*</t>
  </si>
  <si>
    <t>R</t>
  </si>
  <si>
    <t>p</t>
  </si>
  <si>
    <t>Revenue</t>
  </si>
  <si>
    <t>G(Q*)</t>
  </si>
  <si>
    <t>T_max</t>
  </si>
  <si>
    <t>tau &lt;= T_max</t>
  </si>
  <si>
    <t>Q|T_max</t>
  </si>
  <si>
    <t>[year/order]</t>
  </si>
  <si>
    <t>[week/order]</t>
  </si>
  <si>
    <t>G(Q|T_max)</t>
  </si>
  <si>
    <t>Profit(Q*)</t>
  </si>
  <si>
    <t>Profit(Q|T_max)</t>
  </si>
  <si>
    <t>P</t>
  </si>
  <si>
    <t>[$/run]</t>
  </si>
  <si>
    <t>i_MH</t>
  </si>
  <si>
    <t>d</t>
  </si>
  <si>
    <t>[days/year]</t>
  </si>
  <si>
    <t>[unit/day]</t>
  </si>
  <si>
    <t>T_1*</t>
  </si>
  <si>
    <t>T_2*</t>
  </si>
  <si>
    <t>[year]</t>
  </si>
  <si>
    <t>H(Q*)</t>
  </si>
  <si>
    <t>G(Q*|P=Inf)</t>
  </si>
  <si>
    <t>G Increase</t>
  </si>
  <si>
    <t>Q*|P=Inf</t>
  </si>
  <si>
    <t>i</t>
  </si>
  <si>
    <t>[$]</t>
  </si>
  <si>
    <t>I_max*</t>
  </si>
  <si>
    <t>c_US</t>
  </si>
  <si>
    <t>c_Sea</t>
  </si>
  <si>
    <t>[unit/week]</t>
  </si>
  <si>
    <t>tau_US</t>
  </si>
  <si>
    <t>tau_Sea</t>
  </si>
  <si>
    <t>h_US</t>
  </si>
  <si>
    <t>h_Sea</t>
  </si>
  <si>
    <t>Q*_US</t>
  </si>
  <si>
    <t>Q*_Sea</t>
  </si>
  <si>
    <t>H(Q*_US)</t>
  </si>
  <si>
    <t>H(Q*_Sea)</t>
  </si>
  <si>
    <t>K(Q*)</t>
  </si>
  <si>
    <t>K(Q*_US)</t>
  </si>
  <si>
    <t>K(Q*_Sea)</t>
  </si>
  <si>
    <t>P(Q*_US)</t>
  </si>
  <si>
    <t>P(Q*_Sea)</t>
  </si>
  <si>
    <t>K(Q|T*_hex)_total</t>
  </si>
  <si>
    <t>K(Q|T*_molly)_total</t>
  </si>
  <si>
    <t>H(Q*)_hex</t>
  </si>
  <si>
    <t>H(Q*)_molly</t>
  </si>
  <si>
    <t>K(Q*)_hex</t>
  </si>
  <si>
    <t>K(Q*)_molly</t>
  </si>
  <si>
    <t>HK(Q*)_total</t>
  </si>
  <si>
    <t>HK(Q|T*_hex)_total</t>
  </si>
  <si>
    <t>HK(Q|T*_molly)_total</t>
  </si>
  <si>
    <t>HK(Q*)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</si>
</sst>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9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7" xfId="1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6" fontId="2" fillId="0" borderId="0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166" fontId="2" fillId="0" borderId="7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4" fontId="2" fillId="0" borderId="0" xfId="0" applyNumberFormat="1" applyFont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166" fontId="2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center"/>
    </xf>
    <xf numFmtId="4" fontId="2" fillId="0" borderId="7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" fontId="2" fillId="0" borderId="7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2" fontId="2" fillId="0" borderId="7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  <xf numFmtId="9" fontId="2" fillId="0" borderId="0" xfId="2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 vertical="center"/>
    </xf>
    <xf numFmtId="9" fontId="2" fillId="0" borderId="0" xfId="2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9" fontId="2" fillId="0" borderId="7" xfId="2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5"/>
  <sheetViews>
    <sheetView tabSelected="1" workbookViewId="0"/>
  </sheetViews>
  <sheetFormatPr defaultRowHeight="15.75" x14ac:dyDescent="0.25"/>
  <cols>
    <col min="1" max="1" width="3.7109375" style="30" customWidth="1"/>
    <col min="2" max="2" width="27.5703125" style="1" bestFit="1" customWidth="1"/>
    <col min="3" max="3" width="14.28515625" style="1" bestFit="1" customWidth="1"/>
    <col min="4" max="4" width="18.28515625" style="1" customWidth="1"/>
    <col min="5" max="5" width="3.7109375" style="30" customWidth="1"/>
    <col min="6" max="6" width="27.5703125" style="1" bestFit="1" customWidth="1"/>
    <col min="7" max="7" width="10.28515625" style="1" bestFit="1" customWidth="1"/>
    <col min="8" max="8" width="18.28515625" style="1" bestFit="1" customWidth="1"/>
    <col min="9" max="9" width="3.7109375" style="30" customWidth="1"/>
    <col min="10" max="16384" width="9.140625" style="1"/>
  </cols>
  <sheetData>
    <row r="1" spans="2:8" s="30" customFormat="1" x14ac:dyDescent="0.25"/>
    <row r="2" spans="2:8" x14ac:dyDescent="0.25">
      <c r="B2" s="2" t="s">
        <v>13</v>
      </c>
      <c r="C2" s="3" t="s">
        <v>14</v>
      </c>
      <c r="D2" s="4" t="s">
        <v>15</v>
      </c>
      <c r="F2" s="2" t="s">
        <v>13</v>
      </c>
      <c r="G2" s="3" t="s">
        <v>14</v>
      </c>
      <c r="H2" s="4" t="s">
        <v>15</v>
      </c>
    </row>
    <row r="3" spans="2:8" x14ac:dyDescent="0.25">
      <c r="B3" s="5" t="s">
        <v>0</v>
      </c>
      <c r="C3" s="6">
        <v>0.15</v>
      </c>
      <c r="D3" s="7" t="s">
        <v>1</v>
      </c>
      <c r="F3" s="24" t="s">
        <v>16</v>
      </c>
      <c r="G3" s="19">
        <f>C11</f>
        <v>10327.955589886446</v>
      </c>
      <c r="H3" s="7" t="s">
        <v>44</v>
      </c>
    </row>
    <row r="4" spans="2:8" x14ac:dyDescent="0.25">
      <c r="B4" s="5" t="s">
        <v>2</v>
      </c>
      <c r="C4" s="6">
        <v>0.38</v>
      </c>
      <c r="D4" s="7" t="s">
        <v>1</v>
      </c>
      <c r="F4" s="24" t="s">
        <v>23</v>
      </c>
      <c r="G4" s="19">
        <f>C14</f>
        <v>5428.9671403063694</v>
      </c>
      <c r="H4" s="7" t="s">
        <v>44</v>
      </c>
    </row>
    <row r="5" spans="2:8" x14ac:dyDescent="0.25">
      <c r="B5" s="5" t="s">
        <v>3</v>
      </c>
      <c r="C5" s="6">
        <v>100</v>
      </c>
      <c r="D5" s="7" t="s">
        <v>4</v>
      </c>
      <c r="F5" s="24" t="s">
        <v>17</v>
      </c>
      <c r="G5" s="17">
        <f>C12</f>
        <v>0.51639777949432231</v>
      </c>
      <c r="H5" s="7" t="s">
        <v>18</v>
      </c>
    </row>
    <row r="6" spans="2:8" x14ac:dyDescent="0.25">
      <c r="B6" s="5" t="s">
        <v>5</v>
      </c>
      <c r="C6" s="8">
        <v>0.25</v>
      </c>
      <c r="D6" s="7" t="s">
        <v>6</v>
      </c>
      <c r="F6" s="25" t="s">
        <v>22</v>
      </c>
      <c r="G6" s="22">
        <f>C15</f>
        <v>0.38778336716474066</v>
      </c>
      <c r="H6" s="13" t="s">
        <v>18</v>
      </c>
    </row>
    <row r="7" spans="2:8" x14ac:dyDescent="0.25">
      <c r="B7" s="5" t="s">
        <v>10</v>
      </c>
      <c r="C7" s="9">
        <f>C6*C3</f>
        <v>3.7499999999999999E-2</v>
      </c>
      <c r="D7" s="7" t="s">
        <v>12</v>
      </c>
      <c r="F7" s="30"/>
      <c r="G7" s="30"/>
      <c r="H7" s="30"/>
    </row>
    <row r="8" spans="2:8" x14ac:dyDescent="0.25">
      <c r="B8" s="5" t="s">
        <v>11</v>
      </c>
      <c r="C8" s="9">
        <f>C6*C4</f>
        <v>9.5000000000000001E-2</v>
      </c>
      <c r="D8" s="7" t="s">
        <v>12</v>
      </c>
      <c r="F8" s="2" t="s">
        <v>13</v>
      </c>
      <c r="G8" s="3" t="s">
        <v>14</v>
      </c>
      <c r="H8" s="4" t="s">
        <v>15</v>
      </c>
    </row>
    <row r="9" spans="2:8" x14ac:dyDescent="0.25">
      <c r="B9" s="5" t="s">
        <v>7</v>
      </c>
      <c r="C9" s="10">
        <v>20000</v>
      </c>
      <c r="D9" s="7" t="s">
        <v>9</v>
      </c>
      <c r="F9" s="63" t="s">
        <v>97</v>
      </c>
      <c r="G9" s="61">
        <f>C32</f>
        <v>903.0502129498467</v>
      </c>
      <c r="H9" s="7" t="s">
        <v>9</v>
      </c>
    </row>
    <row r="10" spans="2:8" x14ac:dyDescent="0.25">
      <c r="B10" s="11" t="s">
        <v>8</v>
      </c>
      <c r="C10" s="12">
        <v>14000</v>
      </c>
      <c r="D10" s="13" t="s">
        <v>9</v>
      </c>
      <c r="F10" s="63" t="s">
        <v>98</v>
      </c>
      <c r="G10" s="61">
        <f t="shared" ref="G10:G11" si="0">C33</f>
        <v>924.35202529483684</v>
      </c>
      <c r="H10" s="7" t="s">
        <v>9</v>
      </c>
    </row>
    <row r="11" spans="2:8" x14ac:dyDescent="0.25">
      <c r="B11" s="14" t="s">
        <v>16</v>
      </c>
      <c r="C11" s="15">
        <f>SQRT((2*$C$5*C9)/C7)</f>
        <v>10327.955589886446</v>
      </c>
      <c r="D11" s="16" t="s">
        <v>44</v>
      </c>
      <c r="F11" s="64" t="s">
        <v>99</v>
      </c>
      <c r="G11" s="62">
        <f t="shared" si="0"/>
        <v>919.0465801804354</v>
      </c>
      <c r="H11" s="13" t="s">
        <v>9</v>
      </c>
    </row>
    <row r="12" spans="2:8" x14ac:dyDescent="0.25">
      <c r="B12" s="57" t="s">
        <v>17</v>
      </c>
      <c r="C12" s="17">
        <f>C11/C9</f>
        <v>0.51639777949432231</v>
      </c>
      <c r="D12" s="7" t="s">
        <v>18</v>
      </c>
      <c r="F12" s="30"/>
      <c r="G12" s="30"/>
      <c r="H12" s="30"/>
    </row>
    <row r="13" spans="2:8" x14ac:dyDescent="0.25">
      <c r="B13" s="57"/>
      <c r="C13" s="18">
        <f>C12*52</f>
        <v>26.85268453370476</v>
      </c>
      <c r="D13" s="7" t="s">
        <v>19</v>
      </c>
      <c r="F13" s="30"/>
      <c r="G13" s="30"/>
      <c r="H13" s="30"/>
    </row>
    <row r="14" spans="2:8" x14ac:dyDescent="0.25">
      <c r="B14" s="5" t="s">
        <v>23</v>
      </c>
      <c r="C14" s="19">
        <f>SQRT((2*$C$5*C10)/C8)</f>
        <v>5428.9671403063694</v>
      </c>
      <c r="D14" s="7" t="s">
        <v>44</v>
      </c>
      <c r="F14" s="30"/>
      <c r="G14" s="30"/>
      <c r="H14" s="30"/>
    </row>
    <row r="15" spans="2:8" x14ac:dyDescent="0.25">
      <c r="B15" s="57" t="s">
        <v>22</v>
      </c>
      <c r="C15" s="17">
        <f>C14/C10</f>
        <v>0.38778336716474066</v>
      </c>
      <c r="D15" s="7" t="s">
        <v>18</v>
      </c>
      <c r="F15" s="30"/>
      <c r="G15" s="30"/>
      <c r="H15" s="30"/>
    </row>
    <row r="16" spans="2:8" x14ac:dyDescent="0.25">
      <c r="B16" s="57"/>
      <c r="C16" s="18">
        <f>C15*52</f>
        <v>20.164735092566513</v>
      </c>
      <c r="D16" s="7" t="s">
        <v>19</v>
      </c>
      <c r="F16" s="30"/>
      <c r="G16" s="30"/>
      <c r="H16" s="30"/>
    </row>
    <row r="17" spans="2:8" x14ac:dyDescent="0.25">
      <c r="B17" s="14" t="s">
        <v>93</v>
      </c>
      <c r="C17" s="20">
        <f>(C7*(C11/2))</f>
        <v>193.64916731037084</v>
      </c>
      <c r="D17" s="16" t="s">
        <v>9</v>
      </c>
      <c r="F17" s="30"/>
      <c r="G17" s="30"/>
      <c r="H17" s="30"/>
    </row>
    <row r="18" spans="2:8" x14ac:dyDescent="0.25">
      <c r="B18" s="39" t="s">
        <v>94</v>
      </c>
      <c r="C18" s="21">
        <f>(C8*(C14/2))</f>
        <v>257.87593916455256</v>
      </c>
      <c r="D18" s="7" t="s">
        <v>9</v>
      </c>
      <c r="F18" s="30"/>
      <c r="G18" s="30"/>
      <c r="H18" s="30"/>
    </row>
    <row r="19" spans="2:8" x14ac:dyDescent="0.25">
      <c r="B19" s="39" t="s">
        <v>95</v>
      </c>
      <c r="C19" s="21">
        <f>($C$5*(C9/C11))</f>
        <v>193.64916731037084</v>
      </c>
      <c r="D19" s="7" t="s">
        <v>9</v>
      </c>
      <c r="F19" s="30"/>
      <c r="G19" s="30"/>
      <c r="H19" s="30"/>
    </row>
    <row r="20" spans="2:8" x14ac:dyDescent="0.25">
      <c r="B20" s="39" t="s">
        <v>96</v>
      </c>
      <c r="C20" s="21">
        <f>($C$5*(C10/C14))</f>
        <v>257.87593916455251</v>
      </c>
      <c r="D20" s="7" t="s">
        <v>9</v>
      </c>
      <c r="F20" s="30"/>
      <c r="G20" s="30"/>
      <c r="H20" s="30"/>
    </row>
    <row r="21" spans="2:8" x14ac:dyDescent="0.25">
      <c r="B21" s="39" t="s">
        <v>20</v>
      </c>
      <c r="C21" s="21">
        <f>C17+C19+(C3*C9)</f>
        <v>3387.2983346207416</v>
      </c>
      <c r="D21" s="7" t="s">
        <v>9</v>
      </c>
      <c r="F21" s="30"/>
      <c r="G21" s="30"/>
      <c r="H21" s="30"/>
    </row>
    <row r="22" spans="2:8" x14ac:dyDescent="0.25">
      <c r="B22" s="39" t="s">
        <v>21</v>
      </c>
      <c r="C22" s="21">
        <f>C18+C20+(C4*C10)</f>
        <v>5835.7518783291052</v>
      </c>
      <c r="D22" s="7" t="s">
        <v>9</v>
      </c>
      <c r="F22" s="30"/>
      <c r="G22" s="30"/>
      <c r="H22" s="30"/>
    </row>
    <row r="23" spans="2:8" x14ac:dyDescent="0.25">
      <c r="B23" s="39" t="s">
        <v>24</v>
      </c>
      <c r="C23" s="21">
        <f>SUM(C21:C22)</f>
        <v>9223.0502129498473</v>
      </c>
      <c r="D23" s="7" t="s">
        <v>9</v>
      </c>
      <c r="F23" s="30"/>
      <c r="G23" s="30"/>
      <c r="H23" s="30"/>
    </row>
    <row r="24" spans="2:8" x14ac:dyDescent="0.25">
      <c r="B24" s="14" t="s">
        <v>28</v>
      </c>
      <c r="C24" s="15">
        <f>C9*C15</f>
        <v>7755.6673432948128</v>
      </c>
      <c r="D24" s="16" t="s">
        <v>44</v>
      </c>
      <c r="F24" s="30"/>
      <c r="G24" s="30"/>
      <c r="H24" s="30"/>
    </row>
    <row r="25" spans="2:8" x14ac:dyDescent="0.25">
      <c r="B25" s="40" t="s">
        <v>27</v>
      </c>
      <c r="C25" s="34">
        <f>C10*C12</f>
        <v>7229.568912920512</v>
      </c>
      <c r="D25" s="13" t="s">
        <v>44</v>
      </c>
      <c r="F25" s="30"/>
      <c r="G25" s="30"/>
      <c r="H25" s="30"/>
    </row>
    <row r="26" spans="2:8" x14ac:dyDescent="0.25">
      <c r="B26" s="39" t="s">
        <v>29</v>
      </c>
      <c r="C26" s="21">
        <f>(C7*(C11/2))+(C8*(C25/2))</f>
        <v>537.05369067409515</v>
      </c>
      <c r="D26" s="7" t="s">
        <v>9</v>
      </c>
      <c r="F26" s="30"/>
      <c r="G26" s="30"/>
      <c r="H26" s="30"/>
    </row>
    <row r="27" spans="2:8" x14ac:dyDescent="0.25">
      <c r="B27" s="39" t="s">
        <v>30</v>
      </c>
      <c r="C27" s="21">
        <f>(C7*(C24/2))+(C8*(C14/2))</f>
        <v>403.29470185133027</v>
      </c>
      <c r="D27" s="7" t="s">
        <v>9</v>
      </c>
      <c r="F27" s="30"/>
      <c r="G27" s="30"/>
      <c r="H27" s="30"/>
    </row>
    <row r="28" spans="2:8" x14ac:dyDescent="0.25">
      <c r="B28" s="39" t="s">
        <v>91</v>
      </c>
      <c r="C28" s="21">
        <f>(C5*((C9/C11)+(C10/C25)))</f>
        <v>387.29833462074168</v>
      </c>
      <c r="D28" s="7" t="s">
        <v>9</v>
      </c>
      <c r="F28" s="30"/>
      <c r="G28" s="30"/>
      <c r="H28" s="30"/>
    </row>
    <row r="29" spans="2:8" x14ac:dyDescent="0.25">
      <c r="B29" s="39" t="s">
        <v>92</v>
      </c>
      <c r="C29" s="21">
        <f>(C5*((C9/C24)+(C10/C14)))</f>
        <v>515.75187832910512</v>
      </c>
      <c r="D29" s="7" t="s">
        <v>9</v>
      </c>
      <c r="F29" s="30"/>
      <c r="G29" s="30"/>
      <c r="H29" s="30"/>
    </row>
    <row r="30" spans="2:8" x14ac:dyDescent="0.25">
      <c r="B30" s="39" t="s">
        <v>25</v>
      </c>
      <c r="C30" s="21">
        <f>C26+C28+((C3*C9)+(C4*C10))</f>
        <v>9244.3520252948365</v>
      </c>
      <c r="D30" s="7" t="s">
        <v>9</v>
      </c>
      <c r="F30" s="30"/>
      <c r="G30" s="30"/>
      <c r="H30" s="30"/>
    </row>
    <row r="31" spans="2:8" x14ac:dyDescent="0.25">
      <c r="B31" s="40" t="s">
        <v>26</v>
      </c>
      <c r="C31" s="23">
        <f>C27+C29+((C3*C9)+(C4*C10))</f>
        <v>9239.0465801804348</v>
      </c>
      <c r="D31" s="13" t="s">
        <v>9</v>
      </c>
      <c r="F31" s="30"/>
      <c r="G31" s="30"/>
      <c r="H31" s="30"/>
    </row>
    <row r="32" spans="2:8" s="30" customFormat="1" x14ac:dyDescent="0.25">
      <c r="B32" s="59" t="s">
        <v>97</v>
      </c>
      <c r="C32" s="60">
        <f>SUM(C17:C20)</f>
        <v>903.0502129498467</v>
      </c>
      <c r="D32" s="16" t="s">
        <v>9</v>
      </c>
    </row>
    <row r="33" spans="2:8" x14ac:dyDescent="0.25">
      <c r="B33" s="53" t="s">
        <v>98</v>
      </c>
      <c r="C33" s="61">
        <f>SUM(C26,C28)</f>
        <v>924.35202529483684</v>
      </c>
      <c r="D33" s="7" t="s">
        <v>9</v>
      </c>
      <c r="F33" s="30"/>
      <c r="G33" s="30"/>
      <c r="H33" s="30"/>
    </row>
    <row r="34" spans="2:8" x14ac:dyDescent="0.25">
      <c r="B34" s="54" t="s">
        <v>99</v>
      </c>
      <c r="C34" s="62">
        <f>SUM(C27,C29)</f>
        <v>919.0465801804354</v>
      </c>
      <c r="D34" s="13" t="s">
        <v>9</v>
      </c>
      <c r="F34" s="30"/>
      <c r="G34" s="30"/>
      <c r="H34" s="30"/>
    </row>
    <row r="35" spans="2:8" s="30" customFormat="1" x14ac:dyDescent="0.25"/>
  </sheetData>
  <mergeCells count="2">
    <mergeCell ref="B12:B13"/>
    <mergeCell ref="B15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1"/>
  <sheetViews>
    <sheetView workbookViewId="0"/>
  </sheetViews>
  <sheetFormatPr defaultRowHeight="15.75" x14ac:dyDescent="0.25"/>
  <cols>
    <col min="1" max="1" width="3.7109375" style="30" customWidth="1"/>
    <col min="2" max="2" width="20.85546875" style="1" bestFit="1" customWidth="1"/>
    <col min="3" max="3" width="10.28515625" style="1" bestFit="1" customWidth="1"/>
    <col min="4" max="4" width="18.28515625" style="1" bestFit="1" customWidth="1"/>
    <col min="5" max="5" width="3.7109375" style="30" customWidth="1"/>
    <col min="6" max="6" width="20.85546875" style="1" bestFit="1" customWidth="1"/>
    <col min="7" max="7" width="10.28515625" style="1" bestFit="1" customWidth="1"/>
    <col min="8" max="8" width="16.85546875" style="1" bestFit="1" customWidth="1"/>
    <col min="9" max="9" width="3.7109375" style="30" customWidth="1"/>
    <col min="10" max="16384" width="9.140625" style="1"/>
  </cols>
  <sheetData>
    <row r="1" spans="2:8" s="30" customFormat="1" x14ac:dyDescent="0.25"/>
    <row r="2" spans="2:8" x14ac:dyDescent="0.25">
      <c r="B2" s="2" t="s">
        <v>13</v>
      </c>
      <c r="C2" s="3" t="s">
        <v>14</v>
      </c>
      <c r="D2" s="4" t="s">
        <v>15</v>
      </c>
      <c r="F2" s="2" t="s">
        <v>13</v>
      </c>
      <c r="G2" s="3" t="s">
        <v>14</v>
      </c>
      <c r="H2" s="4" t="s">
        <v>15</v>
      </c>
    </row>
    <row r="3" spans="2:8" x14ac:dyDescent="0.25">
      <c r="B3" s="57" t="s">
        <v>31</v>
      </c>
      <c r="C3" s="6">
        <v>175</v>
      </c>
      <c r="D3" s="7" t="s">
        <v>45</v>
      </c>
      <c r="F3" s="24" t="s">
        <v>39</v>
      </c>
      <c r="G3" s="19">
        <v>1296.7967002123662</v>
      </c>
      <c r="H3" s="7" t="s">
        <v>44</v>
      </c>
    </row>
    <row r="4" spans="2:8" x14ac:dyDescent="0.25">
      <c r="B4" s="57"/>
      <c r="C4" s="6">
        <f>C3*12</f>
        <v>2100</v>
      </c>
      <c r="D4" s="7" t="s">
        <v>42</v>
      </c>
      <c r="F4" s="25" t="s">
        <v>40</v>
      </c>
      <c r="G4" s="22">
        <v>0.61752223819636487</v>
      </c>
      <c r="H4" s="13" t="s">
        <v>54</v>
      </c>
    </row>
    <row r="5" spans="2:8" x14ac:dyDescent="0.25">
      <c r="B5" s="26" t="s">
        <v>32</v>
      </c>
      <c r="C5" s="6">
        <v>1.85</v>
      </c>
      <c r="D5" s="7" t="s">
        <v>1</v>
      </c>
      <c r="F5" s="30"/>
      <c r="G5" s="30"/>
      <c r="H5" s="30"/>
    </row>
    <row r="6" spans="2:8" x14ac:dyDescent="0.25">
      <c r="B6" s="26" t="s">
        <v>3</v>
      </c>
      <c r="C6" s="6">
        <v>200</v>
      </c>
      <c r="D6" s="7" t="s">
        <v>4</v>
      </c>
      <c r="F6" s="2" t="s">
        <v>13</v>
      </c>
      <c r="G6" s="3" t="s">
        <v>14</v>
      </c>
      <c r="H6" s="4" t="s">
        <v>15</v>
      </c>
    </row>
    <row r="7" spans="2:8" x14ac:dyDescent="0.25">
      <c r="B7" s="57" t="s">
        <v>33</v>
      </c>
      <c r="C7" s="6">
        <v>3</v>
      </c>
      <c r="D7" s="7" t="s">
        <v>55</v>
      </c>
      <c r="F7" s="24" t="s">
        <v>46</v>
      </c>
      <c r="G7" s="6" t="b">
        <v>1</v>
      </c>
      <c r="H7" s="7" t="s">
        <v>41</v>
      </c>
    </row>
    <row r="8" spans="2:8" x14ac:dyDescent="0.25">
      <c r="B8" s="57"/>
      <c r="C8" s="17">
        <f>C7/52</f>
        <v>5.7692307692307696E-2</v>
      </c>
      <c r="D8" s="7" t="s">
        <v>54</v>
      </c>
      <c r="F8" s="25" t="s">
        <v>47</v>
      </c>
      <c r="G8" s="34">
        <v>121.15384615384616</v>
      </c>
      <c r="H8" s="13" t="s">
        <v>43</v>
      </c>
    </row>
    <row r="9" spans="2:8" x14ac:dyDescent="0.25">
      <c r="B9" s="26" t="s">
        <v>34</v>
      </c>
      <c r="C9" s="8">
        <v>0.22</v>
      </c>
      <c r="D9" s="7" t="s">
        <v>6</v>
      </c>
      <c r="F9" s="30"/>
      <c r="G9" s="30"/>
      <c r="H9" s="30"/>
    </row>
    <row r="10" spans="2:8" x14ac:dyDescent="0.25">
      <c r="B10" s="26" t="s">
        <v>35</v>
      </c>
      <c r="C10" s="8">
        <v>0.03</v>
      </c>
      <c r="D10" s="7" t="s">
        <v>36</v>
      </c>
      <c r="F10" s="2" t="s">
        <v>13</v>
      </c>
      <c r="G10" s="3" t="s">
        <v>14</v>
      </c>
      <c r="H10" s="4" t="s">
        <v>15</v>
      </c>
    </row>
    <row r="11" spans="2:8" x14ac:dyDescent="0.25">
      <c r="B11" s="26" t="s">
        <v>37</v>
      </c>
      <c r="C11" s="8">
        <v>0.02</v>
      </c>
      <c r="D11" s="7" t="s">
        <v>36</v>
      </c>
      <c r="F11" s="24" t="s">
        <v>49</v>
      </c>
      <c r="G11" s="6">
        <v>6300</v>
      </c>
      <c r="H11" s="7" t="s">
        <v>9</v>
      </c>
    </row>
    <row r="12" spans="2:8" x14ac:dyDescent="0.25">
      <c r="B12" s="27" t="s">
        <v>38</v>
      </c>
      <c r="C12" s="31">
        <f>SUM(C9:C11)*C5</f>
        <v>0.49950000000000006</v>
      </c>
      <c r="D12" s="13" t="s">
        <v>12</v>
      </c>
      <c r="F12" s="24" t="s">
        <v>50</v>
      </c>
      <c r="G12" s="21">
        <v>4532.7499517560773</v>
      </c>
      <c r="H12" s="7" t="s">
        <v>9</v>
      </c>
    </row>
    <row r="13" spans="2:8" x14ac:dyDescent="0.25">
      <c r="B13" s="14" t="s">
        <v>39</v>
      </c>
      <c r="C13" s="15">
        <f>SQRT((2*C6*C4)/C12)</f>
        <v>1296.7967002123662</v>
      </c>
      <c r="D13" s="16" t="s">
        <v>44</v>
      </c>
      <c r="F13" s="25" t="s">
        <v>57</v>
      </c>
      <c r="G13" s="23">
        <v>1767.2500482439227</v>
      </c>
      <c r="H13" s="13" t="s">
        <v>9</v>
      </c>
    </row>
    <row r="14" spans="2:8" x14ac:dyDescent="0.25">
      <c r="B14" s="27" t="s">
        <v>40</v>
      </c>
      <c r="C14" s="22">
        <f>C13/C4</f>
        <v>0.61752223819636487</v>
      </c>
      <c r="D14" s="13" t="s">
        <v>54</v>
      </c>
      <c r="F14" s="38"/>
      <c r="G14" s="30"/>
      <c r="H14" s="30"/>
    </row>
    <row r="15" spans="2:8" x14ac:dyDescent="0.25">
      <c r="B15" s="14" t="s">
        <v>46</v>
      </c>
      <c r="C15" s="33" t="b">
        <v>1</v>
      </c>
      <c r="D15" s="16" t="s">
        <v>41</v>
      </c>
      <c r="F15" s="2" t="s">
        <v>13</v>
      </c>
      <c r="G15" s="3" t="s">
        <v>14</v>
      </c>
      <c r="H15" s="4" t="s">
        <v>15</v>
      </c>
    </row>
    <row r="16" spans="2:8" x14ac:dyDescent="0.25">
      <c r="B16" s="27" t="s">
        <v>47</v>
      </c>
      <c r="C16" s="34">
        <f>C8*C4</f>
        <v>121.15384615384616</v>
      </c>
      <c r="D16" s="13" t="s">
        <v>43</v>
      </c>
      <c r="F16" s="24" t="s">
        <v>51</v>
      </c>
      <c r="G16" s="17">
        <v>7.6923076923076927E-2</v>
      </c>
      <c r="H16" s="7" t="s">
        <v>54</v>
      </c>
    </row>
    <row r="17" spans="2:8" x14ac:dyDescent="0.25">
      <c r="B17" s="14" t="s">
        <v>48</v>
      </c>
      <c r="C17" s="33">
        <v>3</v>
      </c>
      <c r="D17" s="16" t="s">
        <v>1</v>
      </c>
      <c r="F17" s="24" t="s">
        <v>53</v>
      </c>
      <c r="G17" s="19">
        <v>161.53846153846155</v>
      </c>
      <c r="H17" s="7" t="s">
        <v>44</v>
      </c>
    </row>
    <row r="18" spans="2:8" x14ac:dyDescent="0.25">
      <c r="B18" s="26" t="s">
        <v>49</v>
      </c>
      <c r="C18" s="21">
        <f>C17*C4</f>
        <v>6300</v>
      </c>
      <c r="D18" s="7" t="s">
        <v>9</v>
      </c>
      <c r="F18" s="24" t="s">
        <v>52</v>
      </c>
      <c r="G18" s="6" t="b">
        <v>1</v>
      </c>
      <c r="H18" s="7" t="s">
        <v>41</v>
      </c>
    </row>
    <row r="19" spans="2:8" x14ac:dyDescent="0.25">
      <c r="B19" s="26" t="s">
        <v>50</v>
      </c>
      <c r="C19" s="21">
        <f>(C12*(C13/2))+(C6*(C4/C13))+(C5*C4)</f>
        <v>4532.7499517560773</v>
      </c>
      <c r="D19" s="7" t="s">
        <v>9</v>
      </c>
      <c r="F19" s="24" t="s">
        <v>47</v>
      </c>
      <c r="G19" s="19">
        <v>121.15384615384616</v>
      </c>
      <c r="H19" s="7" t="s">
        <v>43</v>
      </c>
    </row>
    <row r="20" spans="2:8" x14ac:dyDescent="0.25">
      <c r="B20" s="27" t="s">
        <v>57</v>
      </c>
      <c r="C20" s="23">
        <f>C18-C19</f>
        <v>1767.2500482439227</v>
      </c>
      <c r="D20" s="13" t="s">
        <v>9</v>
      </c>
      <c r="F20" s="24" t="s">
        <v>56</v>
      </c>
      <c r="G20" s="21">
        <v>6525.3442307692312</v>
      </c>
      <c r="H20" s="7" t="s">
        <v>9</v>
      </c>
    </row>
    <row r="21" spans="2:8" x14ac:dyDescent="0.25">
      <c r="B21" s="35" t="s">
        <v>40</v>
      </c>
      <c r="C21" s="36">
        <f>C14*52</f>
        <v>32.111156386210972</v>
      </c>
      <c r="D21" s="37" t="s">
        <v>55</v>
      </c>
      <c r="F21" s="25" t="s">
        <v>58</v>
      </c>
      <c r="G21" s="23">
        <v>-225.34423076923122</v>
      </c>
      <c r="H21" s="13" t="s">
        <v>9</v>
      </c>
    </row>
    <row r="22" spans="2:8" x14ac:dyDescent="0.25">
      <c r="B22" s="14" t="s">
        <v>51</v>
      </c>
      <c r="C22" s="33">
        <f>4/52</f>
        <v>7.6923076923076927E-2</v>
      </c>
      <c r="D22" s="16" t="s">
        <v>54</v>
      </c>
      <c r="F22" s="30"/>
      <c r="G22" s="30"/>
      <c r="H22" s="30"/>
    </row>
    <row r="23" spans="2:8" x14ac:dyDescent="0.25">
      <c r="B23" s="26" t="s">
        <v>53</v>
      </c>
      <c r="C23" s="19">
        <f>C22*C4</f>
        <v>161.53846153846155</v>
      </c>
      <c r="D23" s="7" t="s">
        <v>44</v>
      </c>
      <c r="F23" s="30"/>
      <c r="G23" s="30"/>
      <c r="H23" s="30"/>
    </row>
    <row r="24" spans="2:8" x14ac:dyDescent="0.25">
      <c r="B24" s="26" t="s">
        <v>52</v>
      </c>
      <c r="C24" s="6" t="b">
        <v>1</v>
      </c>
      <c r="D24" s="7" t="s">
        <v>41</v>
      </c>
      <c r="F24" s="30"/>
      <c r="G24" s="30"/>
      <c r="H24" s="30"/>
    </row>
    <row r="25" spans="2:8" x14ac:dyDescent="0.25">
      <c r="B25" s="26" t="s">
        <v>47</v>
      </c>
      <c r="C25" s="19">
        <f>C16</f>
        <v>121.15384615384616</v>
      </c>
      <c r="D25" s="7" t="s">
        <v>43</v>
      </c>
      <c r="F25" s="30"/>
      <c r="G25" s="30"/>
      <c r="H25" s="30"/>
    </row>
    <row r="26" spans="2:8" x14ac:dyDescent="0.25">
      <c r="B26" s="26" t="s">
        <v>56</v>
      </c>
      <c r="C26" s="6">
        <f>(C12*(C23/2))+(C6*(C4/C23))+(C5*C4)</f>
        <v>6525.3442307692312</v>
      </c>
      <c r="D26" s="7" t="s">
        <v>9</v>
      </c>
      <c r="F26" s="30"/>
      <c r="G26" s="30"/>
      <c r="H26" s="30"/>
    </row>
    <row r="27" spans="2:8" x14ac:dyDescent="0.25">
      <c r="B27" s="27" t="s">
        <v>58</v>
      </c>
      <c r="C27" s="23">
        <f>C18-C26</f>
        <v>-225.34423076923122</v>
      </c>
      <c r="D27" s="13" t="s">
        <v>9</v>
      </c>
      <c r="F27" s="30"/>
      <c r="G27" s="30"/>
      <c r="H27" s="30"/>
    </row>
    <row r="28" spans="2:8" s="30" customFormat="1" x14ac:dyDescent="0.25"/>
    <row r="31" spans="2:8" x14ac:dyDescent="0.25">
      <c r="D31" s="32"/>
    </row>
  </sheetData>
  <mergeCells count="2">
    <mergeCell ref="B3:B4"/>
    <mergeCell ref="B7:B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3"/>
  <sheetViews>
    <sheetView workbookViewId="0"/>
  </sheetViews>
  <sheetFormatPr defaultRowHeight="15.75" x14ac:dyDescent="0.25"/>
  <cols>
    <col min="1" max="1" width="3.7109375" style="30" customWidth="1"/>
    <col min="2" max="2" width="15.5703125" style="1" bestFit="1" customWidth="1"/>
    <col min="3" max="3" width="16.85546875" style="1" bestFit="1" customWidth="1"/>
    <col min="4" max="4" width="18.28515625" style="1" bestFit="1" customWidth="1"/>
    <col min="5" max="5" width="3.7109375" style="30" customWidth="1"/>
    <col min="6" max="6" width="15.5703125" style="1" bestFit="1" customWidth="1"/>
    <col min="7" max="8" width="16.85546875" style="1" bestFit="1" customWidth="1"/>
    <col min="9" max="9" width="3.7109375" style="30" customWidth="1"/>
    <col min="10" max="16384" width="9.140625" style="1"/>
  </cols>
  <sheetData>
    <row r="1" spans="1:9" s="30" customFormat="1" x14ac:dyDescent="0.25"/>
    <row r="2" spans="1:9" x14ac:dyDescent="0.25">
      <c r="B2" s="2" t="s">
        <v>13</v>
      </c>
      <c r="C2" s="3" t="s">
        <v>14</v>
      </c>
      <c r="D2" s="4" t="s">
        <v>15</v>
      </c>
      <c r="F2" s="2" t="s">
        <v>13</v>
      </c>
      <c r="G2" s="3" t="s">
        <v>14</v>
      </c>
      <c r="H2" s="4" t="s">
        <v>15</v>
      </c>
    </row>
    <row r="3" spans="1:9" x14ac:dyDescent="0.25">
      <c r="B3" s="57" t="s">
        <v>59</v>
      </c>
      <c r="C3" s="41">
        <v>10000</v>
      </c>
      <c r="D3" s="7" t="s">
        <v>64</v>
      </c>
      <c r="F3" s="29" t="s">
        <v>39</v>
      </c>
      <c r="G3" s="48">
        <f>C12</f>
        <v>44612.439880905164</v>
      </c>
      <c r="H3" s="13" t="s">
        <v>44</v>
      </c>
    </row>
    <row r="4" spans="1:9" x14ac:dyDescent="0.25">
      <c r="B4" s="57"/>
      <c r="C4" s="41">
        <f>C3*C10</f>
        <v>2500000</v>
      </c>
      <c r="D4" s="7" t="s">
        <v>42</v>
      </c>
      <c r="F4" s="30"/>
      <c r="G4" s="30"/>
      <c r="H4" s="30"/>
    </row>
    <row r="5" spans="1:9" x14ac:dyDescent="0.25">
      <c r="B5" s="28" t="s">
        <v>31</v>
      </c>
      <c r="C5" s="41">
        <v>600000</v>
      </c>
      <c r="D5" s="7" t="s">
        <v>42</v>
      </c>
      <c r="F5" s="66" t="s">
        <v>13</v>
      </c>
      <c r="G5" s="67" t="s">
        <v>14</v>
      </c>
      <c r="H5" s="68" t="s">
        <v>15</v>
      </c>
    </row>
    <row r="6" spans="1:9" x14ac:dyDescent="0.25">
      <c r="B6" s="28" t="s">
        <v>3</v>
      </c>
      <c r="C6" s="6">
        <v>1500</v>
      </c>
      <c r="D6" s="7" t="s">
        <v>60</v>
      </c>
      <c r="F6" s="69" t="s">
        <v>65</v>
      </c>
      <c r="G6" s="70">
        <f>C13</f>
        <v>1.7844975952362067E-2</v>
      </c>
      <c r="H6" s="52" t="s">
        <v>67</v>
      </c>
    </row>
    <row r="7" spans="1:9" x14ac:dyDescent="0.25">
      <c r="B7" s="28" t="s">
        <v>32</v>
      </c>
      <c r="C7" s="21">
        <v>3.5</v>
      </c>
      <c r="D7" s="7" t="s">
        <v>1</v>
      </c>
      <c r="F7" s="69"/>
      <c r="G7" s="71">
        <f>G6/SUM(G6,G8)</f>
        <v>0.24000000000000002</v>
      </c>
      <c r="H7" s="52" t="s">
        <v>6</v>
      </c>
    </row>
    <row r="8" spans="1:9" x14ac:dyDescent="0.25">
      <c r="B8" s="28" t="s">
        <v>34</v>
      </c>
      <c r="C8" s="8">
        <v>0.22</v>
      </c>
      <c r="D8" s="7" t="s">
        <v>6</v>
      </c>
      <c r="F8" s="69" t="s">
        <v>66</v>
      </c>
      <c r="G8" s="70">
        <f>C14</f>
        <v>5.650909051581321E-2</v>
      </c>
      <c r="H8" s="52" t="s">
        <v>67</v>
      </c>
    </row>
    <row r="9" spans="1:9" x14ac:dyDescent="0.25">
      <c r="B9" s="28" t="s">
        <v>61</v>
      </c>
      <c r="C9" s="8">
        <v>0.12</v>
      </c>
      <c r="D9" s="7" t="s">
        <v>36</v>
      </c>
      <c r="F9" s="72"/>
      <c r="G9" s="73">
        <f>G8/SUM(G8,G6)</f>
        <v>0.76</v>
      </c>
      <c r="H9" s="56" t="s">
        <v>6</v>
      </c>
    </row>
    <row r="10" spans="1:9" x14ac:dyDescent="0.25">
      <c r="B10" s="28" t="s">
        <v>62</v>
      </c>
      <c r="C10" s="6">
        <v>250</v>
      </c>
      <c r="D10" s="7" t="s">
        <v>63</v>
      </c>
      <c r="F10" s="30"/>
      <c r="G10" s="30"/>
      <c r="H10" s="30"/>
    </row>
    <row r="11" spans="1:9" s="6" customFormat="1" x14ac:dyDescent="0.25">
      <c r="A11" s="49"/>
      <c r="B11" s="29" t="s">
        <v>38</v>
      </c>
      <c r="C11" s="31">
        <f>SUM(C8:C9)*C7</f>
        <v>1.19</v>
      </c>
      <c r="D11" s="13" t="s">
        <v>12</v>
      </c>
      <c r="E11" s="49"/>
      <c r="F11" s="2" t="s">
        <v>13</v>
      </c>
      <c r="G11" s="3" t="s">
        <v>14</v>
      </c>
      <c r="H11" s="4" t="s">
        <v>15</v>
      </c>
      <c r="I11" s="49"/>
    </row>
    <row r="12" spans="1:9" x14ac:dyDescent="0.25">
      <c r="B12" s="35" t="s">
        <v>39</v>
      </c>
      <c r="C12" s="43">
        <f>SQRT((2*C6*C5)/C11)*SQRT(C4/(C4-C5))</f>
        <v>44612.439880905164</v>
      </c>
      <c r="D12" s="37" t="s">
        <v>44</v>
      </c>
      <c r="F12" s="28" t="s">
        <v>100</v>
      </c>
      <c r="G12" s="42">
        <f>C15+C16</f>
        <v>40347.49062829063</v>
      </c>
      <c r="H12" s="7" t="s">
        <v>9</v>
      </c>
    </row>
    <row r="13" spans="1:9" x14ac:dyDescent="0.25">
      <c r="B13" s="14" t="s">
        <v>65</v>
      </c>
      <c r="C13" s="44">
        <f>C12/C4</f>
        <v>1.7844975952362067E-2</v>
      </c>
      <c r="D13" s="16" t="s">
        <v>67</v>
      </c>
      <c r="F13" s="28" t="s">
        <v>49</v>
      </c>
      <c r="G13" s="41">
        <f>C18</f>
        <v>2340000</v>
      </c>
      <c r="H13" s="7" t="s">
        <v>9</v>
      </c>
    </row>
    <row r="14" spans="1:9" x14ac:dyDescent="0.25">
      <c r="B14" s="28" t="s">
        <v>66</v>
      </c>
      <c r="C14" s="17">
        <f>(C12/C5)-C13</f>
        <v>5.650909051581321E-2</v>
      </c>
      <c r="D14" s="7" t="s">
        <v>67</v>
      </c>
      <c r="F14" s="28" t="s">
        <v>50</v>
      </c>
      <c r="G14" s="42">
        <f>C19</f>
        <v>2140347.4906282905</v>
      </c>
      <c r="H14" s="7" t="s">
        <v>9</v>
      </c>
    </row>
    <row r="15" spans="1:9" x14ac:dyDescent="0.25">
      <c r="B15" s="14" t="s">
        <v>68</v>
      </c>
      <c r="C15" s="46">
        <f>(C11*(C12/2))*((C4-C5)/C4)</f>
        <v>20173.745314145315</v>
      </c>
      <c r="D15" s="16" t="s">
        <v>9</v>
      </c>
      <c r="F15" s="29" t="s">
        <v>57</v>
      </c>
      <c r="G15" s="47">
        <f>C20</f>
        <v>199652.50937170954</v>
      </c>
      <c r="H15" s="13" t="s">
        <v>9</v>
      </c>
    </row>
    <row r="16" spans="1:9" x14ac:dyDescent="0.25">
      <c r="B16" s="28" t="s">
        <v>86</v>
      </c>
      <c r="C16" s="42">
        <f>(C6*(C5/C12))</f>
        <v>20173.745314145312</v>
      </c>
      <c r="D16" s="7" t="s">
        <v>9</v>
      </c>
      <c r="F16" s="30"/>
      <c r="G16" s="30"/>
      <c r="H16" s="30"/>
    </row>
    <row r="17" spans="2:8" x14ac:dyDescent="0.25">
      <c r="B17" s="28" t="s">
        <v>48</v>
      </c>
      <c r="C17" s="21">
        <v>3.9</v>
      </c>
      <c r="D17" s="7" t="s">
        <v>1</v>
      </c>
      <c r="F17" s="2" t="s">
        <v>13</v>
      </c>
      <c r="G17" s="3" t="s">
        <v>14</v>
      </c>
      <c r="H17" s="4" t="s">
        <v>15</v>
      </c>
    </row>
    <row r="18" spans="2:8" x14ac:dyDescent="0.25">
      <c r="B18" s="28" t="s">
        <v>49</v>
      </c>
      <c r="C18" s="41">
        <f>C17*C5</f>
        <v>2340000</v>
      </c>
      <c r="D18" s="7" t="s">
        <v>9</v>
      </c>
      <c r="F18" s="53" t="s">
        <v>71</v>
      </c>
      <c r="G18" s="50">
        <f>C21</f>
        <v>38892.223413129868</v>
      </c>
      <c r="H18" s="52" t="s">
        <v>44</v>
      </c>
    </row>
    <row r="19" spans="2:8" x14ac:dyDescent="0.25">
      <c r="B19" s="28" t="s">
        <v>50</v>
      </c>
      <c r="C19" s="42">
        <f>C15+C16+(C7*C5)</f>
        <v>2140347.4906282905</v>
      </c>
      <c r="D19" s="7" t="s">
        <v>9</v>
      </c>
      <c r="F19" s="53" t="s">
        <v>69</v>
      </c>
      <c r="G19" s="51">
        <f>C22</f>
        <v>2146718.147043284</v>
      </c>
      <c r="H19" s="52" t="s">
        <v>9</v>
      </c>
    </row>
    <row r="20" spans="2:8" s="30" customFormat="1" x14ac:dyDescent="0.25">
      <c r="B20" s="29" t="s">
        <v>57</v>
      </c>
      <c r="C20" s="47">
        <f>C18-C19</f>
        <v>199652.50937170954</v>
      </c>
      <c r="D20" s="13" t="s">
        <v>9</v>
      </c>
      <c r="F20" s="54" t="s">
        <v>70</v>
      </c>
      <c r="G20" s="55">
        <f>C23</f>
        <v>6370.656414993573</v>
      </c>
      <c r="H20" s="56" t="s">
        <v>9</v>
      </c>
    </row>
    <row r="21" spans="2:8" x14ac:dyDescent="0.25">
      <c r="B21" s="53" t="s">
        <v>71</v>
      </c>
      <c r="C21" s="50">
        <f>SQRT((2*C6*C5)/C11)</f>
        <v>38892.223413129868</v>
      </c>
      <c r="D21" s="52" t="s">
        <v>44</v>
      </c>
      <c r="F21" s="30"/>
      <c r="G21" s="30"/>
      <c r="H21" s="30"/>
    </row>
    <row r="22" spans="2:8" x14ac:dyDescent="0.25">
      <c r="B22" s="53" t="s">
        <v>69</v>
      </c>
      <c r="C22" s="51">
        <f>(C11*(C12/2))+(C6*(C5/C12))+(C7*C5)</f>
        <v>2146718.147043284</v>
      </c>
      <c r="D22" s="52" t="s">
        <v>9</v>
      </c>
      <c r="F22" s="30"/>
      <c r="G22" s="30"/>
      <c r="H22" s="30"/>
    </row>
    <row r="23" spans="2:8" s="30" customFormat="1" x14ac:dyDescent="0.25">
      <c r="B23" s="54" t="s">
        <v>70</v>
      </c>
      <c r="C23" s="55">
        <f>C22-C19</f>
        <v>6370.656414993573</v>
      </c>
      <c r="D23" s="56" t="s">
        <v>9</v>
      </c>
    </row>
  </sheetData>
  <mergeCells count="3">
    <mergeCell ref="B3:B4"/>
    <mergeCell ref="F6:F7"/>
    <mergeCell ref="F8:F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"/>
  <sheetViews>
    <sheetView workbookViewId="0"/>
  </sheetViews>
  <sheetFormatPr defaultRowHeight="15.75" x14ac:dyDescent="0.25"/>
  <cols>
    <col min="1" max="1" width="3.7109375" style="30" customWidth="1"/>
    <col min="2" max="2" width="9" style="1" bestFit="1" customWidth="1"/>
    <col min="3" max="3" width="10.28515625" style="1" bestFit="1" customWidth="1"/>
    <col min="4" max="4" width="18.28515625" style="1" bestFit="1" customWidth="1"/>
    <col min="5" max="5" width="3.7109375" style="30" customWidth="1"/>
    <col min="6" max="6" width="9" style="1" bestFit="1" customWidth="1"/>
    <col min="7" max="7" width="10.28515625" style="1" bestFit="1" customWidth="1"/>
    <col min="8" max="8" width="15.5703125" style="1" bestFit="1" customWidth="1"/>
    <col min="9" max="9" width="3.7109375" style="30" customWidth="1"/>
    <col min="10" max="16384" width="9.140625" style="1"/>
  </cols>
  <sheetData>
    <row r="1" spans="2:8" s="30" customFormat="1" x14ac:dyDescent="0.25"/>
    <row r="2" spans="2:8" x14ac:dyDescent="0.25">
      <c r="B2" s="2" t="s">
        <v>13</v>
      </c>
      <c r="C2" s="3" t="s">
        <v>14</v>
      </c>
      <c r="D2" s="4" t="s">
        <v>15</v>
      </c>
      <c r="F2" s="2" t="s">
        <v>13</v>
      </c>
      <c r="G2" s="3" t="s">
        <v>14</v>
      </c>
      <c r="H2" s="4" t="s">
        <v>15</v>
      </c>
    </row>
    <row r="3" spans="2:8" x14ac:dyDescent="0.25">
      <c r="B3" s="57" t="s">
        <v>59</v>
      </c>
      <c r="C3" s="6">
        <v>1800</v>
      </c>
      <c r="D3" s="7" t="s">
        <v>64</v>
      </c>
      <c r="F3" s="39" t="s">
        <v>39</v>
      </c>
      <c r="G3" s="41">
        <f>C11</f>
        <v>72498.275841567433</v>
      </c>
      <c r="H3" s="7" t="s">
        <v>44</v>
      </c>
    </row>
    <row r="4" spans="2:8" x14ac:dyDescent="0.25">
      <c r="B4" s="57"/>
      <c r="C4" s="41">
        <f>C3*365</f>
        <v>657000</v>
      </c>
      <c r="D4" s="7" t="s">
        <v>42</v>
      </c>
      <c r="F4" s="57" t="s">
        <v>65</v>
      </c>
      <c r="G4" s="17">
        <f>C12</f>
        <v>0.11034745181364906</v>
      </c>
      <c r="H4" s="7" t="s">
        <v>67</v>
      </c>
    </row>
    <row r="5" spans="2:8" x14ac:dyDescent="0.25">
      <c r="B5" s="57" t="s">
        <v>31</v>
      </c>
      <c r="C5" s="6">
        <v>800</v>
      </c>
      <c r="D5" s="7" t="s">
        <v>64</v>
      </c>
      <c r="F5" s="57"/>
      <c r="G5" s="65">
        <f>G4/(C11/C6)</f>
        <v>0.44444444444444448</v>
      </c>
      <c r="H5" s="7" t="s">
        <v>6</v>
      </c>
    </row>
    <row r="6" spans="2:8" x14ac:dyDescent="0.25">
      <c r="B6" s="57"/>
      <c r="C6" s="41">
        <f>C5*365</f>
        <v>292000</v>
      </c>
      <c r="D6" s="7" t="s">
        <v>42</v>
      </c>
      <c r="F6" s="57" t="s">
        <v>74</v>
      </c>
      <c r="G6" s="41">
        <f>C13</f>
        <v>40276.819911981911</v>
      </c>
      <c r="H6" s="7" t="s">
        <v>43</v>
      </c>
    </row>
    <row r="7" spans="2:8" x14ac:dyDescent="0.25">
      <c r="B7" s="28" t="s">
        <v>32</v>
      </c>
      <c r="C7" s="6">
        <v>0.2</v>
      </c>
      <c r="D7" s="7" t="s">
        <v>1</v>
      </c>
      <c r="F7" s="58"/>
      <c r="G7" s="23">
        <f>C14</f>
        <v>8055.3639823963822</v>
      </c>
      <c r="H7" s="13" t="s">
        <v>73</v>
      </c>
    </row>
    <row r="8" spans="2:8" x14ac:dyDescent="0.25">
      <c r="B8" s="28" t="s">
        <v>72</v>
      </c>
      <c r="C8" s="8">
        <v>0.18</v>
      </c>
      <c r="D8" s="7" t="s">
        <v>6</v>
      </c>
    </row>
    <row r="9" spans="2:8" x14ac:dyDescent="0.25">
      <c r="B9" s="28" t="s">
        <v>38</v>
      </c>
      <c r="C9" s="17">
        <f>C8*C7</f>
        <v>3.5999999999999997E-2</v>
      </c>
      <c r="D9" s="7" t="s">
        <v>12</v>
      </c>
      <c r="F9" s="30"/>
      <c r="G9" s="30"/>
      <c r="H9" s="30"/>
    </row>
    <row r="10" spans="2:8" x14ac:dyDescent="0.25">
      <c r="B10" s="28" t="s">
        <v>3</v>
      </c>
      <c r="C10" s="6">
        <v>180</v>
      </c>
      <c r="D10" s="7" t="s">
        <v>60</v>
      </c>
    </row>
    <row r="11" spans="2:8" x14ac:dyDescent="0.25">
      <c r="B11" s="14" t="s">
        <v>39</v>
      </c>
      <c r="C11" s="45">
        <f>SQRT((2*C10*C6)/C9)*SQRT(C4/(C4-C6))</f>
        <v>72498.275841567433</v>
      </c>
      <c r="D11" s="16" t="s">
        <v>44</v>
      </c>
    </row>
    <row r="12" spans="2:8" x14ac:dyDescent="0.25">
      <c r="B12" s="28" t="s">
        <v>65</v>
      </c>
      <c r="C12" s="17">
        <f>C11/C4</f>
        <v>0.11034745181364906</v>
      </c>
      <c r="D12" s="7" t="s">
        <v>67</v>
      </c>
      <c r="F12" s="30"/>
      <c r="G12" s="30"/>
      <c r="H12" s="30"/>
    </row>
    <row r="13" spans="2:8" x14ac:dyDescent="0.25">
      <c r="B13" s="57" t="s">
        <v>74</v>
      </c>
      <c r="C13" s="41">
        <f>C11*((C4-C6)/C4)</f>
        <v>40276.819911981911</v>
      </c>
      <c r="D13" s="7" t="s">
        <v>43</v>
      </c>
      <c r="F13" s="30"/>
      <c r="G13" s="30"/>
      <c r="H13" s="30"/>
    </row>
    <row r="14" spans="2:8" x14ac:dyDescent="0.25">
      <c r="B14" s="58"/>
      <c r="C14" s="31">
        <f>C13*C7</f>
        <v>8055.3639823963822</v>
      </c>
      <c r="D14" s="13" t="s">
        <v>73</v>
      </c>
      <c r="F14" s="30"/>
      <c r="G14" s="30"/>
      <c r="H14" s="30"/>
    </row>
    <row r="15" spans="2:8" s="30" customFormat="1" x14ac:dyDescent="0.25"/>
  </sheetData>
  <mergeCells count="5">
    <mergeCell ref="B5:B6"/>
    <mergeCell ref="B3:B4"/>
    <mergeCell ref="B13:B14"/>
    <mergeCell ref="F6:F7"/>
    <mergeCell ref="F4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1"/>
  <sheetViews>
    <sheetView workbookViewId="0"/>
  </sheetViews>
  <sheetFormatPr defaultRowHeight="15.75" x14ac:dyDescent="0.25"/>
  <cols>
    <col min="1" max="1" width="3.7109375" style="30" customWidth="1"/>
    <col min="2" max="2" width="12.85546875" style="1" bestFit="1" customWidth="1"/>
    <col min="3" max="3" width="11.5703125" style="1" bestFit="1" customWidth="1"/>
    <col min="4" max="4" width="18.28515625" style="1" bestFit="1" customWidth="1"/>
    <col min="5" max="5" width="3.7109375" style="30" customWidth="1"/>
    <col min="6" max="6" width="12.85546875" style="1" bestFit="1" customWidth="1"/>
    <col min="7" max="7" width="14.28515625" style="1" bestFit="1" customWidth="1"/>
    <col min="8" max="8" width="16.85546875" style="1" bestFit="1" customWidth="1"/>
    <col min="9" max="9" width="3.7109375" style="30" customWidth="1"/>
    <col min="10" max="16384" width="9.140625" style="1"/>
  </cols>
  <sheetData>
    <row r="1" spans="2:8" s="30" customFormat="1" x14ac:dyDescent="0.25"/>
    <row r="2" spans="2:8" x14ac:dyDescent="0.25">
      <c r="B2" s="2" t="s">
        <v>13</v>
      </c>
      <c r="C2" s="3" t="s">
        <v>14</v>
      </c>
      <c r="D2" s="4" t="s">
        <v>15</v>
      </c>
      <c r="F2" s="2" t="s">
        <v>13</v>
      </c>
      <c r="G2" s="3" t="s">
        <v>14</v>
      </c>
      <c r="H2" s="4" t="s">
        <v>15</v>
      </c>
    </row>
    <row r="3" spans="2:8" x14ac:dyDescent="0.25">
      <c r="B3" s="28" t="s">
        <v>75</v>
      </c>
      <c r="C3" s="6">
        <v>75</v>
      </c>
      <c r="D3" s="7" t="s">
        <v>1</v>
      </c>
      <c r="F3" s="28" t="s">
        <v>84</v>
      </c>
      <c r="G3" s="42">
        <f>C15</f>
        <v>3949.6835316263</v>
      </c>
      <c r="H3" s="7" t="s">
        <v>9</v>
      </c>
    </row>
    <row r="4" spans="2:8" x14ac:dyDescent="0.25">
      <c r="B4" s="28" t="s">
        <v>76</v>
      </c>
      <c r="C4" s="6">
        <v>65</v>
      </c>
      <c r="D4" s="7" t="s">
        <v>1</v>
      </c>
      <c r="F4" s="28" t="s">
        <v>85</v>
      </c>
      <c r="G4" s="42">
        <f t="shared" ref="G4:G8" si="0">C16</f>
        <v>3676.9552621700473</v>
      </c>
      <c r="H4" s="7" t="s">
        <v>9</v>
      </c>
    </row>
    <row r="5" spans="2:8" x14ac:dyDescent="0.25">
      <c r="B5" s="28" t="s">
        <v>72</v>
      </c>
      <c r="C5" s="8">
        <v>0.2</v>
      </c>
      <c r="D5" s="7" t="s">
        <v>6</v>
      </c>
      <c r="F5" s="28" t="s">
        <v>87</v>
      </c>
      <c r="G5" s="42">
        <f t="shared" si="0"/>
        <v>3949.6835316262996</v>
      </c>
      <c r="H5" s="7" t="s">
        <v>9</v>
      </c>
    </row>
    <row r="6" spans="2:8" x14ac:dyDescent="0.25">
      <c r="B6" s="57" t="s">
        <v>31</v>
      </c>
      <c r="C6" s="6">
        <v>200</v>
      </c>
      <c r="D6" s="7" t="s">
        <v>77</v>
      </c>
      <c r="F6" s="28" t="s">
        <v>88</v>
      </c>
      <c r="G6" s="42">
        <f t="shared" si="0"/>
        <v>3676.9552621700468</v>
      </c>
      <c r="H6" s="7" t="s">
        <v>9</v>
      </c>
    </row>
    <row r="7" spans="2:8" x14ac:dyDescent="0.25">
      <c r="B7" s="57"/>
      <c r="C7" s="41">
        <f>C6*52</f>
        <v>10400</v>
      </c>
      <c r="D7" s="7" t="s">
        <v>42</v>
      </c>
      <c r="F7" s="28" t="s">
        <v>89</v>
      </c>
      <c r="G7" s="41">
        <f t="shared" si="0"/>
        <v>780000</v>
      </c>
      <c r="H7" s="7" t="s">
        <v>9</v>
      </c>
    </row>
    <row r="8" spans="2:8" x14ac:dyDescent="0.25">
      <c r="B8" s="28" t="s">
        <v>3</v>
      </c>
      <c r="C8" s="6">
        <v>200</v>
      </c>
      <c r="D8" s="7" t="s">
        <v>4</v>
      </c>
      <c r="F8" s="29" t="s">
        <v>90</v>
      </c>
      <c r="G8" s="48">
        <f t="shared" si="0"/>
        <v>676000</v>
      </c>
      <c r="H8" s="13" t="s">
        <v>9</v>
      </c>
    </row>
    <row r="9" spans="2:8" x14ac:dyDescent="0.25">
      <c r="B9" s="28" t="s">
        <v>78</v>
      </c>
      <c r="C9" s="17">
        <f>1/12</f>
        <v>8.3333333333333329E-2</v>
      </c>
      <c r="D9" s="7" t="s">
        <v>67</v>
      </c>
      <c r="F9" s="30"/>
      <c r="G9" s="30"/>
      <c r="H9" s="30"/>
    </row>
    <row r="10" spans="2:8" x14ac:dyDescent="0.25">
      <c r="B10" s="28" t="s">
        <v>79</v>
      </c>
      <c r="C10" s="6">
        <f>0.5</f>
        <v>0.5</v>
      </c>
      <c r="D10" s="7" t="s">
        <v>67</v>
      </c>
      <c r="F10" s="2" t="s">
        <v>13</v>
      </c>
      <c r="G10" s="3" t="s">
        <v>14</v>
      </c>
      <c r="H10" s="4" t="s">
        <v>15</v>
      </c>
    </row>
    <row r="11" spans="2:8" x14ac:dyDescent="0.25">
      <c r="B11" s="28" t="s">
        <v>80</v>
      </c>
      <c r="C11" s="6">
        <f>C5*C3</f>
        <v>15</v>
      </c>
      <c r="D11" s="7" t="s">
        <v>12</v>
      </c>
      <c r="F11" s="28" t="s">
        <v>82</v>
      </c>
      <c r="G11" s="41">
        <f>C13</f>
        <v>526.62447088350666</v>
      </c>
      <c r="H11" s="7" t="s">
        <v>44</v>
      </c>
    </row>
    <row r="12" spans="2:8" x14ac:dyDescent="0.25">
      <c r="B12" s="29" t="s">
        <v>81</v>
      </c>
      <c r="C12" s="31">
        <f>C5*C4</f>
        <v>13</v>
      </c>
      <c r="D12" s="13" t="s">
        <v>12</v>
      </c>
      <c r="F12" s="29" t="s">
        <v>83</v>
      </c>
      <c r="G12" s="48">
        <f>C14</f>
        <v>565.68542494923804</v>
      </c>
      <c r="H12" s="13" t="s">
        <v>44</v>
      </c>
    </row>
    <row r="13" spans="2:8" x14ac:dyDescent="0.25">
      <c r="B13" s="14" t="s">
        <v>82</v>
      </c>
      <c r="C13" s="45">
        <f>SQRT((2*C8*C7)/C11)</f>
        <v>526.62447088350666</v>
      </c>
      <c r="D13" s="16" t="s">
        <v>44</v>
      </c>
      <c r="F13" s="30"/>
      <c r="G13" s="30"/>
      <c r="H13" s="30"/>
    </row>
    <row r="14" spans="2:8" x14ac:dyDescent="0.25">
      <c r="B14" s="29" t="s">
        <v>83</v>
      </c>
      <c r="C14" s="48">
        <f>SQRT((2*C8*C7)/C12)</f>
        <v>565.68542494923804</v>
      </c>
      <c r="D14" s="13" t="s">
        <v>44</v>
      </c>
      <c r="F14" s="30"/>
      <c r="G14" s="30"/>
      <c r="H14" s="30"/>
    </row>
    <row r="15" spans="2:8" x14ac:dyDescent="0.25">
      <c r="B15" s="14" t="s">
        <v>84</v>
      </c>
      <c r="C15" s="46">
        <f>C11*(C13/2)</f>
        <v>3949.6835316263</v>
      </c>
      <c r="D15" s="16" t="s">
        <v>9</v>
      </c>
      <c r="F15" s="30"/>
      <c r="G15" s="30"/>
      <c r="H15" s="30"/>
    </row>
    <row r="16" spans="2:8" x14ac:dyDescent="0.25">
      <c r="B16" s="28" t="s">
        <v>85</v>
      </c>
      <c r="C16" s="42">
        <f>C12*(C14/2)</f>
        <v>3676.9552621700473</v>
      </c>
      <c r="D16" s="7" t="s">
        <v>9</v>
      </c>
      <c r="F16" s="30"/>
      <c r="G16" s="30"/>
      <c r="H16" s="30"/>
    </row>
    <row r="17" spans="2:8" x14ac:dyDescent="0.25">
      <c r="B17" s="28" t="s">
        <v>87</v>
      </c>
      <c r="C17" s="42">
        <f>C8*(C7/C13)</f>
        <v>3949.6835316262996</v>
      </c>
      <c r="D17" s="7" t="s">
        <v>9</v>
      </c>
      <c r="F17" s="30"/>
      <c r="G17" s="30"/>
      <c r="H17" s="30"/>
    </row>
    <row r="18" spans="2:8" x14ac:dyDescent="0.25">
      <c r="B18" s="28" t="s">
        <v>88</v>
      </c>
      <c r="C18" s="42">
        <f>C8*(C7/C14)</f>
        <v>3676.9552621700468</v>
      </c>
      <c r="D18" s="7" t="s">
        <v>9</v>
      </c>
      <c r="F18" s="30"/>
      <c r="G18" s="30"/>
      <c r="H18" s="30"/>
    </row>
    <row r="19" spans="2:8" x14ac:dyDescent="0.25">
      <c r="B19" s="28" t="s">
        <v>89</v>
      </c>
      <c r="C19" s="41">
        <f>C3*C7</f>
        <v>780000</v>
      </c>
      <c r="D19" s="7" t="s">
        <v>9</v>
      </c>
      <c r="F19" s="30"/>
      <c r="G19" s="30"/>
      <c r="H19" s="30"/>
    </row>
    <row r="20" spans="2:8" x14ac:dyDescent="0.25">
      <c r="B20" s="29" t="s">
        <v>90</v>
      </c>
      <c r="C20" s="48">
        <f>C4*C7</f>
        <v>676000</v>
      </c>
      <c r="D20" s="13" t="s">
        <v>9</v>
      </c>
      <c r="F20" s="30"/>
      <c r="G20" s="30"/>
      <c r="H20" s="30"/>
    </row>
    <row r="21" spans="2:8" s="30" customFormat="1" x14ac:dyDescent="0.25"/>
  </sheetData>
  <mergeCells count="1"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14</vt:lpstr>
      <vt:lpstr>Problem 15</vt:lpstr>
      <vt:lpstr>Problem 17 &amp; 18</vt:lpstr>
      <vt:lpstr>Problem 33</vt:lpstr>
      <vt:lpstr>Problem 34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Morris (RIT Student)</dc:creator>
  <cp:lastModifiedBy>Nick Morris</cp:lastModifiedBy>
  <dcterms:created xsi:type="dcterms:W3CDTF">2015-10-06T18:18:31Z</dcterms:created>
  <dcterms:modified xsi:type="dcterms:W3CDTF">2015-10-08T11:44:42Z</dcterms:modified>
</cp:coreProperties>
</file>