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urrent Classes\DAPS\B's Wax Lab\"/>
    </mc:Choice>
  </mc:AlternateContent>
  <bookViews>
    <workbookView xWindow="0" yWindow="0" windowWidth="17400" windowHeight="8850"/>
  </bookViews>
  <sheets>
    <sheet name="Strategy" sheetId="5" r:id="rId1"/>
    <sheet name="Production Form" sheetId="4" r:id="rId2"/>
    <sheet name="Decision Tool" sheetId="3" r:id="rId3"/>
  </sheets>
  <definedNames>
    <definedName name="_xlnm._FilterDatabase" localSheetId="2" hidden="1">'Decision Tool'!$T$3:$V$63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16" i="3" l="1"/>
  <c r="AG4" i="3"/>
  <c r="AH4" i="3"/>
  <c r="AH18" i="3"/>
  <c r="R4" i="3"/>
  <c r="AB5" i="3"/>
  <c r="AB8" i="3"/>
  <c r="AB9" i="3"/>
  <c r="AB10" i="3"/>
  <c r="AB14" i="3"/>
  <c r="AB19" i="3"/>
  <c r="AB24" i="3"/>
  <c r="AB29" i="3"/>
  <c r="AB34" i="3"/>
  <c r="AB39" i="3"/>
  <c r="AB44" i="3"/>
  <c r="AB49" i="3"/>
  <c r="AB54" i="3"/>
  <c r="AB59" i="3"/>
  <c r="AB64" i="3"/>
  <c r="AB4" i="3"/>
  <c r="X4" i="3"/>
  <c r="N24" i="4" l="1"/>
  <c r="N22" i="4"/>
  <c r="N20" i="4"/>
  <c r="N18" i="4"/>
  <c r="N16" i="4"/>
  <c r="N14" i="4"/>
  <c r="N12" i="4"/>
  <c r="N10" i="4"/>
  <c r="N8" i="4"/>
  <c r="N6" i="4"/>
  <c r="N4" i="4"/>
  <c r="V60" i="3" l="1"/>
  <c r="V55" i="3"/>
  <c r="V45" i="3"/>
  <c r="V42" i="3"/>
  <c r="V41" i="3"/>
  <c r="V25" i="3"/>
  <c r="V15" i="3"/>
  <c r="V6" i="3"/>
  <c r="V13"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V7" i="3"/>
  <c r="AB45" i="3" l="1"/>
  <c r="AB65" i="3"/>
  <c r="AB60" i="3"/>
  <c r="AB30" i="3"/>
  <c r="AB40" i="3"/>
  <c r="AB20" i="3"/>
  <c r="AB15" i="3"/>
  <c r="AB55" i="3"/>
  <c r="AB25" i="3"/>
  <c r="AB50" i="3"/>
  <c r="AB35" i="3"/>
  <c r="AB37" i="3"/>
  <c r="AB12" i="3"/>
  <c r="AB22" i="3"/>
  <c r="AB62" i="3"/>
  <c r="AB32" i="3"/>
  <c r="AB57" i="3"/>
  <c r="AB67" i="3"/>
  <c r="AB52" i="3"/>
  <c r="AB7" i="3"/>
  <c r="AB47" i="3"/>
  <c r="AB17" i="3"/>
  <c r="AB42" i="3"/>
  <c r="AD42" i="3" s="1"/>
  <c r="AB27" i="3"/>
  <c r="AB21" i="3"/>
  <c r="AB61" i="3"/>
  <c r="AB6" i="3"/>
  <c r="AB46" i="3"/>
  <c r="AB56" i="3"/>
  <c r="AB31" i="3"/>
  <c r="AB16" i="3"/>
  <c r="AB41" i="3"/>
  <c r="AB26" i="3"/>
  <c r="AB66" i="3"/>
  <c r="AC66" i="3" s="1"/>
  <c r="AB11" i="3"/>
  <c r="AB51" i="3"/>
  <c r="AB36" i="3"/>
  <c r="AB13" i="3"/>
  <c r="AB53" i="3"/>
  <c r="AB28" i="3"/>
  <c r="AB38" i="3"/>
  <c r="AB48" i="3"/>
  <c r="AB68" i="3"/>
  <c r="AB23" i="3"/>
  <c r="AB63" i="3"/>
  <c r="AB33" i="3"/>
  <c r="AB18" i="3"/>
  <c r="AB58" i="3"/>
  <c r="AB43" i="3"/>
  <c r="AD65" i="3"/>
  <c r="L26" i="4"/>
  <c r="J26" i="4"/>
  <c r="H26" i="4"/>
  <c r="F26" i="4"/>
  <c r="D26" i="4"/>
  <c r="L24" i="4"/>
  <c r="J24" i="4"/>
  <c r="H24" i="4"/>
  <c r="F24" i="4"/>
  <c r="D24" i="4"/>
  <c r="L22" i="4"/>
  <c r="J22" i="4"/>
  <c r="H22" i="4"/>
  <c r="F22" i="4"/>
  <c r="D22" i="4"/>
  <c r="L20" i="4"/>
  <c r="J20" i="4"/>
  <c r="H20" i="4"/>
  <c r="F20" i="4"/>
  <c r="D20" i="4"/>
  <c r="L18" i="4"/>
  <c r="J18" i="4"/>
  <c r="H18" i="4"/>
  <c r="F18" i="4"/>
  <c r="D18" i="4"/>
  <c r="L16" i="4"/>
  <c r="J16" i="4"/>
  <c r="H16" i="4"/>
  <c r="F16" i="4"/>
  <c r="D16" i="4"/>
  <c r="L14" i="4"/>
  <c r="J14" i="4"/>
  <c r="H14" i="4"/>
  <c r="F14" i="4"/>
  <c r="D14" i="4"/>
  <c r="L12" i="4"/>
  <c r="J12" i="4"/>
  <c r="H12" i="4"/>
  <c r="F12" i="4"/>
  <c r="D12" i="4"/>
  <c r="L10" i="4"/>
  <c r="J10" i="4"/>
  <c r="H10" i="4"/>
  <c r="F10" i="4"/>
  <c r="D10" i="4"/>
  <c r="L8" i="4"/>
  <c r="J8" i="4"/>
  <c r="H8" i="4"/>
  <c r="F8" i="4"/>
  <c r="D8" i="4"/>
  <c r="L6" i="4"/>
  <c r="J6" i="4"/>
  <c r="H6" i="4"/>
  <c r="F6" i="4"/>
  <c r="D6" i="4"/>
  <c r="H4" i="4"/>
  <c r="L4" i="4"/>
  <c r="J4" i="4"/>
  <c r="F4" i="4"/>
  <c r="D4" i="4"/>
  <c r="AC8" i="3"/>
  <c r="AD6" i="3"/>
  <c r="AC5"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49" i="3"/>
  <c r="X50" i="3"/>
  <c r="X51" i="3"/>
  <c r="X52" i="3"/>
  <c r="X53" i="3"/>
  <c r="X54" i="3"/>
  <c r="X55" i="3"/>
  <c r="X56" i="3"/>
  <c r="X57" i="3"/>
  <c r="X58" i="3"/>
  <c r="X59" i="3"/>
  <c r="X60" i="3"/>
  <c r="X61" i="3"/>
  <c r="X62" i="3"/>
  <c r="X63" i="3"/>
  <c r="AD4" i="3" l="1"/>
  <c r="AC4" i="3"/>
  <c r="AD66" i="3"/>
  <c r="AG15" i="3"/>
  <c r="AG13" i="3"/>
  <c r="AC65" i="3"/>
  <c r="AG14" i="3"/>
  <c r="AG11" i="3"/>
  <c r="AC68" i="3"/>
  <c r="AD68" i="3"/>
  <c r="AD67" i="3"/>
  <c r="AC67" i="3"/>
  <c r="AC64" i="3"/>
  <c r="AD64" i="3"/>
  <c r="AG12" i="3"/>
  <c r="AG10" i="3"/>
  <c r="AG9" i="3"/>
  <c r="AG8" i="3"/>
  <c r="AC23" i="3"/>
  <c r="AC53" i="3"/>
  <c r="AD63" i="3"/>
  <c r="AC13" i="3"/>
  <c r="AC33" i="3"/>
  <c r="AC62" i="3"/>
  <c r="AC51" i="3"/>
  <c r="AC32" i="3"/>
  <c r="AC22" i="3"/>
  <c r="AC12" i="3"/>
  <c r="AC18" i="3"/>
  <c r="AG7" i="3"/>
  <c r="AG6" i="3"/>
  <c r="AG5" i="3"/>
  <c r="AC16" i="3"/>
  <c r="AC26" i="3"/>
  <c r="AC41" i="3"/>
  <c r="AC36" i="3"/>
  <c r="AC61" i="3"/>
  <c r="AC11" i="3"/>
  <c r="AC46" i="3"/>
  <c r="AC21" i="3"/>
  <c r="AC31" i="3"/>
  <c r="AC56" i="3"/>
  <c r="AC52" i="3"/>
  <c r="AC7" i="3"/>
  <c r="AC10" i="3"/>
  <c r="AD15" i="3"/>
  <c r="AD29" i="3"/>
  <c r="AC6" i="3"/>
  <c r="AD5" i="3"/>
  <c r="AD8" i="3"/>
  <c r="AC42" i="3"/>
  <c r="AH16" i="3" l="1"/>
  <c r="AD23" i="3"/>
  <c r="AD51" i="3"/>
  <c r="AC63" i="3"/>
  <c r="AD33" i="3"/>
  <c r="AD13" i="3"/>
  <c r="AD53" i="3"/>
  <c r="AD18" i="3"/>
  <c r="AD22" i="3"/>
  <c r="AD62" i="3"/>
  <c r="AD12" i="3"/>
  <c r="AD32" i="3"/>
  <c r="AD41" i="3"/>
  <c r="AD26" i="3"/>
  <c r="AD36" i="3"/>
  <c r="AD56" i="3"/>
  <c r="AD16" i="3"/>
  <c r="AD61" i="3"/>
  <c r="AD52" i="3"/>
  <c r="AC29" i="3"/>
  <c r="AD11" i="3"/>
  <c r="AD7" i="3"/>
  <c r="AD46" i="3"/>
  <c r="AD21" i="3"/>
  <c r="AD31" i="3"/>
  <c r="AD10" i="3"/>
  <c r="AC15" i="3"/>
  <c r="AC45" i="3"/>
  <c r="AD45" i="3"/>
  <c r="AD43" i="3"/>
  <c r="AC43" i="3"/>
  <c r="AC55" i="3"/>
  <c r="AD55" i="3"/>
  <c r="AD54" i="3"/>
  <c r="AC54" i="3"/>
  <c r="AD38" i="3"/>
  <c r="AC38" i="3"/>
  <c r="AD34" i="3"/>
  <c r="AC34" i="3"/>
  <c r="AC48" i="3"/>
  <c r="AD48" i="3"/>
  <c r="AC24" i="3"/>
  <c r="AD24" i="3"/>
  <c r="AD58" i="3"/>
  <c r="AC58" i="3"/>
  <c r="AC9" i="3"/>
  <c r="AD9" i="3"/>
  <c r="AD47" i="3"/>
  <c r="AC47" i="3"/>
  <c r="AC20" i="3"/>
  <c r="AD20" i="3"/>
  <c r="AC44" i="3"/>
  <c r="AD44" i="3"/>
  <c r="AC60" i="3"/>
  <c r="AD60" i="3"/>
  <c r="AD19" i="3"/>
  <c r="AC19" i="3"/>
  <c r="AC28" i="3"/>
  <c r="AD28" i="3"/>
  <c r="AC17" i="3"/>
  <c r="AD17" i="3"/>
  <c r="AD39" i="3"/>
  <c r="AC39" i="3"/>
  <c r="AC27" i="3"/>
  <c r="AD27" i="3"/>
  <c r="AC59" i="3"/>
  <c r="AD59" i="3"/>
  <c r="AC14" i="3"/>
  <c r="AD14" i="3"/>
  <c r="AC25" i="3"/>
  <c r="AD25" i="3"/>
  <c r="AC57" i="3"/>
  <c r="AD57" i="3"/>
  <c r="AC40" i="3"/>
  <c r="AD40" i="3"/>
  <c r="AC37" i="3"/>
  <c r="AD37" i="3"/>
  <c r="AC49" i="3"/>
  <c r="AD49" i="3"/>
  <c r="AD35" i="3"/>
  <c r="AC35" i="3"/>
  <c r="AD30" i="3"/>
  <c r="AC30" i="3"/>
  <c r="AD50" i="3"/>
  <c r="AC50" i="3"/>
  <c r="AH11" i="3" l="1"/>
  <c r="AH9" i="3"/>
  <c r="AH10" i="3"/>
  <c r="AH6" i="3"/>
  <c r="AH14" i="3"/>
  <c r="AH12" i="3"/>
  <c r="AH15" i="3"/>
  <c r="AH7" i="3"/>
  <c r="AH13" i="3"/>
  <c r="AH5" i="3"/>
  <c r="AH8" i="3"/>
</calcChain>
</file>

<file path=xl/sharedStrings.xml><?xml version="1.0" encoding="utf-8"?>
<sst xmlns="http://schemas.openxmlformats.org/spreadsheetml/2006/main" count="358" uniqueCount="44">
  <si>
    <t>T</t>
  </si>
  <si>
    <t>R</t>
  </si>
  <si>
    <t>C</t>
  </si>
  <si>
    <t>A</t>
  </si>
  <si>
    <t>G</t>
  </si>
  <si>
    <t>Month</t>
  </si>
  <si>
    <t>Type</t>
  </si>
  <si>
    <t>Qty</t>
  </si>
  <si>
    <t>First Setup</t>
  </si>
  <si>
    <t>Last Setup</t>
  </si>
  <si>
    <t>Candle</t>
  </si>
  <si>
    <t>Sell [$/unit]</t>
  </si>
  <si>
    <t>Cost [$/unit]</t>
  </si>
  <si>
    <t>Holding [$/unit/month]</t>
  </si>
  <si>
    <t>Setup [hr]</t>
  </si>
  <si>
    <t>Demand [unit/month]</t>
  </si>
  <si>
    <t>Production [unit/hr]</t>
  </si>
  <si>
    <t>Capacity [hr/month]</t>
  </si>
  <si>
    <t>Cost [$/month]</t>
  </si>
  <si>
    <t>Norm(700,200^2)</t>
  </si>
  <si>
    <t>600 (+-) [Large StdDev]</t>
  </si>
  <si>
    <t>-</t>
  </si>
  <si>
    <t>Month Due</t>
  </si>
  <si>
    <t>COMMITED ORDERS</t>
  </si>
  <si>
    <t>Utilisation</t>
  </si>
  <si>
    <t>Expected Profit</t>
  </si>
  <si>
    <t>PERFORMANCE METRICS</t>
  </si>
  <si>
    <t>Quantity Due</t>
  </si>
  <si>
    <t>Quantity</t>
  </si>
  <si>
    <t>PRODUCTION DECISIONS</t>
  </si>
  <si>
    <t>INVENTORY LEVELS</t>
  </si>
  <si>
    <t>Setup</t>
  </si>
  <si>
    <t>Yes</t>
  </si>
  <si>
    <t>No</t>
  </si>
  <si>
    <t>Setup Hours</t>
  </si>
  <si>
    <t>Profit of Sales</t>
  </si>
  <si>
    <t>Holding Cost</t>
  </si>
  <si>
    <t>Penalty Cost</t>
  </si>
  <si>
    <t>Penalty [$/unit/month]</t>
  </si>
  <si>
    <t>Cumulative Profit:</t>
  </si>
  <si>
    <t>Orders</t>
  </si>
  <si>
    <t>Green Indicates Accepted Orders</t>
  </si>
  <si>
    <t>Sales Received</t>
  </si>
  <si>
    <t>Our strategy was to develop and use a decion tool that would quickly calculate the utilisation of the system, the inventory levels, and the expected profit for every month. This tool allowed us to try different order commitments and see which one was preferrable. The advantage of this over the given tools was the speed and certainty of calculations for holding, penalty, and operating costs for each product every month. The changes the user makes are under "Commited Orders" and "Production Decisions" and the calculations are automatic under "Inventory Levels" and "System Metrics".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</si>
</sst>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3">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73">
    <xf numFmtId="0" fontId="0" fillId="0" borderId="0" xfId="0"/>
    <xf numFmtId="0" fontId="0" fillId="0" borderId="1"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2" borderId="0" xfId="0" applyFill="1" applyBorder="1" applyAlignment="1">
      <alignment horizontal="center" vertical="center"/>
    </xf>
    <xf numFmtId="0" fontId="1" fillId="2" borderId="0" xfId="0" applyFont="1" applyFill="1" applyBorder="1" applyAlignment="1">
      <alignment vertical="center"/>
    </xf>
    <xf numFmtId="0" fontId="1" fillId="2"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2"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0" xfId="0" applyFill="1" applyBorder="1" applyAlignment="1">
      <alignment horizontal="center" vertical="center"/>
    </xf>
    <xf numFmtId="0" fontId="0" fillId="0" borderId="4" xfId="0" applyFill="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10" fontId="0" fillId="0" borderId="0" xfId="2" applyNumberFormat="1" applyFont="1" applyBorder="1" applyAlignment="1">
      <alignment horizontal="center" vertical="center"/>
    </xf>
    <xf numFmtId="10" fontId="0" fillId="0" borderId="10" xfId="2" applyNumberFormat="1" applyFont="1" applyBorder="1" applyAlignment="1">
      <alignment horizontal="center" vertical="center"/>
    </xf>
    <xf numFmtId="0" fontId="3" fillId="2" borderId="0" xfId="0" applyFont="1" applyFill="1" applyBorder="1" applyAlignment="1">
      <alignment horizontal="center" vertical="center"/>
    </xf>
    <xf numFmtId="0" fontId="3" fillId="0" borderId="0" xfId="0" applyFont="1" applyBorder="1" applyAlignment="1">
      <alignment horizontal="center" vertical="center"/>
    </xf>
    <xf numFmtId="0" fontId="0" fillId="0" borderId="8" xfId="0" applyBorder="1" applyAlignment="1">
      <alignment horizontal="center" vertical="center"/>
    </xf>
    <xf numFmtId="44" fontId="0" fillId="0" borderId="2" xfId="1" applyFont="1" applyBorder="1" applyAlignment="1">
      <alignment horizontal="center" vertical="center"/>
    </xf>
    <xf numFmtId="44" fontId="0" fillId="0" borderId="4" xfId="1" applyFont="1" applyBorder="1" applyAlignment="1">
      <alignment horizontal="center" vertical="center"/>
    </xf>
    <xf numFmtId="44" fontId="0" fillId="0" borderId="6" xfId="1" applyFont="1" applyFill="1" applyBorder="1" applyAlignment="1">
      <alignment horizontal="center" vertical="center"/>
    </xf>
    <xf numFmtId="0" fontId="0" fillId="0" borderId="0" xfId="0"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2" xfId="0" applyFont="1" applyBorder="1" applyAlignment="1">
      <alignment horizontal="center" vertical="center"/>
    </xf>
    <xf numFmtId="0" fontId="0" fillId="2" borderId="8"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Fill="1" applyBorder="1" applyAlignment="1">
      <alignment horizontal="left" vertical="center"/>
    </xf>
    <xf numFmtId="0" fontId="1" fillId="0" borderId="13" xfId="0" applyFont="1" applyFill="1"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4" fillId="2" borderId="0" xfId="0" applyFont="1" applyFill="1"/>
    <xf numFmtId="0" fontId="0" fillId="3" borderId="0" xfId="0" applyFill="1" applyBorder="1" applyAlignment="1">
      <alignment horizontal="left" vertical="center"/>
    </xf>
    <xf numFmtId="0" fontId="0" fillId="3" borderId="0" xfId="0" applyFill="1" applyBorder="1" applyAlignment="1">
      <alignment horizontal="center" vertical="center"/>
    </xf>
    <xf numFmtId="0" fontId="4" fillId="0" borderId="0" xfId="0" applyFont="1" applyFill="1"/>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0" xfId="0" applyFill="1"/>
    <xf numFmtId="0" fontId="0" fillId="0" borderId="18" xfId="0" applyFill="1" applyBorder="1" applyAlignment="1">
      <alignment horizontal="left" vertical="top" wrapText="1"/>
    </xf>
    <xf numFmtId="0" fontId="0" fillId="0" borderId="0"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0" fillId="2" borderId="0" xfId="0" applyFill="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heetViews>
  <sheetFormatPr defaultColWidth="0" defaultRowHeight="15" zeroHeight="1" x14ac:dyDescent="0.25"/>
  <cols>
    <col min="1" max="1" width="3.7109375" style="58" customWidth="1"/>
    <col min="2" max="10" width="9.140625" style="65" customWidth="1"/>
    <col min="11" max="11" width="3.7109375" style="58" customWidth="1"/>
    <col min="12" max="16384" width="9.140625" style="65" hidden="1"/>
  </cols>
  <sheetData>
    <row r="1" spans="1:11" s="58" customFormat="1" ht="15.75" thickBot="1" x14ac:dyDescent="0.3"/>
    <row r="2" spans="1:11" ht="15" customHeight="1" x14ac:dyDescent="0.25">
      <c r="B2" s="62" t="s">
        <v>43</v>
      </c>
      <c r="C2" s="63"/>
      <c r="D2" s="63"/>
      <c r="E2" s="63"/>
      <c r="F2" s="63"/>
      <c r="G2" s="63"/>
      <c r="H2" s="63"/>
      <c r="I2" s="63"/>
      <c r="J2" s="64"/>
    </row>
    <row r="3" spans="1:11" x14ac:dyDescent="0.25">
      <c r="B3" s="66"/>
      <c r="C3" s="67"/>
      <c r="D3" s="67"/>
      <c r="E3" s="67"/>
      <c r="F3" s="67"/>
      <c r="G3" s="67"/>
      <c r="H3" s="67"/>
      <c r="I3" s="67"/>
      <c r="J3" s="68"/>
    </row>
    <row r="4" spans="1:11" x14ac:dyDescent="0.25">
      <c r="B4" s="66"/>
      <c r="C4" s="67"/>
      <c r="D4" s="67"/>
      <c r="E4" s="67"/>
      <c r="F4" s="67"/>
      <c r="G4" s="67"/>
      <c r="H4" s="67"/>
      <c r="I4" s="67"/>
      <c r="J4" s="68"/>
    </row>
    <row r="5" spans="1:11" x14ac:dyDescent="0.25">
      <c r="B5" s="66"/>
      <c r="C5" s="67"/>
      <c r="D5" s="67"/>
      <c r="E5" s="67"/>
      <c r="F5" s="67"/>
      <c r="G5" s="67"/>
      <c r="H5" s="67"/>
      <c r="I5" s="67"/>
      <c r="J5" s="68"/>
    </row>
    <row r="6" spans="1:11" x14ac:dyDescent="0.25">
      <c r="B6" s="66"/>
      <c r="C6" s="67"/>
      <c r="D6" s="67"/>
      <c r="E6" s="67"/>
      <c r="F6" s="67"/>
      <c r="G6" s="67"/>
      <c r="H6" s="67"/>
      <c r="I6" s="67"/>
      <c r="J6" s="68"/>
    </row>
    <row r="7" spans="1:11" x14ac:dyDescent="0.25">
      <c r="B7" s="66"/>
      <c r="C7" s="67"/>
      <c r="D7" s="67"/>
      <c r="E7" s="67"/>
      <c r="F7" s="67"/>
      <c r="G7" s="67"/>
      <c r="H7" s="67"/>
      <c r="I7" s="67"/>
      <c r="J7" s="68"/>
    </row>
    <row r="8" spans="1:11" s="61" customFormat="1" ht="15.75" thickBot="1" x14ac:dyDescent="0.3">
      <c r="A8" s="58"/>
      <c r="B8" s="69"/>
      <c r="C8" s="70"/>
      <c r="D8" s="70"/>
      <c r="E8" s="70"/>
      <c r="F8" s="70"/>
      <c r="G8" s="70"/>
      <c r="H8" s="70"/>
      <c r="I8" s="70"/>
      <c r="J8" s="71"/>
      <c r="K8" s="58"/>
    </row>
    <row r="9" spans="1:11" s="72" customFormat="1" x14ac:dyDescent="0.25">
      <c r="A9" s="58"/>
      <c r="K9" s="58"/>
    </row>
  </sheetData>
  <mergeCells count="1">
    <mergeCell ref="B2: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heetViews>
  <sheetFormatPr defaultColWidth="0" defaultRowHeight="15" zeroHeight="1" x14ac:dyDescent="0.25"/>
  <cols>
    <col min="1" max="1" width="3.7109375" style="15" customWidth="1"/>
    <col min="2" max="2" width="9.140625" style="3" customWidth="1"/>
    <col min="3" max="3" width="9.140625" style="37" customWidth="1"/>
    <col min="4" max="4" width="9.140625" style="3" customWidth="1"/>
    <col min="5" max="5" width="9.140625" style="37" customWidth="1"/>
    <col min="6" max="6" width="9.140625" style="3" customWidth="1"/>
    <col min="7" max="7" width="9.140625" style="37" customWidth="1"/>
    <col min="8" max="8" width="9.140625" style="3" customWidth="1"/>
    <col min="9" max="9" width="9.140625" style="37" customWidth="1"/>
    <col min="10" max="10" width="9.140625" style="3" customWidth="1"/>
    <col min="11" max="11" width="9.140625" style="37" customWidth="1"/>
    <col min="12" max="12" width="9.140625" style="3" customWidth="1"/>
    <col min="13" max="14" width="9.140625" style="37" customWidth="1"/>
    <col min="15" max="15" width="3.7109375" style="15" customWidth="1"/>
    <col min="16" max="21" width="0" style="37" hidden="1" customWidth="1"/>
    <col min="22" max="16384" width="9.140625" style="37" hidden="1"/>
  </cols>
  <sheetData>
    <row r="1" spans="1:15" s="15" customFormat="1" x14ac:dyDescent="0.25">
      <c r="B1" s="59" t="s">
        <v>41</v>
      </c>
      <c r="C1" s="60"/>
      <c r="D1" s="60"/>
      <c r="E1" s="60"/>
    </row>
    <row r="2" spans="1:15" s="2" customFormat="1" ht="15" customHeight="1" x14ac:dyDescent="0.25">
      <c r="A2" s="15"/>
      <c r="B2" s="38" t="s">
        <v>5</v>
      </c>
      <c r="C2" s="13" t="s">
        <v>6</v>
      </c>
      <c r="D2" s="14" t="s">
        <v>7</v>
      </c>
      <c r="E2" s="13" t="s">
        <v>6</v>
      </c>
      <c r="F2" s="14" t="s">
        <v>7</v>
      </c>
      <c r="G2" s="13" t="s">
        <v>6</v>
      </c>
      <c r="H2" s="14" t="s">
        <v>7</v>
      </c>
      <c r="I2" s="13" t="s">
        <v>6</v>
      </c>
      <c r="J2" s="14" t="s">
        <v>7</v>
      </c>
      <c r="K2" s="13" t="s">
        <v>6</v>
      </c>
      <c r="L2" s="14" t="s">
        <v>7</v>
      </c>
      <c r="M2" s="46" t="s">
        <v>8</v>
      </c>
      <c r="N2" s="48" t="s">
        <v>9</v>
      </c>
      <c r="O2" s="15"/>
    </row>
    <row r="3" spans="1:15" x14ac:dyDescent="0.25">
      <c r="B3" s="39">
        <v>0</v>
      </c>
      <c r="C3" s="2" t="s">
        <v>0</v>
      </c>
      <c r="E3" s="2" t="s">
        <v>1</v>
      </c>
      <c r="G3" s="2" t="s">
        <v>2</v>
      </c>
      <c r="I3" s="2" t="s">
        <v>3</v>
      </c>
      <c r="K3" s="2" t="s">
        <v>4</v>
      </c>
      <c r="M3" s="47"/>
      <c r="N3" s="49"/>
    </row>
    <row r="4" spans="1:15" x14ac:dyDescent="0.25">
      <c r="B4" s="39">
        <v>1</v>
      </c>
      <c r="C4" s="2" t="s">
        <v>0</v>
      </c>
      <c r="D4" s="3">
        <f>SUMIFS('Decision Tool'!$V:$V,'Decision Tool'!$T:$T,$B4,'Decision Tool'!$U:$U,C4)</f>
        <v>0</v>
      </c>
      <c r="E4" s="2" t="s">
        <v>1</v>
      </c>
      <c r="F4" s="3">
        <f>SUMIFS('Decision Tool'!$V:$V,'Decision Tool'!$T:$T,$B4,'Decision Tool'!$U:$U,E4)</f>
        <v>600</v>
      </c>
      <c r="G4" s="2" t="s">
        <v>2</v>
      </c>
      <c r="H4" s="3">
        <f>SUMIFS('Decision Tool'!$V:$V,'Decision Tool'!$T:$T,$B4,'Decision Tool'!$U:$U,G4)</f>
        <v>1200</v>
      </c>
      <c r="I4" s="2" t="s">
        <v>3</v>
      </c>
      <c r="J4" s="3">
        <f>SUMIFS('Decision Tool'!$V:$V,'Decision Tool'!$T:$T,$B4,'Decision Tool'!$U:$U,I4)</f>
        <v>250</v>
      </c>
      <c r="K4" s="2" t="s">
        <v>4</v>
      </c>
      <c r="L4" s="3">
        <f>SUMIFS('Decision Tool'!$V:$V,'Decision Tool'!$T:$T,$B4,'Decision Tool'!$U:$U,K4)</f>
        <v>0</v>
      </c>
      <c r="M4" s="2" t="s">
        <v>3</v>
      </c>
      <c r="N4" s="3" t="str">
        <f>M6</f>
        <v>R</v>
      </c>
    </row>
    <row r="5" spans="1:15" s="33" customFormat="1" x14ac:dyDescent="0.25">
      <c r="A5" s="15"/>
      <c r="B5" s="38" t="s">
        <v>40</v>
      </c>
      <c r="C5" s="42">
        <v>1</v>
      </c>
      <c r="D5" s="43">
        <v>2</v>
      </c>
      <c r="E5" s="42">
        <v>3</v>
      </c>
      <c r="F5" s="28">
        <v>4</v>
      </c>
      <c r="G5" s="33">
        <v>5</v>
      </c>
      <c r="H5" s="28">
        <v>6</v>
      </c>
      <c r="I5" s="33">
        <v>7</v>
      </c>
      <c r="J5" s="44"/>
      <c r="K5" s="45"/>
      <c r="L5" s="44"/>
      <c r="N5" s="28"/>
      <c r="O5" s="15"/>
    </row>
    <row r="6" spans="1:15" x14ac:dyDescent="0.25">
      <c r="B6" s="39">
        <v>2</v>
      </c>
      <c r="C6" s="2" t="s">
        <v>0</v>
      </c>
      <c r="D6" s="3">
        <f>SUMIFS('Decision Tool'!$V:$V,'Decision Tool'!$T:$T,$B6,'Decision Tool'!$U:$U,C6)</f>
        <v>0</v>
      </c>
      <c r="E6" s="2" t="s">
        <v>1</v>
      </c>
      <c r="F6" s="3">
        <f>SUMIFS('Decision Tool'!$V:$V,'Decision Tool'!$T:$T,$B6,'Decision Tool'!$U:$U,E6)</f>
        <v>600</v>
      </c>
      <c r="G6" s="2" t="s">
        <v>2</v>
      </c>
      <c r="H6" s="3">
        <f>SUMIFS('Decision Tool'!$V:$V,'Decision Tool'!$T:$T,$B6,'Decision Tool'!$U:$U,G6)</f>
        <v>0</v>
      </c>
      <c r="I6" s="2" t="s">
        <v>3</v>
      </c>
      <c r="J6" s="3">
        <f>SUMIFS('Decision Tool'!$V:$V,'Decision Tool'!$T:$T,$B6,'Decision Tool'!$U:$U,I6)</f>
        <v>1000</v>
      </c>
      <c r="K6" s="2" t="s">
        <v>4</v>
      </c>
      <c r="L6" s="3">
        <f>SUMIFS('Decision Tool'!$V:$V,'Decision Tool'!$T:$T,$B6,'Decision Tool'!$U:$U,K6)</f>
        <v>400</v>
      </c>
      <c r="M6" s="2" t="s">
        <v>1</v>
      </c>
      <c r="N6" s="3" t="str">
        <f>M8</f>
        <v>A</v>
      </c>
    </row>
    <row r="7" spans="1:15" s="33" customFormat="1" x14ac:dyDescent="0.25">
      <c r="A7" s="15"/>
      <c r="B7" s="38" t="s">
        <v>40</v>
      </c>
      <c r="C7" s="42">
        <v>1</v>
      </c>
      <c r="D7" s="43">
        <v>2</v>
      </c>
      <c r="E7" s="42">
        <v>3</v>
      </c>
      <c r="F7" s="28">
        <v>4</v>
      </c>
      <c r="G7" s="33">
        <v>5</v>
      </c>
      <c r="H7" s="28">
        <v>6</v>
      </c>
      <c r="I7" s="33">
        <v>7</v>
      </c>
      <c r="J7" s="44"/>
      <c r="K7" s="45"/>
      <c r="L7" s="44"/>
      <c r="N7" s="28"/>
      <c r="O7" s="15"/>
    </row>
    <row r="8" spans="1:15" x14ac:dyDescent="0.25">
      <c r="B8" s="39">
        <v>3</v>
      </c>
      <c r="C8" s="2" t="s">
        <v>0</v>
      </c>
      <c r="D8" s="3">
        <f>SUMIFS('Decision Tool'!$V:$V,'Decision Tool'!$T:$T,$B8,'Decision Tool'!$U:$U,C8)</f>
        <v>0</v>
      </c>
      <c r="E8" s="2" t="s">
        <v>1</v>
      </c>
      <c r="F8" s="3">
        <f>SUMIFS('Decision Tool'!$V:$V,'Decision Tool'!$T:$T,$B8,'Decision Tool'!$U:$U,E8)</f>
        <v>600</v>
      </c>
      <c r="G8" s="2" t="s">
        <v>2</v>
      </c>
      <c r="H8" s="3">
        <f>SUMIFS('Decision Tool'!$V:$V,'Decision Tool'!$T:$T,$B8,'Decision Tool'!$U:$U,G8)</f>
        <v>1100</v>
      </c>
      <c r="I8" s="2" t="s">
        <v>3</v>
      </c>
      <c r="J8" s="3">
        <f>SUMIFS('Decision Tool'!$V:$V,'Decision Tool'!$T:$T,$B8,'Decision Tool'!$U:$U,I8)</f>
        <v>350</v>
      </c>
      <c r="K8" s="2" t="s">
        <v>4</v>
      </c>
      <c r="L8" s="3">
        <f>SUMIFS('Decision Tool'!$V:$V,'Decision Tool'!$T:$T,$B8,'Decision Tool'!$U:$U,K8)</f>
        <v>0</v>
      </c>
      <c r="M8" s="2" t="s">
        <v>3</v>
      </c>
      <c r="N8" s="3" t="str">
        <f>M10</f>
        <v>C</v>
      </c>
    </row>
    <row r="9" spans="1:15" s="33" customFormat="1" x14ac:dyDescent="0.25">
      <c r="A9" s="15"/>
      <c r="B9" s="38" t="s">
        <v>40</v>
      </c>
      <c r="C9" s="42">
        <v>1</v>
      </c>
      <c r="D9" s="28">
        <v>2</v>
      </c>
      <c r="E9" s="42">
        <v>3</v>
      </c>
      <c r="F9" s="28">
        <v>4</v>
      </c>
      <c r="G9" s="33">
        <v>5</v>
      </c>
      <c r="H9" s="28">
        <v>6</v>
      </c>
      <c r="I9" s="33">
        <v>7</v>
      </c>
      <c r="J9" s="44"/>
      <c r="K9" s="45"/>
      <c r="L9" s="44"/>
      <c r="N9" s="28"/>
      <c r="O9" s="15"/>
    </row>
    <row r="10" spans="1:15" x14ac:dyDescent="0.25">
      <c r="B10" s="39">
        <v>4</v>
      </c>
      <c r="C10" s="2" t="s">
        <v>0</v>
      </c>
      <c r="D10" s="3">
        <f>SUMIFS('Decision Tool'!$V:$V,'Decision Tool'!$T:$T,$B10,'Decision Tool'!$U:$U,C10)</f>
        <v>750</v>
      </c>
      <c r="E10" s="2" t="s">
        <v>1</v>
      </c>
      <c r="F10" s="3">
        <f>SUMIFS('Decision Tool'!$V:$V,'Decision Tool'!$T:$T,$B10,'Decision Tool'!$U:$U,E10)</f>
        <v>900</v>
      </c>
      <c r="G10" s="2" t="s">
        <v>2</v>
      </c>
      <c r="H10" s="3">
        <f>SUMIFS('Decision Tool'!$V:$V,'Decision Tool'!$T:$T,$B10,'Decision Tool'!$U:$U,G10)</f>
        <v>100</v>
      </c>
      <c r="I10" s="2" t="s">
        <v>3</v>
      </c>
      <c r="J10" s="3">
        <f>SUMIFS('Decision Tool'!$V:$V,'Decision Tool'!$T:$T,$B10,'Decision Tool'!$U:$U,I10)</f>
        <v>0</v>
      </c>
      <c r="K10" s="2" t="s">
        <v>4</v>
      </c>
      <c r="L10" s="3">
        <f>SUMIFS('Decision Tool'!$V:$V,'Decision Tool'!$T:$T,$B10,'Decision Tool'!$U:$U,K10)</f>
        <v>100</v>
      </c>
      <c r="M10" s="2" t="s">
        <v>2</v>
      </c>
      <c r="N10" s="3" t="str">
        <f>M12</f>
        <v>T</v>
      </c>
    </row>
    <row r="11" spans="1:15" s="33" customFormat="1" x14ac:dyDescent="0.25">
      <c r="A11" s="15"/>
      <c r="B11" s="38" t="s">
        <v>40</v>
      </c>
      <c r="C11" s="33">
        <v>1</v>
      </c>
      <c r="D11" s="28">
        <v>2</v>
      </c>
      <c r="E11" s="33">
        <v>3</v>
      </c>
      <c r="F11" s="28">
        <v>4</v>
      </c>
      <c r="G11" s="33">
        <v>5</v>
      </c>
      <c r="H11" s="28">
        <v>6</v>
      </c>
      <c r="I11" s="33">
        <v>7</v>
      </c>
      <c r="J11" s="44"/>
      <c r="K11" s="45"/>
      <c r="L11" s="44"/>
      <c r="N11" s="28"/>
      <c r="O11" s="15"/>
    </row>
    <row r="12" spans="1:15" x14ac:dyDescent="0.25">
      <c r="B12" s="39">
        <v>5</v>
      </c>
      <c r="C12" s="2" t="s">
        <v>0</v>
      </c>
      <c r="D12" s="3">
        <f>SUMIFS('Decision Tool'!$V:$V,'Decision Tool'!$T:$T,$B12,'Decision Tool'!$U:$U,C12)</f>
        <v>920</v>
      </c>
      <c r="E12" s="2" t="s">
        <v>1</v>
      </c>
      <c r="F12" s="3">
        <f>SUMIFS('Decision Tool'!$V:$V,'Decision Tool'!$T:$T,$B12,'Decision Tool'!$U:$U,E12)</f>
        <v>1030</v>
      </c>
      <c r="G12" s="2" t="s">
        <v>2</v>
      </c>
      <c r="H12" s="3">
        <f>SUMIFS('Decision Tool'!$V:$V,'Decision Tool'!$T:$T,$B12,'Decision Tool'!$U:$U,G12)</f>
        <v>100</v>
      </c>
      <c r="I12" s="2" t="s">
        <v>3</v>
      </c>
      <c r="J12" s="3">
        <f>SUMIFS('Decision Tool'!$V:$V,'Decision Tool'!$T:$T,$B12,'Decision Tool'!$U:$U,I12)</f>
        <v>0</v>
      </c>
      <c r="K12" s="2" t="s">
        <v>4</v>
      </c>
      <c r="L12" s="3">
        <f>SUMIFS('Decision Tool'!$V:$V,'Decision Tool'!$T:$T,$B12,'Decision Tool'!$U:$U,K12)</f>
        <v>0</v>
      </c>
      <c r="M12" s="2" t="s">
        <v>0</v>
      </c>
      <c r="N12" s="3" t="str">
        <f>M14</f>
        <v>C</v>
      </c>
    </row>
    <row r="13" spans="1:15" s="33" customFormat="1" x14ac:dyDescent="0.25">
      <c r="A13" s="15"/>
      <c r="B13" s="38" t="s">
        <v>40</v>
      </c>
      <c r="C13" s="33">
        <v>1</v>
      </c>
      <c r="D13" s="43">
        <v>2</v>
      </c>
      <c r="E13" s="33">
        <v>3</v>
      </c>
      <c r="F13" s="43">
        <v>4</v>
      </c>
      <c r="G13" s="42">
        <v>5</v>
      </c>
      <c r="H13" s="28">
        <v>6</v>
      </c>
      <c r="I13" s="33">
        <v>7</v>
      </c>
      <c r="J13" s="44"/>
      <c r="K13" s="45"/>
      <c r="L13" s="44"/>
      <c r="N13" s="28"/>
      <c r="O13" s="15"/>
    </row>
    <row r="14" spans="1:15" x14ac:dyDescent="0.25">
      <c r="B14" s="39">
        <v>6</v>
      </c>
      <c r="C14" s="2" t="s">
        <v>0</v>
      </c>
      <c r="D14" s="3">
        <f>SUMIFS('Decision Tool'!$V:$V,'Decision Tool'!$T:$T,$B14,'Decision Tool'!$U:$U,C14)</f>
        <v>730</v>
      </c>
      <c r="E14" s="2" t="s">
        <v>1</v>
      </c>
      <c r="F14" s="3">
        <f>SUMIFS('Decision Tool'!$V:$V,'Decision Tool'!$T:$T,$B14,'Decision Tool'!$U:$U,E14)</f>
        <v>770</v>
      </c>
      <c r="G14" s="2" t="s">
        <v>2</v>
      </c>
      <c r="H14" s="3">
        <f>SUMIFS('Decision Tool'!$V:$V,'Decision Tool'!$T:$T,$B14,'Decision Tool'!$U:$U,G14)</f>
        <v>200</v>
      </c>
      <c r="I14" s="2" t="s">
        <v>3</v>
      </c>
      <c r="J14" s="3">
        <f>SUMIFS('Decision Tool'!$V:$V,'Decision Tool'!$T:$T,$B14,'Decision Tool'!$U:$U,I14)</f>
        <v>150</v>
      </c>
      <c r="K14" s="2" t="s">
        <v>4</v>
      </c>
      <c r="L14" s="3">
        <f>SUMIFS('Decision Tool'!$V:$V,'Decision Tool'!$T:$T,$B14,'Decision Tool'!$U:$U,K14)</f>
        <v>0</v>
      </c>
      <c r="M14" s="2" t="s">
        <v>2</v>
      </c>
      <c r="N14" s="3" t="str">
        <f>M16</f>
        <v>A</v>
      </c>
    </row>
    <row r="15" spans="1:15" s="33" customFormat="1" x14ac:dyDescent="0.25">
      <c r="A15" s="15"/>
      <c r="B15" s="38" t="s">
        <v>40</v>
      </c>
      <c r="C15" s="42">
        <v>1</v>
      </c>
      <c r="D15" s="43">
        <v>2</v>
      </c>
      <c r="E15" s="33">
        <v>3</v>
      </c>
      <c r="F15" s="28">
        <v>4</v>
      </c>
      <c r="G15" s="33">
        <v>5</v>
      </c>
      <c r="H15" s="28">
        <v>6</v>
      </c>
      <c r="I15" s="33">
        <v>7</v>
      </c>
      <c r="J15" s="44"/>
      <c r="K15" s="45"/>
      <c r="L15" s="44"/>
      <c r="N15" s="28"/>
      <c r="O15" s="15"/>
    </row>
    <row r="16" spans="1:15" x14ac:dyDescent="0.25">
      <c r="B16" s="39">
        <v>7</v>
      </c>
      <c r="C16" s="2" t="s">
        <v>0</v>
      </c>
      <c r="D16" s="3">
        <f>SUMIFS('Decision Tool'!$V:$V,'Decision Tool'!$T:$T,$B16,'Decision Tool'!$U:$U,C16)</f>
        <v>850</v>
      </c>
      <c r="E16" s="2" t="s">
        <v>1</v>
      </c>
      <c r="F16" s="3">
        <f>SUMIFS('Decision Tool'!$V:$V,'Decision Tool'!$T:$T,$B16,'Decision Tool'!$U:$U,E16)</f>
        <v>900</v>
      </c>
      <c r="G16" s="2" t="s">
        <v>2</v>
      </c>
      <c r="H16" s="3">
        <f>SUMIFS('Decision Tool'!$V:$V,'Decision Tool'!$T:$T,$B16,'Decision Tool'!$U:$U,G16)</f>
        <v>0</v>
      </c>
      <c r="I16" s="2" t="s">
        <v>3</v>
      </c>
      <c r="J16" s="3">
        <f>SUMIFS('Decision Tool'!$V:$V,'Decision Tool'!$T:$T,$B16,'Decision Tool'!$U:$U,I16)</f>
        <v>300</v>
      </c>
      <c r="K16" s="2" t="s">
        <v>4</v>
      </c>
      <c r="L16" s="3">
        <f>SUMIFS('Decision Tool'!$V:$V,'Decision Tool'!$T:$T,$B16,'Decision Tool'!$U:$U,K16)</f>
        <v>0</v>
      </c>
      <c r="M16" s="2" t="s">
        <v>3</v>
      </c>
      <c r="N16" s="3" t="str">
        <f>M18</f>
        <v>R</v>
      </c>
    </row>
    <row r="17" spans="1:15" s="33" customFormat="1" x14ac:dyDescent="0.25">
      <c r="A17" s="15"/>
      <c r="B17" s="38" t="s">
        <v>40</v>
      </c>
      <c r="C17" s="42">
        <v>1</v>
      </c>
      <c r="D17" s="43">
        <v>2</v>
      </c>
      <c r="E17" s="33">
        <v>3</v>
      </c>
      <c r="F17" s="43">
        <v>4</v>
      </c>
      <c r="G17" s="33">
        <v>5</v>
      </c>
      <c r="H17" s="28">
        <v>6</v>
      </c>
      <c r="I17" s="33">
        <v>7</v>
      </c>
      <c r="J17" s="44"/>
      <c r="K17" s="45"/>
      <c r="L17" s="44"/>
      <c r="N17" s="28"/>
      <c r="O17" s="15"/>
    </row>
    <row r="18" spans="1:15" x14ac:dyDescent="0.25">
      <c r="B18" s="39">
        <v>8</v>
      </c>
      <c r="C18" s="2" t="s">
        <v>0</v>
      </c>
      <c r="D18" s="3">
        <f>SUMIFS('Decision Tool'!$V:$V,'Decision Tool'!$T:$T,$B18,'Decision Tool'!$U:$U,C18)</f>
        <v>0</v>
      </c>
      <c r="E18" s="2" t="s">
        <v>1</v>
      </c>
      <c r="F18" s="3">
        <f>SUMIFS('Decision Tool'!$V:$V,'Decision Tool'!$T:$T,$B18,'Decision Tool'!$U:$U,E18)</f>
        <v>700</v>
      </c>
      <c r="G18" s="2" t="s">
        <v>2</v>
      </c>
      <c r="H18" s="3">
        <f>SUMIFS('Decision Tool'!$V:$V,'Decision Tool'!$T:$T,$B18,'Decision Tool'!$U:$U,G18)</f>
        <v>650</v>
      </c>
      <c r="I18" s="2" t="s">
        <v>3</v>
      </c>
      <c r="J18" s="3">
        <f>SUMIFS('Decision Tool'!$V:$V,'Decision Tool'!$T:$T,$B18,'Decision Tool'!$U:$U,I18)</f>
        <v>650</v>
      </c>
      <c r="K18" s="2" t="s">
        <v>4</v>
      </c>
      <c r="L18" s="3">
        <f>SUMIFS('Decision Tool'!$V:$V,'Decision Tool'!$T:$T,$B18,'Decision Tool'!$U:$U,K18)</f>
        <v>0</v>
      </c>
      <c r="M18" s="2" t="s">
        <v>1</v>
      </c>
      <c r="N18" s="3" t="str">
        <f>M20</f>
        <v>A</v>
      </c>
    </row>
    <row r="19" spans="1:15" s="33" customFormat="1" x14ac:dyDescent="0.25">
      <c r="A19" s="15"/>
      <c r="B19" s="38" t="s">
        <v>40</v>
      </c>
      <c r="C19" s="42">
        <v>1</v>
      </c>
      <c r="D19" s="28">
        <v>2</v>
      </c>
      <c r="E19" s="33">
        <v>3</v>
      </c>
      <c r="F19" s="28">
        <v>4</v>
      </c>
      <c r="G19" s="33">
        <v>5</v>
      </c>
      <c r="H19" s="28">
        <v>6</v>
      </c>
      <c r="I19" s="33">
        <v>7</v>
      </c>
      <c r="J19" s="44"/>
      <c r="K19" s="45"/>
      <c r="L19" s="44"/>
      <c r="N19" s="28"/>
      <c r="O19" s="15"/>
    </row>
    <row r="20" spans="1:15" x14ac:dyDescent="0.25">
      <c r="B20" s="39">
        <v>9</v>
      </c>
      <c r="C20" s="2" t="s">
        <v>0</v>
      </c>
      <c r="D20" s="3">
        <f>SUMIFS('Decision Tool'!$V:$V,'Decision Tool'!$T:$T,$B20,'Decision Tool'!$U:$U,C20)</f>
        <v>250</v>
      </c>
      <c r="E20" s="2" t="s">
        <v>1</v>
      </c>
      <c r="F20" s="3">
        <f>SUMIFS('Decision Tool'!$V:$V,'Decision Tool'!$T:$T,$B20,'Decision Tool'!$U:$U,E20)</f>
        <v>1400</v>
      </c>
      <c r="G20" s="2" t="s">
        <v>2</v>
      </c>
      <c r="H20" s="3">
        <f>SUMIFS('Decision Tool'!$V:$V,'Decision Tool'!$T:$T,$B20,'Decision Tool'!$U:$U,G20)</f>
        <v>0</v>
      </c>
      <c r="I20" s="2" t="s">
        <v>3</v>
      </c>
      <c r="J20" s="3">
        <f>SUMIFS('Decision Tool'!$V:$V,'Decision Tool'!$T:$T,$B20,'Decision Tool'!$U:$U,I20)</f>
        <v>400</v>
      </c>
      <c r="K20" s="2" t="s">
        <v>4</v>
      </c>
      <c r="L20" s="3">
        <f>SUMIFS('Decision Tool'!$V:$V,'Decision Tool'!$T:$T,$B20,'Decision Tool'!$U:$U,K20)</f>
        <v>0</v>
      </c>
      <c r="M20" s="2" t="s">
        <v>3</v>
      </c>
      <c r="N20" s="3" t="str">
        <f>M22</f>
        <v>T</v>
      </c>
    </row>
    <row r="21" spans="1:15" s="33" customFormat="1" x14ac:dyDescent="0.25">
      <c r="A21" s="15"/>
      <c r="B21" s="38" t="s">
        <v>40</v>
      </c>
      <c r="C21" s="42">
        <v>1</v>
      </c>
      <c r="D21" s="43">
        <v>2</v>
      </c>
      <c r="E21" s="33">
        <v>3</v>
      </c>
      <c r="F21" s="28">
        <v>4</v>
      </c>
      <c r="G21" s="33">
        <v>5</v>
      </c>
      <c r="H21" s="28">
        <v>6</v>
      </c>
      <c r="I21" s="33">
        <v>7</v>
      </c>
      <c r="J21" s="44"/>
      <c r="K21" s="45"/>
      <c r="L21" s="44"/>
      <c r="N21" s="28"/>
      <c r="O21" s="15"/>
    </row>
    <row r="22" spans="1:15" x14ac:dyDescent="0.25">
      <c r="B22" s="39">
        <v>10</v>
      </c>
      <c r="C22" s="2" t="s">
        <v>0</v>
      </c>
      <c r="D22" s="3">
        <f>SUMIFS('Decision Tool'!$V:$V,'Decision Tool'!$T:$T,$B22,'Decision Tool'!$U:$U,C22)</f>
        <v>500</v>
      </c>
      <c r="E22" s="2" t="s">
        <v>1</v>
      </c>
      <c r="F22" s="3">
        <f>SUMIFS('Decision Tool'!$V:$V,'Decision Tool'!$T:$T,$B22,'Decision Tool'!$U:$U,E22)</f>
        <v>350</v>
      </c>
      <c r="G22" s="2" t="s">
        <v>2</v>
      </c>
      <c r="H22" s="3">
        <f>SUMIFS('Decision Tool'!$V:$V,'Decision Tool'!$T:$T,$B22,'Decision Tool'!$U:$U,G22)</f>
        <v>300</v>
      </c>
      <c r="I22" s="2" t="s">
        <v>3</v>
      </c>
      <c r="J22" s="3">
        <f>SUMIFS('Decision Tool'!$V:$V,'Decision Tool'!$T:$T,$B22,'Decision Tool'!$U:$U,I22)</f>
        <v>700</v>
      </c>
      <c r="K22" s="2" t="s">
        <v>4</v>
      </c>
      <c r="L22" s="3">
        <f>SUMIFS('Decision Tool'!$V:$V,'Decision Tool'!$T:$T,$B22,'Decision Tool'!$U:$U,K22)</f>
        <v>0</v>
      </c>
      <c r="M22" s="2" t="s">
        <v>0</v>
      </c>
      <c r="N22" s="3" t="str">
        <f>M24</f>
        <v>A</v>
      </c>
    </row>
    <row r="23" spans="1:15" s="33" customFormat="1" x14ac:dyDescent="0.25">
      <c r="A23" s="15"/>
      <c r="B23" s="38" t="s">
        <v>40</v>
      </c>
      <c r="C23" s="42">
        <v>1</v>
      </c>
      <c r="D23" s="28">
        <v>2</v>
      </c>
      <c r="E23" s="33">
        <v>3</v>
      </c>
      <c r="F23" s="28">
        <v>4</v>
      </c>
      <c r="G23" s="33">
        <v>5</v>
      </c>
      <c r="H23" s="28">
        <v>6</v>
      </c>
      <c r="I23" s="33">
        <v>7</v>
      </c>
      <c r="J23" s="44"/>
      <c r="K23" s="45"/>
      <c r="L23" s="44"/>
      <c r="N23" s="28"/>
      <c r="O23" s="15"/>
    </row>
    <row r="24" spans="1:15" x14ac:dyDescent="0.25">
      <c r="B24" s="39">
        <v>11</v>
      </c>
      <c r="C24" s="2" t="s">
        <v>0</v>
      </c>
      <c r="D24" s="3">
        <f>SUMIFS('Decision Tool'!$V:$V,'Decision Tool'!$T:$T,$B24,'Decision Tool'!$U:$U,C24)</f>
        <v>0</v>
      </c>
      <c r="E24" s="2" t="s">
        <v>1</v>
      </c>
      <c r="F24" s="3">
        <f>SUMIFS('Decision Tool'!$V:$V,'Decision Tool'!$T:$T,$B24,'Decision Tool'!$U:$U,E24)</f>
        <v>1450</v>
      </c>
      <c r="G24" s="2" t="s">
        <v>2</v>
      </c>
      <c r="H24" s="3">
        <f>SUMIFS('Decision Tool'!$V:$V,'Decision Tool'!$T:$T,$B24,'Decision Tool'!$U:$U,G24)</f>
        <v>0</v>
      </c>
      <c r="I24" s="2" t="s">
        <v>3</v>
      </c>
      <c r="J24" s="3">
        <f>SUMIFS('Decision Tool'!$V:$V,'Decision Tool'!$T:$T,$B24,'Decision Tool'!$U:$U,I24)</f>
        <v>800</v>
      </c>
      <c r="K24" s="2" t="s">
        <v>4</v>
      </c>
      <c r="L24" s="3">
        <f>SUMIFS('Decision Tool'!$V:$V,'Decision Tool'!$T:$T,$B24,'Decision Tool'!$U:$U,K24)</f>
        <v>0</v>
      </c>
      <c r="M24" s="2" t="s">
        <v>3</v>
      </c>
      <c r="N24" s="3" t="str">
        <f>M26</f>
        <v>R</v>
      </c>
    </row>
    <row r="25" spans="1:15" s="33" customFormat="1" x14ac:dyDescent="0.25">
      <c r="A25" s="15"/>
      <c r="B25" s="38" t="s">
        <v>40</v>
      </c>
      <c r="C25" s="42">
        <v>1</v>
      </c>
      <c r="D25" s="43">
        <v>2</v>
      </c>
      <c r="E25" s="33">
        <v>3</v>
      </c>
      <c r="F25" s="28">
        <v>4</v>
      </c>
      <c r="G25" s="33">
        <v>5</v>
      </c>
      <c r="H25" s="28">
        <v>6</v>
      </c>
      <c r="I25" s="33">
        <v>7</v>
      </c>
      <c r="J25" s="44"/>
      <c r="K25" s="45"/>
      <c r="L25" s="44"/>
      <c r="N25" s="28"/>
      <c r="O25" s="15"/>
    </row>
    <row r="26" spans="1:15" x14ac:dyDescent="0.25">
      <c r="B26" s="40">
        <v>12</v>
      </c>
      <c r="C26" s="5" t="s">
        <v>0</v>
      </c>
      <c r="D26" s="6">
        <f>SUMIFS('Decision Tool'!$V:$V,'Decision Tool'!$T:$T,$B26,'Decision Tool'!$U:$U,C26)</f>
        <v>300</v>
      </c>
      <c r="E26" s="5" t="s">
        <v>1</v>
      </c>
      <c r="F26" s="6">
        <f>SUMIFS('Decision Tool'!$V:$V,'Decision Tool'!$T:$T,$B26,'Decision Tool'!$U:$U,E26)</f>
        <v>600</v>
      </c>
      <c r="G26" s="5" t="s">
        <v>2</v>
      </c>
      <c r="H26" s="6">
        <f>SUMIFS('Decision Tool'!$V:$V,'Decision Tool'!$T:$T,$B26,'Decision Tool'!$U:$U,G26)</f>
        <v>400</v>
      </c>
      <c r="I26" s="5" t="s">
        <v>3</v>
      </c>
      <c r="J26" s="6">
        <f>SUMIFS('Decision Tool'!$V:$V,'Decision Tool'!$T:$T,$B26,'Decision Tool'!$U:$U,I26)</f>
        <v>0</v>
      </c>
      <c r="K26" s="5" t="s">
        <v>4</v>
      </c>
      <c r="L26" s="6">
        <f>SUMIFS('Decision Tool'!$V:$V,'Decision Tool'!$T:$T,$B26,'Decision Tool'!$U:$U,K26)</f>
        <v>500</v>
      </c>
      <c r="M26" s="5" t="s">
        <v>1</v>
      </c>
      <c r="N26" s="6"/>
    </row>
    <row r="27" spans="1:15" s="15" customFormat="1" x14ac:dyDescent="0.25"/>
  </sheetData>
  <mergeCells count="2">
    <mergeCell ref="M2:M3"/>
    <mergeCell ref="N2: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
  <sheetViews>
    <sheetView workbookViewId="0"/>
  </sheetViews>
  <sheetFormatPr defaultColWidth="0" defaultRowHeight="15" zeroHeight="1" x14ac:dyDescent="0.25"/>
  <cols>
    <col min="1" max="1" width="3.7109375" style="15" customWidth="1"/>
    <col min="2" max="2" width="10.85546875" style="2" hidden="1" customWidth="1"/>
    <col min="3" max="3" width="11.5703125" style="2" hidden="1" customWidth="1"/>
    <col min="4" max="4" width="12.7109375" style="2" hidden="1" customWidth="1"/>
    <col min="5" max="5" width="22.140625" style="2" hidden="1" customWidth="1"/>
    <col min="6" max="6" width="22.28515625" style="2" hidden="1" customWidth="1"/>
    <col min="7" max="7" width="9.85546875" style="2" hidden="1" customWidth="1"/>
    <col min="8" max="8" width="21.140625" style="2" hidden="1" customWidth="1"/>
    <col min="9" max="9" width="19.140625" style="2" hidden="1" customWidth="1"/>
    <col min="10" max="10" width="3.7109375" style="15" hidden="1" customWidth="1"/>
    <col min="11" max="11" width="19.140625" style="2" hidden="1" customWidth="1"/>
    <col min="12" max="12" width="14.5703125" style="2" hidden="1" customWidth="1"/>
    <col min="13" max="13" width="3.7109375" style="15" hidden="1" customWidth="1"/>
    <col min="14" max="14" width="11" style="2" bestFit="1" customWidth="1"/>
    <col min="15" max="15" width="10.7109375" style="2" customWidth="1"/>
    <col min="16" max="16" width="12.7109375" style="2" bestFit="1" customWidth="1"/>
    <col min="17" max="17" width="16.28515625" style="2" bestFit="1" customWidth="1"/>
    <col min="18" max="18" width="16.28515625" style="2" hidden="1" customWidth="1"/>
    <col min="19" max="19" width="3.7109375" style="15" customWidth="1"/>
    <col min="20" max="23" width="10.7109375" style="2" customWidth="1"/>
    <col min="24" max="24" width="14.42578125" style="2" hidden="1" customWidth="1"/>
    <col min="25" max="25" width="3.7109375" style="15" customWidth="1"/>
    <col min="26" max="28" width="10.7109375" style="2" customWidth="1"/>
    <col min="29" max="29" width="12.140625" style="2" hidden="1" customWidth="1"/>
    <col min="30" max="30" width="12" style="2" hidden="1" customWidth="1"/>
    <col min="31" max="31" width="3.7109375" style="15" customWidth="1"/>
    <col min="32" max="33" width="10.7109375" style="2" customWidth="1"/>
    <col min="34" max="34" width="14.7109375" style="2" bestFit="1" customWidth="1"/>
    <col min="35" max="35" width="3.7109375" style="15" customWidth="1"/>
    <col min="36" max="36" width="0" style="2" hidden="1" customWidth="1"/>
    <col min="37" max="39" width="0" style="2" hidden="1"/>
    <col min="40" max="16384" width="9.140625" style="2" hidden="1"/>
  </cols>
  <sheetData>
    <row r="1" spans="2:36" s="15" customFormat="1" x14ac:dyDescent="0.25">
      <c r="AJ1" s="31" t="s">
        <v>32</v>
      </c>
    </row>
    <row r="2" spans="2:36" x14ac:dyDescent="0.25">
      <c r="B2" s="7" t="s">
        <v>10</v>
      </c>
      <c r="C2" s="8" t="s">
        <v>11</v>
      </c>
      <c r="D2" s="8" t="s">
        <v>12</v>
      </c>
      <c r="E2" s="8" t="s">
        <v>38</v>
      </c>
      <c r="F2" s="8" t="s">
        <v>13</v>
      </c>
      <c r="G2" s="8" t="s">
        <v>14</v>
      </c>
      <c r="H2" s="8" t="s">
        <v>15</v>
      </c>
      <c r="I2" s="9" t="s">
        <v>16</v>
      </c>
      <c r="K2" s="7" t="s">
        <v>17</v>
      </c>
      <c r="L2" s="9" t="s">
        <v>18</v>
      </c>
      <c r="N2" s="55" t="s">
        <v>23</v>
      </c>
      <c r="O2" s="56"/>
      <c r="P2" s="56"/>
      <c r="Q2" s="57"/>
      <c r="R2" s="19"/>
      <c r="S2" s="16"/>
      <c r="T2" s="52" t="s">
        <v>29</v>
      </c>
      <c r="U2" s="53"/>
      <c r="V2" s="53"/>
      <c r="W2" s="54"/>
      <c r="X2" s="11"/>
      <c r="Z2" s="52" t="s">
        <v>30</v>
      </c>
      <c r="AA2" s="53"/>
      <c r="AB2" s="54"/>
      <c r="AC2" s="11"/>
      <c r="AD2" s="11"/>
      <c r="AF2" s="52" t="s">
        <v>26</v>
      </c>
      <c r="AG2" s="53"/>
      <c r="AH2" s="54"/>
      <c r="AJ2" s="32" t="s">
        <v>33</v>
      </c>
    </row>
    <row r="3" spans="2:36" x14ac:dyDescent="0.25">
      <c r="B3" s="1" t="s">
        <v>0</v>
      </c>
      <c r="C3" s="2">
        <v>8</v>
      </c>
      <c r="D3" s="2">
        <v>4</v>
      </c>
      <c r="E3" s="2">
        <v>8</v>
      </c>
      <c r="F3" s="2">
        <v>0.1</v>
      </c>
      <c r="G3" s="2">
        <v>40</v>
      </c>
      <c r="H3" s="2" t="s">
        <v>19</v>
      </c>
      <c r="I3" s="3">
        <v>5</v>
      </c>
      <c r="K3" s="4">
        <v>480</v>
      </c>
      <c r="L3" s="6">
        <v>2400</v>
      </c>
      <c r="N3" s="18" t="s">
        <v>22</v>
      </c>
      <c r="O3" s="19" t="s">
        <v>10</v>
      </c>
      <c r="P3" s="19" t="s">
        <v>27</v>
      </c>
      <c r="Q3" s="20" t="s">
        <v>42</v>
      </c>
      <c r="R3" s="19" t="s">
        <v>35</v>
      </c>
      <c r="S3" s="17"/>
      <c r="T3" s="10" t="s">
        <v>5</v>
      </c>
      <c r="U3" s="11" t="s">
        <v>10</v>
      </c>
      <c r="V3" s="11" t="s">
        <v>28</v>
      </c>
      <c r="W3" s="12" t="s">
        <v>31</v>
      </c>
      <c r="X3" s="11" t="s">
        <v>34</v>
      </c>
      <c r="Z3" s="10" t="s">
        <v>5</v>
      </c>
      <c r="AA3" s="11" t="s">
        <v>10</v>
      </c>
      <c r="AB3" s="12" t="s">
        <v>28</v>
      </c>
      <c r="AC3" s="11" t="s">
        <v>36</v>
      </c>
      <c r="AD3" s="11" t="s">
        <v>37</v>
      </c>
      <c r="AF3" s="10" t="s">
        <v>5</v>
      </c>
      <c r="AG3" s="11" t="s">
        <v>24</v>
      </c>
      <c r="AH3" s="12" t="s">
        <v>25</v>
      </c>
    </row>
    <row r="4" spans="2:36" x14ac:dyDescent="0.25">
      <c r="B4" s="1" t="s">
        <v>1</v>
      </c>
      <c r="C4" s="2">
        <v>7</v>
      </c>
      <c r="D4" s="2">
        <v>4</v>
      </c>
      <c r="E4" s="2">
        <v>1</v>
      </c>
      <c r="F4" s="2">
        <v>0.1</v>
      </c>
      <c r="G4" s="2">
        <v>30</v>
      </c>
      <c r="H4" s="2" t="s">
        <v>20</v>
      </c>
      <c r="I4" s="3">
        <v>5</v>
      </c>
      <c r="K4" s="15"/>
      <c r="L4" s="15"/>
      <c r="N4" s="21">
        <v>1</v>
      </c>
      <c r="O4" s="22" t="s">
        <v>1</v>
      </c>
      <c r="P4" s="22">
        <v>600</v>
      </c>
      <c r="Q4" s="23">
        <v>1</v>
      </c>
      <c r="R4" s="22">
        <f>IF(Q4&lt;&gt;"",_xlfn.IFNA((VLOOKUP(O4,$B$3:$D$7,2,FALSE)*P4)-(VLOOKUP(O4,$B$3:$D$7,3,FALSE)*P4),0),0)</f>
        <v>1800</v>
      </c>
      <c r="T4" s="1">
        <v>1</v>
      </c>
      <c r="U4" s="2" t="s">
        <v>0</v>
      </c>
      <c r="W4" s="3"/>
      <c r="X4" s="2">
        <f>IF(W4="Yes",VLOOKUP(U4,$B$3:$G$7,6,FALSE),0)</f>
        <v>0</v>
      </c>
      <c r="Z4" s="27">
        <v>1</v>
      </c>
      <c r="AA4" s="33" t="s">
        <v>0</v>
      </c>
      <c r="AB4" s="28">
        <f>IF(AA4="T",1000,0)+SUMIFS(V:V,U:U,AA4,T:T,"&lt;="&amp;Z4)-SUMIFS(P:P,O:O,AA4,N:N,"&lt;="&amp;Z4)</f>
        <v>650</v>
      </c>
      <c r="AC4" s="2">
        <f>IF(AB4&gt;0,AB4*$F$3,0)</f>
        <v>65</v>
      </c>
      <c r="AD4" s="2">
        <f>IF(AB4&lt;0,-AB4*_xlfn.IFNA(VLOOKUP(AA4,$B$4:$E$7,4,FALSE),0),0)</f>
        <v>0</v>
      </c>
      <c r="AF4" s="1">
        <v>1</v>
      </c>
      <c r="AG4" s="29">
        <f>((SUMIF(T:T,AF4,V:V)/$I$3)+SUMIF(T:T,AF4,X:X))/$K$3</f>
        <v>1</v>
      </c>
      <c r="AH4" s="34">
        <f>SUMIF(N:N,AF4,R:R)-SUMIF(Z:Z,AF4,AC:AC)-SUMIF(Z:Z,AF4,AD:AD)-$L$3</f>
        <v>7910</v>
      </c>
    </row>
    <row r="5" spans="2:36" x14ac:dyDescent="0.25">
      <c r="B5" s="1" t="s">
        <v>3</v>
      </c>
      <c r="C5" s="2">
        <v>10</v>
      </c>
      <c r="D5" s="2">
        <v>4</v>
      </c>
      <c r="E5" s="2">
        <v>2</v>
      </c>
      <c r="F5" s="2">
        <v>0.1</v>
      </c>
      <c r="G5" s="2">
        <v>40</v>
      </c>
      <c r="H5" s="2" t="s">
        <v>21</v>
      </c>
      <c r="I5" s="3">
        <v>5</v>
      </c>
      <c r="K5" s="15"/>
      <c r="L5" s="15"/>
      <c r="N5" s="21">
        <v>1</v>
      </c>
      <c r="O5" s="22" t="s">
        <v>2</v>
      </c>
      <c r="P5" s="22">
        <v>1000</v>
      </c>
      <c r="Q5" s="23">
        <v>1</v>
      </c>
      <c r="R5" s="22">
        <f>IF(Q5&lt;&gt;"",_xlfn.IFNA((VLOOKUP(O5,$B$3:$D$7,2,FALSE)*P5)-(VLOOKUP(O5,$B$3:$D$7,3,FALSE)*P5),0),0)</f>
        <v>6000</v>
      </c>
      <c r="T5" s="1">
        <v>1</v>
      </c>
      <c r="U5" s="2" t="s">
        <v>1</v>
      </c>
      <c r="V5" s="2">
        <v>600</v>
      </c>
      <c r="W5" s="3" t="s">
        <v>32</v>
      </c>
      <c r="X5" s="2">
        <f t="shared" ref="X5:X63" si="0">IF(W5="Yes",VLOOKUP(U5,$B$3:$G$7,6,FALSE),0)</f>
        <v>30</v>
      </c>
      <c r="Z5" s="1">
        <v>1</v>
      </c>
      <c r="AA5" s="2" t="s">
        <v>1</v>
      </c>
      <c r="AB5" s="3">
        <f>IF(AA5="T",1000,0)+SUMIFS(V:V,U:U,AA5,T:T,"&lt;="&amp;Z5)-SUMIFS(P:P,O:O,AA5,N:N,"&lt;="&amp;Z5)</f>
        <v>0</v>
      </c>
      <c r="AC5" s="2">
        <f t="shared" ref="AC5:AC63" si="1">IF(AB5&gt;0,AB5*$F$3,0)</f>
        <v>0</v>
      </c>
      <c r="AD5" s="2">
        <f t="shared" ref="AD5:AD63" si="2">IF(AB5&lt;0,-AB5*_xlfn.IFNA(VLOOKUP(AA5,$B$4:$E$7,4,FALSE),0),0)</f>
        <v>0</v>
      </c>
      <c r="AF5" s="1">
        <v>2</v>
      </c>
      <c r="AG5" s="29">
        <f>((SUMIF(T:T,AF5,V:V)/$I$3)+SUMIF(T:T,AF5,X:X))/$K$3</f>
        <v>1</v>
      </c>
      <c r="AH5" s="34">
        <f>SUMIF(N:N,AF5,R:R)-SUMIF(Z:Z,AF5,AC:AC)-SUMIF(Z:Z,AF5,AD:AD)-$L$3</f>
        <v>6346</v>
      </c>
    </row>
    <row r="6" spans="2:36" x14ac:dyDescent="0.25">
      <c r="B6" s="1" t="s">
        <v>2</v>
      </c>
      <c r="C6" s="2">
        <v>10</v>
      </c>
      <c r="D6" s="2">
        <v>4</v>
      </c>
      <c r="E6" s="2">
        <v>2</v>
      </c>
      <c r="F6" s="2">
        <v>0.1</v>
      </c>
      <c r="G6" s="2">
        <v>40</v>
      </c>
      <c r="H6" s="2" t="s">
        <v>21</v>
      </c>
      <c r="I6" s="3">
        <v>5</v>
      </c>
      <c r="K6" s="15"/>
      <c r="L6" s="15"/>
      <c r="N6" s="21">
        <v>1</v>
      </c>
      <c r="O6" s="22" t="s">
        <v>3</v>
      </c>
      <c r="P6" s="22">
        <v>200</v>
      </c>
      <c r="Q6" s="23">
        <v>1</v>
      </c>
      <c r="R6" s="22">
        <f>IF(Q6&lt;&gt;"",_xlfn.IFNA((VLOOKUP(O6,$B$3:$D$7,2,FALSE)*P6)-(VLOOKUP(O6,$B$3:$D$7,3,FALSE)*P6),0),0)</f>
        <v>1200</v>
      </c>
      <c r="T6" s="1">
        <v>1</v>
      </c>
      <c r="U6" s="2" t="s">
        <v>3</v>
      </c>
      <c r="V6" s="2">
        <f>200+50</f>
        <v>250</v>
      </c>
      <c r="W6" s="3" t="s">
        <v>33</v>
      </c>
      <c r="X6" s="2">
        <f t="shared" si="0"/>
        <v>0</v>
      </c>
      <c r="Z6" s="1">
        <v>1</v>
      </c>
      <c r="AA6" s="2" t="s">
        <v>3</v>
      </c>
      <c r="AB6" s="3">
        <f>IF(AA6="T",1000,0)+SUMIFS(V:V,U:U,AA6,T:T,"&lt;="&amp;Z6)-SUMIFS(P:P,O:O,AA6,N:N,"&lt;="&amp;Z6)</f>
        <v>50</v>
      </c>
      <c r="AC6" s="2">
        <f t="shared" si="1"/>
        <v>5</v>
      </c>
      <c r="AD6" s="2">
        <f t="shared" si="2"/>
        <v>0</v>
      </c>
      <c r="AF6" s="1">
        <v>3</v>
      </c>
      <c r="AG6" s="29">
        <f>((SUMIF(T:T,AF6,V:V)/$I$3)+SUMIF(T:T,AF6,X:X))/$K$3</f>
        <v>1</v>
      </c>
      <c r="AH6" s="34">
        <f>SUMIF(N:N,AF6,R:R)-SUMIF(Z:Z,AF6,AC:AC)-SUMIF(Z:Z,AF6,AD:AD)-$L$3</f>
        <v>5630</v>
      </c>
    </row>
    <row r="7" spans="2:36" x14ac:dyDescent="0.25">
      <c r="B7" s="4" t="s">
        <v>4</v>
      </c>
      <c r="C7" s="5">
        <v>10</v>
      </c>
      <c r="D7" s="5">
        <v>4</v>
      </c>
      <c r="E7" s="5">
        <v>2</v>
      </c>
      <c r="F7" s="5">
        <v>0.1</v>
      </c>
      <c r="G7" s="5">
        <v>40</v>
      </c>
      <c r="H7" s="5" t="s">
        <v>21</v>
      </c>
      <c r="I7" s="6">
        <v>5</v>
      </c>
      <c r="K7" s="15"/>
      <c r="L7" s="15"/>
      <c r="N7" s="21">
        <v>2</v>
      </c>
      <c r="O7" s="22" t="s">
        <v>1</v>
      </c>
      <c r="P7" s="22">
        <v>600</v>
      </c>
      <c r="Q7" s="23">
        <v>2</v>
      </c>
      <c r="R7" s="22">
        <f>IF(Q7&lt;&gt;"",_xlfn.IFNA((VLOOKUP(O7,$B$3:$D$7,2,FALSE)*P7)-(VLOOKUP(O7,$B$3:$D$7,3,FALSE)*P7),0),0)</f>
        <v>1800</v>
      </c>
      <c r="T7" s="1">
        <v>1</v>
      </c>
      <c r="U7" s="2" t="s">
        <v>2</v>
      </c>
      <c r="V7" s="2">
        <f>1000+200</f>
        <v>1200</v>
      </c>
      <c r="W7" s="3" t="s">
        <v>32</v>
      </c>
      <c r="X7" s="2">
        <f t="shared" si="0"/>
        <v>40</v>
      </c>
      <c r="Z7" s="1">
        <v>1</v>
      </c>
      <c r="AA7" s="2" t="s">
        <v>2</v>
      </c>
      <c r="AB7" s="3">
        <f>IF(AA7="T",1000,0)+SUMIFS(V:V,U:U,AA7,T:T,"&lt;="&amp;Z7)-SUMIFS(P:P,O:O,AA7,N:N,"&lt;="&amp;Z7)</f>
        <v>200</v>
      </c>
      <c r="AC7" s="2">
        <f t="shared" si="1"/>
        <v>20</v>
      </c>
      <c r="AD7" s="2">
        <f t="shared" si="2"/>
        <v>0</v>
      </c>
      <c r="AF7" s="1">
        <v>4</v>
      </c>
      <c r="AG7" s="29">
        <f>((SUMIF(T:T,AF7,V:V)/$I$3)+SUMIF(T:T,AF7,X:X))/$K$3</f>
        <v>1</v>
      </c>
      <c r="AH7" s="34">
        <f>SUMIF(N:N,AF7,R:R)-SUMIF(Z:Z,AF7,AC:AC)-SUMIF(Z:Z,AF7,AD:AD)-$L$3</f>
        <v>12300</v>
      </c>
    </row>
    <row r="8" spans="2:36" x14ac:dyDescent="0.25">
      <c r="B8" s="15"/>
      <c r="C8" s="15"/>
      <c r="D8" s="15"/>
      <c r="E8" s="15"/>
      <c r="F8" s="15"/>
      <c r="G8" s="15"/>
      <c r="H8" s="15"/>
      <c r="I8" s="15"/>
      <c r="K8" s="15"/>
      <c r="L8" s="15"/>
      <c r="N8" s="21">
        <v>2</v>
      </c>
      <c r="O8" s="22" t="s">
        <v>3</v>
      </c>
      <c r="P8" s="22">
        <v>400</v>
      </c>
      <c r="Q8" s="23">
        <v>2</v>
      </c>
      <c r="R8" s="22">
        <f>IF(Q8&lt;&gt;"",_xlfn.IFNA((VLOOKUP(O8,$B$3:$D$7,2,FALSE)*P8)-(VLOOKUP(O8,$B$3:$D$7,3,FALSE)*P8),0),0)</f>
        <v>2400</v>
      </c>
      <c r="T8" s="1">
        <v>1</v>
      </c>
      <c r="U8" s="2" t="s">
        <v>4</v>
      </c>
      <c r="W8" s="3"/>
      <c r="X8" s="2">
        <f t="shared" si="0"/>
        <v>0</v>
      </c>
      <c r="Z8" s="4">
        <v>1</v>
      </c>
      <c r="AA8" s="5" t="s">
        <v>4</v>
      </c>
      <c r="AB8" s="6">
        <f>IF(AA8="T",1000,0)+SUMIFS(V:V,U:U,AA8,T:T,"&lt;="&amp;Z8)-SUMIFS(P:P,O:O,AA8,N:N,"&lt;="&amp;Z8)</f>
        <v>0</v>
      </c>
      <c r="AC8" s="2">
        <f t="shared" si="1"/>
        <v>0</v>
      </c>
      <c r="AD8" s="2">
        <f t="shared" si="2"/>
        <v>0</v>
      </c>
      <c r="AF8" s="1">
        <v>5</v>
      </c>
      <c r="AG8" s="29">
        <f>((SUMIF(T:T,AF8,V:V)/$I$3)+SUMIF(T:T,AF8,X:X))/$K$3</f>
        <v>1</v>
      </c>
      <c r="AH8" s="34">
        <f>SUMIF(N:N,AF8,R:R)-SUMIF(Z:Z,AF8,AC:AC)-SUMIF(Z:Z,AF8,AD:AD)-$L$3</f>
        <v>4567</v>
      </c>
    </row>
    <row r="9" spans="2:36" x14ac:dyDescent="0.25">
      <c r="B9" s="15"/>
      <c r="C9" s="15"/>
      <c r="D9" s="15"/>
      <c r="E9" s="15"/>
      <c r="F9" s="15"/>
      <c r="G9" s="15"/>
      <c r="H9" s="15"/>
      <c r="I9" s="15"/>
      <c r="K9" s="15"/>
      <c r="L9" s="15"/>
      <c r="N9" s="21">
        <v>2</v>
      </c>
      <c r="O9" s="22" t="s">
        <v>4</v>
      </c>
      <c r="P9" s="22">
        <v>200</v>
      </c>
      <c r="Q9" s="23">
        <v>2</v>
      </c>
      <c r="R9" s="22">
        <f>IF(Q9&lt;&gt;"",_xlfn.IFNA((VLOOKUP(O9,$B$3:$D$7,2,FALSE)*P9)-(VLOOKUP(O9,$B$3:$D$7,3,FALSE)*P9),0),0)</f>
        <v>1200</v>
      </c>
      <c r="T9" s="27">
        <v>2</v>
      </c>
      <c r="U9" s="33" t="s">
        <v>0</v>
      </c>
      <c r="V9" s="33"/>
      <c r="W9" s="28"/>
      <c r="X9" s="2">
        <f t="shared" si="0"/>
        <v>0</v>
      </c>
      <c r="Z9" s="27">
        <v>2</v>
      </c>
      <c r="AA9" s="33" t="s">
        <v>0</v>
      </c>
      <c r="AB9" s="28">
        <f>IF(AA9="T",1000,0)+SUMIFS(V:V,U:U,AA9,T:T,"&lt;="&amp;Z9)-SUMIFS(P:P,O:O,AA9,N:N,"&lt;="&amp;Z9)</f>
        <v>90</v>
      </c>
      <c r="AC9" s="2">
        <f t="shared" si="1"/>
        <v>9</v>
      </c>
      <c r="AD9" s="2">
        <f t="shared" si="2"/>
        <v>0</v>
      </c>
      <c r="AF9" s="1">
        <v>6</v>
      </c>
      <c r="AG9" s="29">
        <f>((SUMIF(T:T,AF9,V:V)/$I$3)+SUMIF(T:T,AF9,X:X))/$K$3</f>
        <v>1</v>
      </c>
      <c r="AH9" s="34">
        <f>SUMIF(N:N,AF9,R:R)-SUMIF(Z:Z,AF9,AC:AC)-SUMIF(Z:Z,AF9,AD:AD)-$L$3</f>
        <v>4405</v>
      </c>
    </row>
    <row r="10" spans="2:36" x14ac:dyDescent="0.25">
      <c r="B10" s="15"/>
      <c r="C10" s="15"/>
      <c r="D10" s="15"/>
      <c r="E10" s="15"/>
      <c r="F10" s="15"/>
      <c r="G10" s="15"/>
      <c r="H10" s="15"/>
      <c r="I10" s="15"/>
      <c r="K10" s="15"/>
      <c r="L10" s="15"/>
      <c r="N10" s="21">
        <v>3</v>
      </c>
      <c r="O10" s="22" t="s">
        <v>1</v>
      </c>
      <c r="P10" s="22">
        <v>600</v>
      </c>
      <c r="Q10" s="23">
        <v>3</v>
      </c>
      <c r="R10" s="22">
        <f>IF(Q10&lt;&gt;"",_xlfn.IFNA((VLOOKUP(O10,$B$3:$D$7,2,FALSE)*P10)-(VLOOKUP(O10,$B$3:$D$7,3,FALSE)*P10),0),0)</f>
        <v>1800</v>
      </c>
      <c r="T10" s="1">
        <v>2</v>
      </c>
      <c r="U10" s="2" t="s">
        <v>1</v>
      </c>
      <c r="V10" s="2">
        <v>600</v>
      </c>
      <c r="W10" s="3" t="s">
        <v>33</v>
      </c>
      <c r="X10" s="2">
        <f t="shared" si="0"/>
        <v>0</v>
      </c>
      <c r="Z10" s="1">
        <v>2</v>
      </c>
      <c r="AA10" s="2" t="s">
        <v>1</v>
      </c>
      <c r="AB10" s="3">
        <f>IF(AA10="T",1000,0)+SUMIFS(V:V,U:U,AA10,T:T,"&lt;="&amp;Z10)-SUMIFS(P:P,O:O,AA10,N:N,"&lt;="&amp;Z10)</f>
        <v>0</v>
      </c>
      <c r="AC10" s="2">
        <f t="shared" si="1"/>
        <v>0</v>
      </c>
      <c r="AD10" s="2">
        <f t="shared" si="2"/>
        <v>0</v>
      </c>
      <c r="AF10" s="1">
        <v>7</v>
      </c>
      <c r="AG10" s="29">
        <f>((SUMIF(T:T,AF10,V:V)/$I$3)+SUMIF(T:T,AF10,X:X))/$K$3</f>
        <v>1</v>
      </c>
      <c r="AH10" s="34">
        <f>SUMIF(N:N,AF10,R:R)-SUMIF(Z:Z,AF10,AC:AC)-SUMIF(Z:Z,AF10,AD:AD)-$L$3</f>
        <v>6400</v>
      </c>
    </row>
    <row r="11" spans="2:36" x14ac:dyDescent="0.25">
      <c r="B11" s="15"/>
      <c r="C11" s="15"/>
      <c r="D11" s="15"/>
      <c r="E11" s="15"/>
      <c r="F11" s="15"/>
      <c r="G11" s="15"/>
      <c r="H11" s="15"/>
      <c r="I11" s="15"/>
      <c r="K11" s="15"/>
      <c r="L11" s="15"/>
      <c r="N11" s="21">
        <v>1</v>
      </c>
      <c r="O11" s="22" t="s">
        <v>0</v>
      </c>
      <c r="P11" s="22">
        <v>350</v>
      </c>
      <c r="Q11" s="23">
        <v>1</v>
      </c>
      <c r="R11" s="22">
        <f>IF(Q11&lt;&gt;"",_xlfn.IFNA((VLOOKUP(O11,$B$3:$D$7,2,FALSE)*P11)-(VLOOKUP(O11,$B$3:$D$7,3,FALSE)*P11),0),0)</f>
        <v>1400</v>
      </c>
      <c r="T11" s="1">
        <v>2</v>
      </c>
      <c r="U11" s="2" t="s">
        <v>3</v>
      </c>
      <c r="V11" s="2">
        <v>1000</v>
      </c>
      <c r="W11" s="3" t="s">
        <v>32</v>
      </c>
      <c r="X11" s="2">
        <f t="shared" si="0"/>
        <v>40</v>
      </c>
      <c r="Z11" s="1">
        <v>2</v>
      </c>
      <c r="AA11" s="2" t="s">
        <v>3</v>
      </c>
      <c r="AB11" s="3">
        <f>IF(AA11="T",1000,0)+SUMIFS(V:V,U:U,AA11,T:T,"&lt;="&amp;Z11)-SUMIFS(P:P,O:O,AA11,N:N,"&lt;="&amp;Z11)</f>
        <v>650</v>
      </c>
      <c r="AC11" s="2">
        <f t="shared" si="1"/>
        <v>65</v>
      </c>
      <c r="AD11" s="2">
        <f t="shared" si="2"/>
        <v>0</v>
      </c>
      <c r="AF11" s="1">
        <v>8</v>
      </c>
      <c r="AG11" s="29">
        <f>((SUMIF(T:T,AF11,V:V)/$I$3)+SUMIF(T:T,AF11,X:X))/$K$3</f>
        <v>1</v>
      </c>
      <c r="AH11" s="34">
        <f>SUMIF(N:N,AF11,R:R)-SUMIF(Z:Z,AF11,AC:AC)-SUMIF(Z:Z,AF11,AD:AD)-$L$3</f>
        <v>5365</v>
      </c>
    </row>
    <row r="12" spans="2:36" x14ac:dyDescent="0.25">
      <c r="B12" s="15"/>
      <c r="C12" s="15"/>
      <c r="D12" s="15"/>
      <c r="E12" s="15"/>
      <c r="F12" s="15"/>
      <c r="G12" s="15"/>
      <c r="H12" s="15"/>
      <c r="I12" s="15"/>
      <c r="K12" s="15"/>
      <c r="L12" s="15"/>
      <c r="N12" s="21">
        <v>2</v>
      </c>
      <c r="O12" s="22" t="s">
        <v>2</v>
      </c>
      <c r="P12" s="22">
        <v>200</v>
      </c>
      <c r="Q12" s="23">
        <v>2</v>
      </c>
      <c r="R12" s="22">
        <f>IF(Q12&lt;&gt;"",_xlfn.IFNA((VLOOKUP(O12,$B$3:$D$7,2,FALSE)*P12)-(VLOOKUP(O12,$B$3:$D$7,3,FALSE)*P12),0),0)</f>
        <v>1200</v>
      </c>
      <c r="T12" s="1">
        <v>2</v>
      </c>
      <c r="U12" s="2" t="s">
        <v>2</v>
      </c>
      <c r="W12" s="3"/>
      <c r="X12" s="2">
        <f t="shared" si="0"/>
        <v>0</v>
      </c>
      <c r="Z12" s="1">
        <v>2</v>
      </c>
      <c r="AA12" s="2" t="s">
        <v>2</v>
      </c>
      <c r="AB12" s="3">
        <f>IF(AA12="T",1000,0)+SUMIFS(V:V,U:U,AA12,T:T,"&lt;="&amp;Z12)-SUMIFS(P:P,O:O,AA12,N:N,"&lt;="&amp;Z12)</f>
        <v>0</v>
      </c>
      <c r="AC12" s="2">
        <f t="shared" si="1"/>
        <v>0</v>
      </c>
      <c r="AD12" s="2">
        <f t="shared" si="2"/>
        <v>0</v>
      </c>
      <c r="AF12" s="1">
        <v>9</v>
      </c>
      <c r="AG12" s="29">
        <f>((SUMIF(T:T,AF12,V:V)/$I$3)+SUMIF(T:T,AF12,X:X))/$K$3</f>
        <v>1</v>
      </c>
      <c r="AH12" s="34">
        <f>SUMIF(N:N,AF12,R:R)-SUMIF(Z:Z,AF12,AC:AC)-SUMIF(Z:Z,AF12,AD:AD)-$L$3</f>
        <v>3605</v>
      </c>
    </row>
    <row r="13" spans="2:36" x14ac:dyDescent="0.25">
      <c r="B13" s="15"/>
      <c r="C13" s="15"/>
      <c r="D13" s="15"/>
      <c r="E13" s="15"/>
      <c r="F13" s="15"/>
      <c r="G13" s="15"/>
      <c r="H13" s="15"/>
      <c r="I13" s="15"/>
      <c r="K13" s="15"/>
      <c r="L13" s="15"/>
      <c r="N13" s="21">
        <v>3</v>
      </c>
      <c r="O13" s="22" t="s">
        <v>3</v>
      </c>
      <c r="P13" s="22">
        <v>400</v>
      </c>
      <c r="Q13" s="23">
        <v>3</v>
      </c>
      <c r="R13" s="22">
        <f>IF(Q13&lt;&gt;"",_xlfn.IFNA((VLOOKUP(O13,$B$3:$D$7,2,FALSE)*P13)-(VLOOKUP(O13,$B$3:$D$7,3,FALSE)*P13),0),0)</f>
        <v>2400</v>
      </c>
      <c r="T13" s="4">
        <v>2</v>
      </c>
      <c r="U13" s="5" t="s">
        <v>4</v>
      </c>
      <c r="V13" s="5">
        <f>200+200</f>
        <v>400</v>
      </c>
      <c r="W13" s="6" t="s">
        <v>32</v>
      </c>
      <c r="X13" s="2">
        <f t="shared" si="0"/>
        <v>40</v>
      </c>
      <c r="Z13" s="4">
        <v>2</v>
      </c>
      <c r="AA13" s="5" t="s">
        <v>4</v>
      </c>
      <c r="AB13" s="6">
        <f>IF(AA13="T",1000,0)+SUMIFS(V:V,U:U,AA13,T:T,"&lt;="&amp;Z13)-SUMIFS(P:P,O:O,AA13,N:N,"&lt;="&amp;Z13)</f>
        <v>200</v>
      </c>
      <c r="AC13" s="2">
        <f t="shared" si="1"/>
        <v>20</v>
      </c>
      <c r="AD13" s="2">
        <f t="shared" si="2"/>
        <v>0</v>
      </c>
      <c r="AF13" s="1">
        <v>10</v>
      </c>
      <c r="AG13" s="29">
        <f>((SUMIF(T:T,AF13,V:V)/$I$3)+SUMIF(T:T,AF13,X:X))/$K$3</f>
        <v>1</v>
      </c>
      <c r="AH13" s="34">
        <f>SUMIF(N:N,AF13,R:R)-SUMIF(Z:Z,AF13,AC:AC)-SUMIF(Z:Z,AF13,AD:AD)-$L$3</f>
        <v>4895</v>
      </c>
    </row>
    <row r="14" spans="2:36" x14ac:dyDescent="0.25">
      <c r="B14" s="15"/>
      <c r="C14" s="15"/>
      <c r="D14" s="15"/>
      <c r="E14" s="15"/>
      <c r="F14" s="15"/>
      <c r="G14" s="15"/>
      <c r="H14" s="15"/>
      <c r="I14" s="15"/>
      <c r="K14" s="15"/>
      <c r="L14" s="15"/>
      <c r="N14" s="21">
        <v>4</v>
      </c>
      <c r="O14" s="22" t="s">
        <v>2</v>
      </c>
      <c r="P14" s="22">
        <v>1200</v>
      </c>
      <c r="Q14" s="23">
        <v>4</v>
      </c>
      <c r="R14" s="22">
        <f>IF(Q14&lt;&gt;"",_xlfn.IFNA((VLOOKUP(O14,$B$3:$D$7,2,FALSE)*P14)-(VLOOKUP(O14,$B$3:$D$7,3,FALSE)*P14),0),0)</f>
        <v>7200</v>
      </c>
      <c r="T14" s="27">
        <v>3</v>
      </c>
      <c r="U14" s="33" t="s">
        <v>0</v>
      </c>
      <c r="V14" s="33"/>
      <c r="W14" s="28"/>
      <c r="X14" s="2">
        <f t="shared" si="0"/>
        <v>0</v>
      </c>
      <c r="Z14" s="27">
        <v>3</v>
      </c>
      <c r="AA14" s="33" t="s">
        <v>0</v>
      </c>
      <c r="AB14" s="28">
        <f>IF(AA14="T",1000,0)+SUMIFS(V:V,U:U,AA14,T:T,"&lt;="&amp;Z14)-SUMIFS(P:P,O:O,AA14,N:N,"&lt;="&amp;Z14)</f>
        <v>0</v>
      </c>
      <c r="AC14" s="2">
        <f t="shared" si="1"/>
        <v>0</v>
      </c>
      <c r="AD14" s="2">
        <f t="shared" si="2"/>
        <v>0</v>
      </c>
      <c r="AF14" s="1">
        <v>11</v>
      </c>
      <c r="AG14" s="29">
        <f>((SUMIF(T:T,AF14,V:V)/$I$3)+SUMIF(T:T,AF14,X:X))/$K$3</f>
        <v>1</v>
      </c>
      <c r="AH14" s="34">
        <f>SUMIF(N:N,AF14,R:R)-SUMIF(Z:Z,AF14,AC:AC)-SUMIF(Z:Z,AF14,AD:AD)-$L$3</f>
        <v>3710</v>
      </c>
    </row>
    <row r="15" spans="2:36" x14ac:dyDescent="0.25">
      <c r="B15" s="15"/>
      <c r="C15" s="15"/>
      <c r="D15" s="15"/>
      <c r="E15" s="15"/>
      <c r="F15" s="15"/>
      <c r="G15" s="15"/>
      <c r="H15" s="15"/>
      <c r="I15" s="15"/>
      <c r="K15" s="15"/>
      <c r="L15" s="15"/>
      <c r="N15" s="21">
        <v>2</v>
      </c>
      <c r="O15" s="22" t="s">
        <v>0</v>
      </c>
      <c r="P15" s="22">
        <v>560</v>
      </c>
      <c r="Q15" s="23">
        <v>2</v>
      </c>
      <c r="R15" s="22">
        <f>IF(Q15&lt;&gt;"",_xlfn.IFNA((VLOOKUP(O15,$B$3:$D$7,2,FALSE)*P15)-(VLOOKUP(O15,$B$3:$D$7,3,FALSE)*P15),0),0)</f>
        <v>2240</v>
      </c>
      <c r="T15" s="1">
        <v>3</v>
      </c>
      <c r="U15" s="2" t="s">
        <v>1</v>
      </c>
      <c r="V15" s="2">
        <f>600</f>
        <v>600</v>
      </c>
      <c r="W15" s="3" t="s">
        <v>32</v>
      </c>
      <c r="X15" s="2">
        <f t="shared" si="0"/>
        <v>30</v>
      </c>
      <c r="Z15" s="1">
        <v>3</v>
      </c>
      <c r="AA15" s="2" t="s">
        <v>1</v>
      </c>
      <c r="AB15" s="3">
        <f>IF(AA15="T",1000,0)+SUMIFS(V:V,U:U,AA15,T:T,"&lt;="&amp;Z15)-SUMIFS(P:P,O:O,AA15,N:N,"&lt;="&amp;Z15)</f>
        <v>0</v>
      </c>
      <c r="AC15" s="2">
        <f t="shared" si="1"/>
        <v>0</v>
      </c>
      <c r="AD15" s="2">
        <f t="shared" si="2"/>
        <v>0</v>
      </c>
      <c r="AF15" s="1">
        <v>12</v>
      </c>
      <c r="AG15" s="29">
        <f>((SUMIF(T:T,AF15,V:V)/$I$3)+SUMIF(T:T,AF15,X:X))/$K$3</f>
        <v>1</v>
      </c>
      <c r="AH15" s="34">
        <f>SUMIF(N:N,AF15,R:R)-SUMIF(Z:Z,AF15,AC:AC)-SUMIF(Z:Z,AF15,AD:AD)-$L$3</f>
        <v>4145</v>
      </c>
    </row>
    <row r="16" spans="2:36" x14ac:dyDescent="0.25">
      <c r="B16" s="15"/>
      <c r="C16" s="15"/>
      <c r="D16" s="15"/>
      <c r="E16" s="15"/>
      <c r="F16" s="15"/>
      <c r="G16" s="15"/>
      <c r="H16" s="15"/>
      <c r="I16" s="15"/>
      <c r="K16" s="15"/>
      <c r="L16" s="15"/>
      <c r="N16" s="21">
        <v>3</v>
      </c>
      <c r="O16" s="22" t="s">
        <v>3</v>
      </c>
      <c r="P16" s="22">
        <v>600</v>
      </c>
      <c r="Q16" s="23">
        <v>3</v>
      </c>
      <c r="R16" s="22">
        <f>IF(Q16&lt;&gt;"",_xlfn.IFNA((VLOOKUP(O16,$B$3:$D$7,2,FALSE)*P16)-(VLOOKUP(O16,$B$3:$D$7,3,FALSE)*P16),0),0)</f>
        <v>3600</v>
      </c>
      <c r="T16" s="1">
        <v>3</v>
      </c>
      <c r="U16" s="2" t="s">
        <v>3</v>
      </c>
      <c r="V16" s="2">
        <v>350</v>
      </c>
      <c r="W16" s="3" t="s">
        <v>33</v>
      </c>
      <c r="X16" s="2">
        <f t="shared" si="0"/>
        <v>0</v>
      </c>
      <c r="Z16" s="1">
        <v>3</v>
      </c>
      <c r="AA16" s="2" t="s">
        <v>3</v>
      </c>
      <c r="AB16" s="3">
        <f>IF(AA16="T",1000,0)+SUMIFS(V:V,U:U,AA16,T:T,"&lt;="&amp;Z16)-SUMIFS(P:P,O:O,AA16,N:N,"&lt;="&amp;Z16)</f>
        <v>0</v>
      </c>
      <c r="AC16" s="2">
        <f t="shared" si="1"/>
        <v>0</v>
      </c>
      <c r="AD16" s="2">
        <f t="shared" si="2"/>
        <v>0</v>
      </c>
      <c r="AF16" s="4">
        <v>13</v>
      </c>
      <c r="AG16" s="30">
        <f>((SUMIF(T:T,AF16,V:V)/$I$3)+SUMIF(T:T,AF16,X:X))/$K$3</f>
        <v>0</v>
      </c>
      <c r="AH16" s="35">
        <f>SUMIF(N:N,AF16,R:R)-SUMIF(Z:Z,AF16,AC:AC)-SUMIF(Z:Z,AF16,AD:AD)-$L$3</f>
        <v>7350</v>
      </c>
    </row>
    <row r="17" spans="2:34" x14ac:dyDescent="0.25">
      <c r="B17" s="15"/>
      <c r="C17" s="15"/>
      <c r="D17" s="15"/>
      <c r="E17" s="15"/>
      <c r="F17" s="15"/>
      <c r="G17" s="15"/>
      <c r="H17" s="15"/>
      <c r="I17" s="15"/>
      <c r="K17" s="15"/>
      <c r="L17" s="15"/>
      <c r="N17" s="21">
        <v>4</v>
      </c>
      <c r="O17" s="22" t="s">
        <v>4</v>
      </c>
      <c r="P17" s="22">
        <v>300</v>
      </c>
      <c r="Q17" s="23">
        <v>4</v>
      </c>
      <c r="R17" s="22">
        <f>IF(Q17&lt;&gt;"",_xlfn.IFNA((VLOOKUP(O17,$B$3:$D$7,2,FALSE)*P17)-(VLOOKUP(O17,$B$3:$D$7,3,FALSE)*P17),0),0)</f>
        <v>1800</v>
      </c>
      <c r="T17" s="1">
        <v>3</v>
      </c>
      <c r="U17" s="2" t="s">
        <v>2</v>
      </c>
      <c r="V17" s="2">
        <v>1100</v>
      </c>
      <c r="W17" s="3" t="s">
        <v>32</v>
      </c>
      <c r="X17" s="2">
        <f t="shared" si="0"/>
        <v>40</v>
      </c>
      <c r="Z17" s="1">
        <v>3</v>
      </c>
      <c r="AA17" s="2" t="s">
        <v>2</v>
      </c>
      <c r="AB17" s="3">
        <f>IF(AA17="T",1000,0)+SUMIFS(V:V,U:U,AA17,T:T,"&lt;="&amp;Z17)-SUMIFS(P:P,O:O,AA17,N:N,"&lt;="&amp;Z17)</f>
        <v>1100</v>
      </c>
      <c r="AC17" s="2">
        <f t="shared" si="1"/>
        <v>110</v>
      </c>
      <c r="AD17" s="2">
        <f t="shared" si="2"/>
        <v>0</v>
      </c>
      <c r="AF17" s="15"/>
      <c r="AG17" s="15"/>
      <c r="AH17" s="15"/>
    </row>
    <row r="18" spans="2:34" x14ac:dyDescent="0.25">
      <c r="B18" s="15"/>
      <c r="C18" s="15"/>
      <c r="D18" s="15"/>
      <c r="E18" s="15"/>
      <c r="F18" s="15"/>
      <c r="G18" s="15"/>
      <c r="H18" s="15"/>
      <c r="I18" s="15"/>
      <c r="K18" s="15"/>
      <c r="L18" s="15"/>
      <c r="N18" s="21">
        <v>5</v>
      </c>
      <c r="O18" s="22" t="s">
        <v>2</v>
      </c>
      <c r="P18" s="22">
        <v>100</v>
      </c>
      <c r="Q18" s="23">
        <v>5</v>
      </c>
      <c r="R18" s="22">
        <f>IF(Q18&lt;&gt;"",_xlfn.IFNA((VLOOKUP(O18,$B$3:$D$7,2,FALSE)*P18)-(VLOOKUP(O18,$B$3:$D$7,3,FALSE)*P18),0),0)</f>
        <v>600</v>
      </c>
      <c r="T18" s="4">
        <v>3</v>
      </c>
      <c r="U18" s="5" t="s">
        <v>4</v>
      </c>
      <c r="V18" s="5"/>
      <c r="W18" s="6"/>
      <c r="X18" s="2">
        <f t="shared" si="0"/>
        <v>0</v>
      </c>
      <c r="Z18" s="4">
        <v>3</v>
      </c>
      <c r="AA18" s="5" t="s">
        <v>4</v>
      </c>
      <c r="AB18" s="6">
        <f>IF(AA18="T",1000,0)+SUMIFS(V:V,U:U,AA18,T:T,"&lt;="&amp;Z18)-SUMIFS(P:P,O:O,AA18,N:N,"&lt;="&amp;Z18)</f>
        <v>200</v>
      </c>
      <c r="AC18" s="2">
        <f t="shared" si="1"/>
        <v>20</v>
      </c>
      <c r="AD18" s="2">
        <f t="shared" si="2"/>
        <v>0</v>
      </c>
      <c r="AF18" s="50" t="s">
        <v>39</v>
      </c>
      <c r="AG18" s="51"/>
      <c r="AH18" s="36">
        <f>SUM(AH4:AH16)+(4*SUMIF(AB59:AB63,"&gt;"&amp;0,AB59:AB63))</f>
        <v>84828</v>
      </c>
    </row>
    <row r="19" spans="2:34" x14ac:dyDescent="0.25">
      <c r="B19" s="15"/>
      <c r="C19" s="15"/>
      <c r="D19" s="15"/>
      <c r="E19" s="15"/>
      <c r="F19" s="15"/>
      <c r="G19" s="15"/>
      <c r="H19" s="15"/>
      <c r="I19" s="15"/>
      <c r="K19" s="15"/>
      <c r="L19" s="15"/>
      <c r="N19" s="21">
        <v>4</v>
      </c>
      <c r="O19" s="22" t="s">
        <v>1</v>
      </c>
      <c r="P19" s="22">
        <v>900</v>
      </c>
      <c r="Q19" s="23">
        <v>4</v>
      </c>
      <c r="R19" s="22">
        <f>IF(Q19&lt;&gt;"",_xlfn.IFNA((VLOOKUP(O19,$B$3:$D$7,2,FALSE)*P19)-(VLOOKUP(O19,$B$3:$D$7,3,FALSE)*P19),0),0)</f>
        <v>2700</v>
      </c>
      <c r="T19" s="27">
        <v>4</v>
      </c>
      <c r="U19" s="33" t="s">
        <v>0</v>
      </c>
      <c r="V19" s="33">
        <v>750</v>
      </c>
      <c r="W19" s="28" t="s">
        <v>32</v>
      </c>
      <c r="X19" s="2">
        <f t="shared" si="0"/>
        <v>40</v>
      </c>
      <c r="Z19" s="27">
        <v>4</v>
      </c>
      <c r="AA19" s="33" t="s">
        <v>0</v>
      </c>
      <c r="AB19" s="28">
        <f>IF(AA19="T",1000,0)+SUMIFS(V:V,U:U,AA19,T:T,"&lt;="&amp;Z19)-SUMIFS(P:P,O:O,AA19,N:N,"&lt;="&amp;Z19)</f>
        <v>0</v>
      </c>
      <c r="AC19" s="2">
        <f t="shared" si="1"/>
        <v>0</v>
      </c>
      <c r="AD19" s="2">
        <f t="shared" si="2"/>
        <v>0</v>
      </c>
      <c r="AF19" s="15"/>
      <c r="AG19" s="15"/>
      <c r="AH19" s="15"/>
    </row>
    <row r="20" spans="2:34" x14ac:dyDescent="0.25">
      <c r="B20" s="15"/>
      <c r="C20" s="15"/>
      <c r="D20" s="15"/>
      <c r="E20" s="15"/>
      <c r="F20" s="15"/>
      <c r="G20" s="15"/>
      <c r="H20" s="15"/>
      <c r="I20" s="15"/>
      <c r="K20" s="15"/>
      <c r="L20" s="15"/>
      <c r="N20" s="21">
        <v>5</v>
      </c>
      <c r="O20" s="22" t="s">
        <v>1</v>
      </c>
      <c r="P20" s="22">
        <v>900</v>
      </c>
      <c r="Q20" s="23">
        <v>5</v>
      </c>
      <c r="R20" s="22">
        <f>IF(Q20&lt;&gt;"",_xlfn.IFNA((VLOOKUP(O20,$B$3:$D$7,2,FALSE)*P20)-(VLOOKUP(O20,$B$3:$D$7,3,FALSE)*P20),0),0)</f>
        <v>2700</v>
      </c>
      <c r="T20" s="1">
        <v>4</v>
      </c>
      <c r="U20" s="2" t="s">
        <v>1</v>
      </c>
      <c r="V20" s="2">
        <v>900</v>
      </c>
      <c r="W20" s="3" t="s">
        <v>32</v>
      </c>
      <c r="X20" s="2">
        <f t="shared" si="0"/>
        <v>30</v>
      </c>
      <c r="Z20" s="1">
        <v>4</v>
      </c>
      <c r="AA20" s="2" t="s">
        <v>1</v>
      </c>
      <c r="AB20" s="3">
        <f>IF(AA20="T",1000,0)+SUMIFS(V:V,U:U,AA20,T:T,"&lt;="&amp;Z20)-SUMIFS(P:P,O:O,AA20,N:N,"&lt;="&amp;Z20)</f>
        <v>0</v>
      </c>
      <c r="AC20" s="2">
        <f t="shared" si="1"/>
        <v>0</v>
      </c>
      <c r="AD20" s="2">
        <f t="shared" si="2"/>
        <v>0</v>
      </c>
      <c r="AF20" s="15"/>
      <c r="AG20" s="15"/>
      <c r="AH20" s="15"/>
    </row>
    <row r="21" spans="2:34" x14ac:dyDescent="0.25">
      <c r="B21" s="15"/>
      <c r="C21" s="15"/>
      <c r="D21" s="15"/>
      <c r="E21" s="15"/>
      <c r="F21" s="15"/>
      <c r="G21" s="15"/>
      <c r="H21" s="15"/>
      <c r="I21" s="15"/>
      <c r="K21" s="15"/>
      <c r="L21" s="15"/>
      <c r="N21" s="21">
        <v>6</v>
      </c>
      <c r="O21" s="22" t="s">
        <v>1</v>
      </c>
      <c r="P21" s="22">
        <v>900</v>
      </c>
      <c r="Q21" s="23">
        <v>6</v>
      </c>
      <c r="R21" s="22">
        <f>IF(Q21&lt;&gt;"",_xlfn.IFNA((VLOOKUP(O21,$B$3:$D$7,2,FALSE)*P21)-(VLOOKUP(O21,$B$3:$D$7,3,FALSE)*P21),0),0)</f>
        <v>2700</v>
      </c>
      <c r="T21" s="1">
        <v>4</v>
      </c>
      <c r="U21" s="2" t="s">
        <v>3</v>
      </c>
      <c r="W21" s="3"/>
      <c r="X21" s="2">
        <f t="shared" si="0"/>
        <v>0</v>
      </c>
      <c r="Z21" s="1">
        <v>4</v>
      </c>
      <c r="AA21" s="2" t="s">
        <v>3</v>
      </c>
      <c r="AB21" s="3">
        <f>IF(AA21="T",1000,0)+SUMIFS(V:V,U:U,AA21,T:T,"&lt;="&amp;Z21)-SUMIFS(P:P,O:O,AA21,N:N,"&lt;="&amp;Z21)</f>
        <v>0</v>
      </c>
      <c r="AC21" s="2">
        <f t="shared" si="1"/>
        <v>0</v>
      </c>
      <c r="AD21" s="2">
        <f t="shared" si="2"/>
        <v>0</v>
      </c>
      <c r="AF21" s="15"/>
      <c r="AG21" s="15"/>
      <c r="AH21" s="15"/>
    </row>
    <row r="22" spans="2:34" x14ac:dyDescent="0.25">
      <c r="B22" s="15"/>
      <c r="C22" s="15"/>
      <c r="D22" s="15"/>
      <c r="E22" s="15"/>
      <c r="F22" s="15"/>
      <c r="G22" s="15"/>
      <c r="H22" s="15"/>
      <c r="I22" s="15"/>
      <c r="K22" s="15"/>
      <c r="L22" s="15"/>
      <c r="N22" s="21">
        <v>7</v>
      </c>
      <c r="O22" s="22" t="s">
        <v>1</v>
      </c>
      <c r="P22" s="22">
        <v>900</v>
      </c>
      <c r="Q22" s="23">
        <v>7</v>
      </c>
      <c r="R22" s="22">
        <f>IF(Q22&lt;&gt;"",_xlfn.IFNA((VLOOKUP(O22,$B$3:$D$7,2,FALSE)*P22)-(VLOOKUP(O22,$B$3:$D$7,3,FALSE)*P22),0),0)</f>
        <v>2700</v>
      </c>
      <c r="T22" s="1">
        <v>4</v>
      </c>
      <c r="U22" s="2" t="s">
        <v>2</v>
      </c>
      <c r="V22" s="2">
        <v>100</v>
      </c>
      <c r="W22" s="3" t="s">
        <v>33</v>
      </c>
      <c r="X22" s="2">
        <f t="shared" si="0"/>
        <v>0</v>
      </c>
      <c r="Z22" s="1">
        <v>4</v>
      </c>
      <c r="AA22" s="2" t="s">
        <v>2</v>
      </c>
      <c r="AB22" s="3">
        <f>IF(AA22="T",1000,0)+SUMIFS(V:V,U:U,AA22,T:T,"&lt;="&amp;Z22)-SUMIFS(P:P,O:O,AA22,N:N,"&lt;="&amp;Z22)</f>
        <v>0</v>
      </c>
      <c r="AC22" s="2">
        <f t="shared" si="1"/>
        <v>0</v>
      </c>
      <c r="AD22" s="2">
        <f t="shared" si="2"/>
        <v>0</v>
      </c>
      <c r="AF22" s="15"/>
      <c r="AG22" s="15"/>
      <c r="AH22" s="15"/>
    </row>
    <row r="23" spans="2:34" x14ac:dyDescent="0.25">
      <c r="B23" s="15"/>
      <c r="C23" s="15"/>
      <c r="D23" s="15"/>
      <c r="E23" s="15"/>
      <c r="F23" s="15"/>
      <c r="G23" s="15"/>
      <c r="H23" s="15"/>
      <c r="I23" s="15"/>
      <c r="K23" s="15"/>
      <c r="L23" s="15"/>
      <c r="N23" s="21">
        <v>6</v>
      </c>
      <c r="O23" s="22" t="s">
        <v>2</v>
      </c>
      <c r="P23" s="22">
        <v>200</v>
      </c>
      <c r="Q23" s="23">
        <v>6</v>
      </c>
      <c r="R23" s="22">
        <f>IF(Q23&lt;&gt;"",_xlfn.IFNA((VLOOKUP(O23,$B$3:$D$7,2,FALSE)*P23)-(VLOOKUP(O23,$B$3:$D$7,3,FALSE)*P23),0),0)</f>
        <v>1200</v>
      </c>
      <c r="T23" s="4">
        <v>4</v>
      </c>
      <c r="U23" s="5" t="s">
        <v>4</v>
      </c>
      <c r="V23" s="5">
        <v>100</v>
      </c>
      <c r="W23" s="6" t="s">
        <v>32</v>
      </c>
      <c r="X23" s="2">
        <f t="shared" si="0"/>
        <v>40</v>
      </c>
      <c r="Z23" s="4">
        <v>4</v>
      </c>
      <c r="AA23" s="5" t="s">
        <v>4</v>
      </c>
      <c r="AB23" s="6">
        <f>IF(AA23="T",1000,0)+SUMIFS(V:V,U:U,AA23,T:T,"&lt;="&amp;Z23)-SUMIFS(P:P,O:O,AA23,N:N,"&lt;="&amp;Z23)</f>
        <v>0</v>
      </c>
      <c r="AC23" s="2">
        <f t="shared" si="1"/>
        <v>0</v>
      </c>
      <c r="AD23" s="2">
        <f t="shared" si="2"/>
        <v>0</v>
      </c>
      <c r="AF23" s="15"/>
      <c r="AG23" s="15"/>
      <c r="AH23" s="15"/>
    </row>
    <row r="24" spans="2:34" x14ac:dyDescent="0.25">
      <c r="B24" s="15"/>
      <c r="C24" s="15"/>
      <c r="D24" s="15"/>
      <c r="E24" s="15"/>
      <c r="F24" s="15"/>
      <c r="G24" s="15"/>
      <c r="H24" s="15"/>
      <c r="I24" s="15"/>
      <c r="K24" s="15"/>
      <c r="L24" s="15"/>
      <c r="N24" s="21">
        <v>3</v>
      </c>
      <c r="O24" s="22" t="s">
        <v>0</v>
      </c>
      <c r="P24" s="22">
        <v>90</v>
      </c>
      <c r="Q24" s="23">
        <v>3</v>
      </c>
      <c r="R24" s="22">
        <f>IF(Q24&lt;&gt;"",_xlfn.IFNA((VLOOKUP(O24,$B$3:$D$7,2,FALSE)*P24)-(VLOOKUP(O24,$B$3:$D$7,3,FALSE)*P24),0),0)</f>
        <v>360</v>
      </c>
      <c r="T24" s="27">
        <v>5</v>
      </c>
      <c r="U24" s="33" t="s">
        <v>0</v>
      </c>
      <c r="V24" s="33">
        <v>920</v>
      </c>
      <c r="W24" s="28" t="s">
        <v>33</v>
      </c>
      <c r="X24" s="2">
        <f t="shared" si="0"/>
        <v>0</v>
      </c>
      <c r="Z24" s="27">
        <v>5</v>
      </c>
      <c r="AA24" s="33" t="s">
        <v>0</v>
      </c>
      <c r="AB24" s="28">
        <f>IF(AA24="T",1000,0)+SUMIFS(V:V,U:U,AA24,T:T,"&lt;="&amp;Z24)-SUMIFS(P:P,O:O,AA24,N:N,"&lt;="&amp;Z24)</f>
        <v>0</v>
      </c>
      <c r="AC24" s="2">
        <f t="shared" si="1"/>
        <v>0</v>
      </c>
      <c r="AD24" s="2">
        <f t="shared" si="2"/>
        <v>0</v>
      </c>
      <c r="AF24" s="15"/>
      <c r="AG24" s="15"/>
      <c r="AH24" s="15"/>
    </row>
    <row r="25" spans="2:34" x14ac:dyDescent="0.25">
      <c r="B25" s="15"/>
      <c r="C25" s="15"/>
      <c r="D25" s="15"/>
      <c r="E25" s="15"/>
      <c r="F25" s="15"/>
      <c r="G25" s="15"/>
      <c r="H25" s="15"/>
      <c r="I25" s="15"/>
      <c r="K25" s="15"/>
      <c r="L25" s="15"/>
      <c r="N25" s="21">
        <v>4</v>
      </c>
      <c r="O25" s="22" t="s">
        <v>0</v>
      </c>
      <c r="P25" s="22">
        <v>750</v>
      </c>
      <c r="Q25" s="23">
        <v>4</v>
      </c>
      <c r="R25" s="22">
        <f>IF(Q25&lt;&gt;"",_xlfn.IFNA((VLOOKUP(O25,$B$3:$D$7,2,FALSE)*P25)-(VLOOKUP(O25,$B$3:$D$7,3,FALSE)*P25),0),0)</f>
        <v>3000</v>
      </c>
      <c r="T25" s="1">
        <v>5</v>
      </c>
      <c r="U25" s="2" t="s">
        <v>1</v>
      </c>
      <c r="V25" s="2">
        <f>900+130</f>
        <v>1030</v>
      </c>
      <c r="W25" s="3" t="s">
        <v>32</v>
      </c>
      <c r="X25" s="2">
        <f t="shared" si="0"/>
        <v>30</v>
      </c>
      <c r="Z25" s="1">
        <v>5</v>
      </c>
      <c r="AA25" s="2" t="s">
        <v>1</v>
      </c>
      <c r="AB25" s="3">
        <f>IF(AA25="T",1000,0)+SUMIFS(V:V,U:U,AA25,T:T,"&lt;="&amp;Z25)-SUMIFS(P:P,O:O,AA25,N:N,"&lt;="&amp;Z25)</f>
        <v>130</v>
      </c>
      <c r="AC25" s="2">
        <f t="shared" si="1"/>
        <v>13</v>
      </c>
      <c r="AD25" s="2">
        <f t="shared" si="2"/>
        <v>0</v>
      </c>
      <c r="AF25" s="15"/>
      <c r="AG25" s="15"/>
      <c r="AH25" s="15"/>
    </row>
    <row r="26" spans="2:34" x14ac:dyDescent="0.25">
      <c r="B26" s="15"/>
      <c r="C26" s="15"/>
      <c r="D26" s="15"/>
      <c r="E26" s="15"/>
      <c r="F26" s="15"/>
      <c r="G26" s="15"/>
      <c r="H26" s="15"/>
      <c r="I26" s="15"/>
      <c r="K26" s="15"/>
      <c r="L26" s="15"/>
      <c r="N26" s="21">
        <v>5</v>
      </c>
      <c r="O26" s="22" t="s">
        <v>0</v>
      </c>
      <c r="P26" s="22">
        <v>920</v>
      </c>
      <c r="Q26" s="23">
        <v>5</v>
      </c>
      <c r="R26" s="22">
        <f>IF(Q26&lt;&gt;"",_xlfn.IFNA((VLOOKUP(O26,$B$3:$D$7,2,FALSE)*P26)-(VLOOKUP(O26,$B$3:$D$7,3,FALSE)*P26),0),0)</f>
        <v>3680</v>
      </c>
      <c r="T26" s="1">
        <v>5</v>
      </c>
      <c r="U26" s="2" t="s">
        <v>3</v>
      </c>
      <c r="W26" s="3"/>
      <c r="X26" s="2">
        <f t="shared" si="0"/>
        <v>0</v>
      </c>
      <c r="Z26" s="1">
        <v>5</v>
      </c>
      <c r="AA26" s="2" t="s">
        <v>3</v>
      </c>
      <c r="AB26" s="3">
        <f>IF(AA26="T",1000,0)+SUMIFS(V:V,U:U,AA26,T:T,"&lt;="&amp;Z26)-SUMIFS(P:P,O:O,AA26,N:N,"&lt;="&amp;Z26)</f>
        <v>0</v>
      </c>
      <c r="AC26" s="2">
        <f t="shared" si="1"/>
        <v>0</v>
      </c>
      <c r="AD26" s="2">
        <f t="shared" si="2"/>
        <v>0</v>
      </c>
      <c r="AF26" s="15"/>
      <c r="AG26" s="15"/>
      <c r="AH26" s="15"/>
    </row>
    <row r="27" spans="2:34" x14ac:dyDescent="0.25">
      <c r="B27" s="15"/>
      <c r="C27" s="15"/>
      <c r="D27" s="15"/>
      <c r="E27" s="15"/>
      <c r="F27" s="15"/>
      <c r="G27" s="15"/>
      <c r="H27" s="15"/>
      <c r="I27" s="15"/>
      <c r="K27" s="15"/>
      <c r="L27" s="15"/>
      <c r="N27" s="21">
        <v>7</v>
      </c>
      <c r="O27" s="22" t="s">
        <v>3</v>
      </c>
      <c r="P27" s="22">
        <v>250</v>
      </c>
      <c r="Q27" s="23">
        <v>7</v>
      </c>
      <c r="R27" s="22">
        <f>IF(Q27&lt;&gt;"",_xlfn.IFNA((VLOOKUP(O27,$B$3:$D$7,2,FALSE)*P27)-(VLOOKUP(O27,$B$3:$D$7,3,FALSE)*P27),0),0)</f>
        <v>1500</v>
      </c>
      <c r="T27" s="1">
        <v>5</v>
      </c>
      <c r="U27" s="2" t="s">
        <v>2</v>
      </c>
      <c r="V27" s="2">
        <v>100</v>
      </c>
      <c r="W27" s="3" t="s">
        <v>32</v>
      </c>
      <c r="X27" s="2">
        <f t="shared" si="0"/>
        <v>40</v>
      </c>
      <c r="Z27" s="1">
        <v>5</v>
      </c>
      <c r="AA27" s="2" t="s">
        <v>2</v>
      </c>
      <c r="AB27" s="3">
        <f>IF(AA27="T",1000,0)+SUMIFS(V:V,U:U,AA27,T:T,"&lt;="&amp;Z27)-SUMIFS(P:P,O:O,AA27,N:N,"&lt;="&amp;Z27)</f>
        <v>0</v>
      </c>
      <c r="AC27" s="2">
        <f t="shared" si="1"/>
        <v>0</v>
      </c>
      <c r="AD27" s="2">
        <f t="shared" si="2"/>
        <v>0</v>
      </c>
      <c r="AF27" s="15"/>
      <c r="AG27" s="15"/>
      <c r="AH27" s="15"/>
    </row>
    <row r="28" spans="2:34" x14ac:dyDescent="0.25">
      <c r="B28" s="15"/>
      <c r="C28" s="15"/>
      <c r="D28" s="15"/>
      <c r="E28" s="15"/>
      <c r="F28" s="15"/>
      <c r="G28" s="15"/>
      <c r="H28" s="15"/>
      <c r="I28" s="15"/>
      <c r="K28" s="15"/>
      <c r="L28" s="15"/>
      <c r="N28" s="21">
        <v>8</v>
      </c>
      <c r="O28" s="22" t="s">
        <v>3</v>
      </c>
      <c r="P28" s="22">
        <v>650</v>
      </c>
      <c r="Q28" s="23">
        <v>8</v>
      </c>
      <c r="R28" s="22">
        <f>IF(Q28&lt;&gt;"",_xlfn.IFNA((VLOOKUP(O28,$B$3:$D$7,2,FALSE)*P28)-(VLOOKUP(O28,$B$3:$D$7,3,FALSE)*P28),0),0)</f>
        <v>3900</v>
      </c>
      <c r="T28" s="4">
        <v>5</v>
      </c>
      <c r="U28" s="5" t="s">
        <v>4</v>
      </c>
      <c r="V28" s="5"/>
      <c r="W28" s="6"/>
      <c r="X28" s="2">
        <f t="shared" si="0"/>
        <v>0</v>
      </c>
      <c r="Z28" s="4">
        <v>5</v>
      </c>
      <c r="AA28" s="5" t="s">
        <v>4</v>
      </c>
      <c r="AB28" s="6">
        <f>IF(AA28="T",1000,0)+SUMIFS(V:V,U:U,AA28,T:T,"&lt;="&amp;Z28)-SUMIFS(P:P,O:O,AA28,N:N,"&lt;="&amp;Z28)</f>
        <v>0</v>
      </c>
      <c r="AC28" s="2">
        <f t="shared" si="1"/>
        <v>0</v>
      </c>
      <c r="AD28" s="2">
        <f t="shared" si="2"/>
        <v>0</v>
      </c>
      <c r="AF28" s="15"/>
      <c r="AG28" s="15"/>
      <c r="AH28" s="15"/>
    </row>
    <row r="29" spans="2:34" x14ac:dyDescent="0.25">
      <c r="B29" s="15"/>
      <c r="C29" s="15"/>
      <c r="D29" s="15"/>
      <c r="E29" s="15"/>
      <c r="F29" s="15"/>
      <c r="G29" s="15"/>
      <c r="H29" s="15"/>
      <c r="I29" s="15"/>
      <c r="K29" s="15"/>
      <c r="L29" s="15"/>
      <c r="N29" s="21">
        <v>6</v>
      </c>
      <c r="O29" s="22" t="s">
        <v>0</v>
      </c>
      <c r="P29" s="22">
        <v>730</v>
      </c>
      <c r="Q29" s="23">
        <v>6</v>
      </c>
      <c r="R29" s="22">
        <f>IF(Q29&lt;&gt;"",_xlfn.IFNA((VLOOKUP(O29,$B$3:$D$7,2,FALSE)*P29)-(VLOOKUP(O29,$B$3:$D$7,3,FALSE)*P29),0),0)</f>
        <v>2920</v>
      </c>
      <c r="T29" s="27">
        <v>6</v>
      </c>
      <c r="U29" s="33" t="s">
        <v>0</v>
      </c>
      <c r="V29" s="33">
        <v>730</v>
      </c>
      <c r="W29" s="28" t="s">
        <v>32</v>
      </c>
      <c r="X29" s="2">
        <f t="shared" si="0"/>
        <v>40</v>
      </c>
      <c r="Z29" s="27">
        <v>6</v>
      </c>
      <c r="AA29" s="33" t="s">
        <v>0</v>
      </c>
      <c r="AB29" s="28">
        <f>IF(AA29="T",1000,0)+SUMIFS(V:V,U:U,AA29,T:T,"&lt;="&amp;Z29)-SUMIFS(P:P,O:O,AA29,N:N,"&lt;="&amp;Z29)</f>
        <v>0</v>
      </c>
      <c r="AC29" s="2">
        <f t="shared" si="1"/>
        <v>0</v>
      </c>
      <c r="AD29" s="2">
        <f t="shared" si="2"/>
        <v>0</v>
      </c>
      <c r="AF29" s="15"/>
      <c r="AG29" s="15"/>
      <c r="AH29" s="15"/>
    </row>
    <row r="30" spans="2:34" x14ac:dyDescent="0.25">
      <c r="B30" s="15"/>
      <c r="C30" s="15"/>
      <c r="D30" s="15"/>
      <c r="E30" s="15"/>
      <c r="F30" s="15"/>
      <c r="G30" s="15"/>
      <c r="H30" s="15"/>
      <c r="I30" s="15"/>
      <c r="K30" s="15"/>
      <c r="L30" s="15"/>
      <c r="N30" s="21">
        <v>7</v>
      </c>
      <c r="O30" s="22" t="s">
        <v>3</v>
      </c>
      <c r="P30" s="22">
        <v>200</v>
      </c>
      <c r="Q30" s="23">
        <v>7</v>
      </c>
      <c r="R30" s="22">
        <f>IF(Q30&lt;&gt;"",_xlfn.IFNA((VLOOKUP(O30,$B$3:$D$7,2,FALSE)*P30)-(VLOOKUP(O30,$B$3:$D$7,3,FALSE)*P30),0),0)</f>
        <v>1200</v>
      </c>
      <c r="T30" s="1">
        <v>6</v>
      </c>
      <c r="U30" s="2" t="s">
        <v>1</v>
      </c>
      <c r="V30" s="2">
        <v>770</v>
      </c>
      <c r="W30" s="3" t="s">
        <v>32</v>
      </c>
      <c r="X30" s="2">
        <f t="shared" si="0"/>
        <v>30</v>
      </c>
      <c r="Z30" s="1">
        <v>6</v>
      </c>
      <c r="AA30" s="2" t="s">
        <v>1</v>
      </c>
      <c r="AB30" s="3">
        <f>IF(AA30="T",1000,0)+SUMIFS(V:V,U:U,AA30,T:T,"&lt;="&amp;Z30)-SUMIFS(P:P,O:O,AA30,N:N,"&lt;="&amp;Z30)</f>
        <v>0</v>
      </c>
      <c r="AC30" s="2">
        <f t="shared" si="1"/>
        <v>0</v>
      </c>
      <c r="AD30" s="2">
        <f t="shared" si="2"/>
        <v>0</v>
      </c>
      <c r="AF30" s="15"/>
      <c r="AG30" s="15"/>
      <c r="AH30" s="15"/>
    </row>
    <row r="31" spans="2:34" x14ac:dyDescent="0.25">
      <c r="B31" s="15"/>
      <c r="C31" s="15"/>
      <c r="D31" s="15"/>
      <c r="E31" s="15"/>
      <c r="F31" s="15"/>
      <c r="G31" s="15"/>
      <c r="H31" s="15"/>
      <c r="I31" s="15"/>
      <c r="K31" s="15"/>
      <c r="L31" s="15"/>
      <c r="N31" s="21">
        <v>8</v>
      </c>
      <c r="O31" s="22" t="s">
        <v>2</v>
      </c>
      <c r="P31" s="22">
        <v>300</v>
      </c>
      <c r="Q31" s="23">
        <v>8</v>
      </c>
      <c r="R31" s="22">
        <f>IF(Q31&lt;&gt;"",_xlfn.IFNA((VLOOKUP(O31,$B$3:$D$7,2,FALSE)*P31)-(VLOOKUP(O31,$B$3:$D$7,3,FALSE)*P31),0),0)</f>
        <v>1800</v>
      </c>
      <c r="T31" s="1">
        <v>6</v>
      </c>
      <c r="U31" s="2" t="s">
        <v>3</v>
      </c>
      <c r="V31" s="2">
        <v>150</v>
      </c>
      <c r="W31" s="3" t="s">
        <v>32</v>
      </c>
      <c r="X31" s="2">
        <f t="shared" si="0"/>
        <v>40</v>
      </c>
      <c r="Z31" s="1">
        <v>6</v>
      </c>
      <c r="AA31" s="2" t="s">
        <v>3</v>
      </c>
      <c r="AB31" s="3">
        <f>IF(AA31="T",1000,0)+SUMIFS(V:V,U:U,AA31,T:T,"&lt;="&amp;Z31)-SUMIFS(P:P,O:O,AA31,N:N,"&lt;="&amp;Z31)</f>
        <v>150</v>
      </c>
      <c r="AC31" s="2">
        <f t="shared" si="1"/>
        <v>15</v>
      </c>
      <c r="AD31" s="2">
        <f t="shared" si="2"/>
        <v>0</v>
      </c>
      <c r="AF31" s="15"/>
      <c r="AG31" s="15"/>
      <c r="AH31" s="15"/>
    </row>
    <row r="32" spans="2:34" x14ac:dyDescent="0.25">
      <c r="B32" s="15"/>
      <c r="C32" s="15"/>
      <c r="D32" s="15"/>
      <c r="E32" s="15"/>
      <c r="F32" s="15"/>
      <c r="G32" s="15"/>
      <c r="H32" s="15"/>
      <c r="I32" s="15"/>
      <c r="K32" s="15"/>
      <c r="L32" s="15"/>
      <c r="N32" s="21">
        <v>8</v>
      </c>
      <c r="O32" s="22" t="s">
        <v>1</v>
      </c>
      <c r="P32" s="22">
        <v>700</v>
      </c>
      <c r="Q32" s="23">
        <v>8</v>
      </c>
      <c r="R32" s="22">
        <f>IF(Q32&lt;&gt;"",_xlfn.IFNA((VLOOKUP(O32,$B$3:$D$7,2,FALSE)*P32)-(VLOOKUP(O32,$B$3:$D$7,3,FALSE)*P32),0),0)</f>
        <v>2100</v>
      </c>
      <c r="T32" s="1">
        <v>6</v>
      </c>
      <c r="U32" s="2" t="s">
        <v>2</v>
      </c>
      <c r="V32" s="2">
        <v>200</v>
      </c>
      <c r="W32" s="3" t="s">
        <v>33</v>
      </c>
      <c r="X32" s="2">
        <f t="shared" si="0"/>
        <v>0</v>
      </c>
      <c r="Z32" s="1">
        <v>6</v>
      </c>
      <c r="AA32" s="2" t="s">
        <v>2</v>
      </c>
      <c r="AB32" s="3">
        <f>IF(AA32="T",1000,0)+SUMIFS(V:V,U:U,AA32,T:T,"&lt;="&amp;Z32)-SUMIFS(P:P,O:O,AA32,N:N,"&lt;="&amp;Z32)</f>
        <v>0</v>
      </c>
      <c r="AC32" s="2">
        <f t="shared" si="1"/>
        <v>0</v>
      </c>
      <c r="AD32" s="2">
        <f t="shared" si="2"/>
        <v>0</v>
      </c>
      <c r="AF32" s="15"/>
      <c r="AG32" s="15"/>
      <c r="AH32" s="15"/>
    </row>
    <row r="33" spans="2:34" x14ac:dyDescent="0.25">
      <c r="B33" s="15"/>
      <c r="C33" s="15"/>
      <c r="D33" s="15"/>
      <c r="E33" s="15"/>
      <c r="F33" s="15"/>
      <c r="G33" s="15"/>
      <c r="H33" s="15"/>
      <c r="I33" s="15"/>
      <c r="K33" s="15"/>
      <c r="L33" s="15"/>
      <c r="N33" s="21">
        <v>9</v>
      </c>
      <c r="O33" s="22" t="s">
        <v>1</v>
      </c>
      <c r="P33" s="22">
        <v>700</v>
      </c>
      <c r="Q33" s="23">
        <v>9</v>
      </c>
      <c r="R33" s="22">
        <f>IF(Q33&lt;&gt;"",_xlfn.IFNA((VLOOKUP(O33,$B$3:$D$7,2,FALSE)*P33)-(VLOOKUP(O33,$B$3:$D$7,3,FALSE)*P33),0),0)</f>
        <v>2100</v>
      </c>
      <c r="T33" s="4">
        <v>6</v>
      </c>
      <c r="U33" s="5" t="s">
        <v>4</v>
      </c>
      <c r="V33" s="5"/>
      <c r="W33" s="6"/>
      <c r="X33" s="2">
        <f t="shared" si="0"/>
        <v>0</v>
      </c>
      <c r="Z33" s="4">
        <v>6</v>
      </c>
      <c r="AA33" s="5" t="s">
        <v>4</v>
      </c>
      <c r="AB33" s="6">
        <f>IF(AA33="T",1000,0)+SUMIFS(V:V,U:U,AA33,T:T,"&lt;="&amp;Z33)-SUMIFS(P:P,O:O,AA33,N:N,"&lt;="&amp;Z33)</f>
        <v>0</v>
      </c>
      <c r="AC33" s="2">
        <f t="shared" si="1"/>
        <v>0</v>
      </c>
      <c r="AD33" s="2">
        <f t="shared" si="2"/>
        <v>0</v>
      </c>
      <c r="AF33" s="15"/>
      <c r="AG33" s="15"/>
      <c r="AH33" s="15"/>
    </row>
    <row r="34" spans="2:34" x14ac:dyDescent="0.25">
      <c r="B34" s="15"/>
      <c r="C34" s="15"/>
      <c r="D34" s="15"/>
      <c r="E34" s="15"/>
      <c r="F34" s="15"/>
      <c r="G34" s="15"/>
      <c r="H34" s="15"/>
      <c r="I34" s="15"/>
      <c r="K34" s="15"/>
      <c r="L34" s="15"/>
      <c r="N34" s="21">
        <v>10</v>
      </c>
      <c r="O34" s="22" t="s">
        <v>1</v>
      </c>
      <c r="P34" s="22">
        <v>700</v>
      </c>
      <c r="Q34" s="23">
        <v>10</v>
      </c>
      <c r="R34" s="22">
        <f>IF(Q34&lt;&gt;"",_xlfn.IFNA((VLOOKUP(O34,$B$3:$D$7,2,FALSE)*P34)-(VLOOKUP(O34,$B$3:$D$7,3,FALSE)*P34),0),0)</f>
        <v>2100</v>
      </c>
      <c r="T34" s="27">
        <v>7</v>
      </c>
      <c r="U34" s="33" t="s">
        <v>0</v>
      </c>
      <c r="V34" s="33">
        <v>850</v>
      </c>
      <c r="W34" s="28" t="s">
        <v>32</v>
      </c>
      <c r="X34" s="2">
        <f t="shared" si="0"/>
        <v>40</v>
      </c>
      <c r="Z34" s="27">
        <v>7</v>
      </c>
      <c r="AA34" s="33" t="s">
        <v>0</v>
      </c>
      <c r="AB34" s="28">
        <f>IF(AA34="T",1000,0)+SUMIFS(V:V,U:U,AA34,T:T,"&lt;="&amp;Z34)-SUMIFS(P:P,O:O,AA34,N:N,"&lt;="&amp;Z34)</f>
        <v>0</v>
      </c>
      <c r="AC34" s="2">
        <f t="shared" si="1"/>
        <v>0</v>
      </c>
      <c r="AD34" s="2">
        <f t="shared" si="2"/>
        <v>0</v>
      </c>
      <c r="AF34" s="15"/>
      <c r="AG34" s="15"/>
      <c r="AH34" s="15"/>
    </row>
    <row r="35" spans="2:34" x14ac:dyDescent="0.25">
      <c r="B35" s="15"/>
      <c r="C35" s="15"/>
      <c r="D35" s="15"/>
      <c r="E35" s="15"/>
      <c r="F35" s="15"/>
      <c r="G35" s="15"/>
      <c r="H35" s="15"/>
      <c r="I35" s="15"/>
      <c r="K35" s="15"/>
      <c r="L35" s="15"/>
      <c r="N35" s="21">
        <v>11</v>
      </c>
      <c r="O35" s="22" t="s">
        <v>1</v>
      </c>
      <c r="P35" s="22">
        <v>700</v>
      </c>
      <c r="Q35" s="23">
        <v>11</v>
      </c>
      <c r="R35" s="22">
        <f>IF(Q35&lt;&gt;"",_xlfn.IFNA((VLOOKUP(O35,$B$3:$D$7,2,FALSE)*P35)-(VLOOKUP(O35,$B$3:$D$7,3,FALSE)*P35),0),0)</f>
        <v>2100</v>
      </c>
      <c r="T35" s="1">
        <v>7</v>
      </c>
      <c r="U35" s="2" t="s">
        <v>1</v>
      </c>
      <c r="V35" s="2">
        <v>900</v>
      </c>
      <c r="W35" s="3" t="s">
        <v>32</v>
      </c>
      <c r="X35" s="2">
        <f t="shared" si="0"/>
        <v>30</v>
      </c>
      <c r="Z35" s="1">
        <v>7</v>
      </c>
      <c r="AA35" s="2" t="s">
        <v>1</v>
      </c>
      <c r="AB35" s="3">
        <f>IF(AA35="T",1000,0)+SUMIFS(V:V,U:U,AA35,T:T,"&lt;="&amp;Z35)-SUMIFS(P:P,O:O,AA35,N:N,"&lt;="&amp;Z35)</f>
        <v>0</v>
      </c>
      <c r="AC35" s="2">
        <f t="shared" si="1"/>
        <v>0</v>
      </c>
      <c r="AD35" s="2">
        <f t="shared" si="2"/>
        <v>0</v>
      </c>
      <c r="AF35" s="15"/>
      <c r="AG35" s="15"/>
      <c r="AH35" s="15"/>
    </row>
    <row r="36" spans="2:34" x14ac:dyDescent="0.25">
      <c r="B36" s="15"/>
      <c r="C36" s="15"/>
      <c r="D36" s="15"/>
      <c r="E36" s="15"/>
      <c r="F36" s="15"/>
      <c r="G36" s="15"/>
      <c r="H36" s="15"/>
      <c r="I36" s="15"/>
      <c r="K36" s="15"/>
      <c r="L36" s="15"/>
      <c r="N36" s="21">
        <v>7</v>
      </c>
      <c r="O36" s="22" t="s">
        <v>0</v>
      </c>
      <c r="P36" s="22">
        <v>850</v>
      </c>
      <c r="Q36" s="23">
        <v>7</v>
      </c>
      <c r="R36" s="22">
        <f>IF(Q36&lt;&gt;"",_xlfn.IFNA((VLOOKUP(O36,$B$3:$D$7,2,FALSE)*P36)-(VLOOKUP(O36,$B$3:$D$7,3,FALSE)*P36),0),0)</f>
        <v>3400</v>
      </c>
      <c r="T36" s="1">
        <v>7</v>
      </c>
      <c r="U36" s="2" t="s">
        <v>3</v>
      </c>
      <c r="V36" s="2">
        <v>300</v>
      </c>
      <c r="W36" s="3" t="s">
        <v>33</v>
      </c>
      <c r="X36" s="2">
        <f t="shared" si="0"/>
        <v>0</v>
      </c>
      <c r="Z36" s="1">
        <v>7</v>
      </c>
      <c r="AA36" s="2" t="s">
        <v>3</v>
      </c>
      <c r="AB36" s="3">
        <f>IF(AA36="T",1000,0)+SUMIFS(V:V,U:U,AA36,T:T,"&lt;="&amp;Z36)-SUMIFS(P:P,O:O,AA36,N:N,"&lt;="&amp;Z36)</f>
        <v>0</v>
      </c>
      <c r="AC36" s="2">
        <f t="shared" si="1"/>
        <v>0</v>
      </c>
      <c r="AD36" s="2">
        <f t="shared" si="2"/>
        <v>0</v>
      </c>
      <c r="AF36" s="15"/>
      <c r="AG36" s="15"/>
      <c r="AH36" s="15"/>
    </row>
    <row r="37" spans="2:34" x14ac:dyDescent="0.25">
      <c r="B37" s="15"/>
      <c r="C37" s="15"/>
      <c r="D37" s="15"/>
      <c r="E37" s="15"/>
      <c r="F37" s="15"/>
      <c r="G37" s="15"/>
      <c r="H37" s="15"/>
      <c r="I37" s="15"/>
      <c r="K37" s="15"/>
      <c r="L37" s="15"/>
      <c r="N37" s="21">
        <v>9</v>
      </c>
      <c r="O37" s="22" t="s">
        <v>2</v>
      </c>
      <c r="P37" s="22">
        <v>100</v>
      </c>
      <c r="Q37" s="23">
        <v>9</v>
      </c>
      <c r="R37" s="22">
        <f>IF(Q37&lt;&gt;"",_xlfn.IFNA((VLOOKUP(O37,$B$3:$D$7,2,FALSE)*P37)-(VLOOKUP(O37,$B$3:$D$7,3,FALSE)*P37),0),0)</f>
        <v>600</v>
      </c>
      <c r="T37" s="1">
        <v>7</v>
      </c>
      <c r="U37" s="2" t="s">
        <v>2</v>
      </c>
      <c r="W37" s="3"/>
      <c r="X37" s="2">
        <f t="shared" si="0"/>
        <v>0</v>
      </c>
      <c r="Z37" s="1">
        <v>7</v>
      </c>
      <c r="AA37" s="2" t="s">
        <v>2</v>
      </c>
      <c r="AB37" s="3">
        <f>IF(AA37="T",1000,0)+SUMIFS(V:V,U:U,AA37,T:T,"&lt;="&amp;Z37)-SUMIFS(P:P,O:O,AA37,N:N,"&lt;="&amp;Z37)</f>
        <v>0</v>
      </c>
      <c r="AC37" s="2">
        <f t="shared" si="1"/>
        <v>0</v>
      </c>
      <c r="AD37" s="2">
        <f t="shared" si="2"/>
        <v>0</v>
      </c>
      <c r="AF37" s="15"/>
      <c r="AG37" s="15"/>
      <c r="AH37" s="15"/>
    </row>
    <row r="38" spans="2:34" x14ac:dyDescent="0.25">
      <c r="B38" s="15"/>
      <c r="C38" s="15"/>
      <c r="D38" s="15"/>
      <c r="E38" s="15"/>
      <c r="F38" s="15"/>
      <c r="G38" s="15"/>
      <c r="H38" s="15"/>
      <c r="I38" s="15"/>
      <c r="K38" s="15"/>
      <c r="L38" s="15"/>
      <c r="N38" s="21">
        <v>9</v>
      </c>
      <c r="O38" s="22" t="s">
        <v>3</v>
      </c>
      <c r="P38" s="22">
        <v>400</v>
      </c>
      <c r="Q38" s="23">
        <v>9</v>
      </c>
      <c r="R38" s="22">
        <f>IF(Q38&lt;&gt;"",_xlfn.IFNA((VLOOKUP(O38,$B$3:$D$7,2,FALSE)*P38)-(VLOOKUP(O38,$B$3:$D$7,3,FALSE)*P38),0),0)</f>
        <v>2400</v>
      </c>
      <c r="T38" s="4">
        <v>7</v>
      </c>
      <c r="U38" s="5" t="s">
        <v>4</v>
      </c>
      <c r="V38" s="5"/>
      <c r="W38" s="6"/>
      <c r="X38" s="2">
        <f t="shared" si="0"/>
        <v>0</v>
      </c>
      <c r="Z38" s="4">
        <v>7</v>
      </c>
      <c r="AA38" s="5" t="s">
        <v>4</v>
      </c>
      <c r="AB38" s="6">
        <f>IF(AA38="T",1000,0)+SUMIFS(V:V,U:U,AA38,T:T,"&lt;="&amp;Z38)-SUMIFS(P:P,O:O,AA38,N:N,"&lt;="&amp;Z38)</f>
        <v>0</v>
      </c>
      <c r="AC38" s="2">
        <f t="shared" si="1"/>
        <v>0</v>
      </c>
      <c r="AD38" s="2">
        <f t="shared" si="2"/>
        <v>0</v>
      </c>
      <c r="AF38" s="15"/>
      <c r="AG38" s="15"/>
      <c r="AH38" s="15"/>
    </row>
    <row r="39" spans="2:34" x14ac:dyDescent="0.25">
      <c r="B39" s="15"/>
      <c r="C39" s="15"/>
      <c r="D39" s="15"/>
      <c r="E39" s="15"/>
      <c r="F39" s="15"/>
      <c r="G39" s="15"/>
      <c r="H39" s="15"/>
      <c r="I39" s="15"/>
      <c r="K39" s="15"/>
      <c r="L39" s="15"/>
      <c r="N39" s="21">
        <v>11</v>
      </c>
      <c r="O39" s="22" t="s">
        <v>3</v>
      </c>
      <c r="P39" s="22">
        <v>700</v>
      </c>
      <c r="Q39" s="23">
        <v>11</v>
      </c>
      <c r="R39" s="22">
        <f>IF(Q39&lt;&gt;"",_xlfn.IFNA((VLOOKUP(O39,$B$3:$D$7,2,FALSE)*P39)-(VLOOKUP(O39,$B$3:$D$7,3,FALSE)*P39),0),0)</f>
        <v>4200</v>
      </c>
      <c r="T39" s="27">
        <v>8</v>
      </c>
      <c r="U39" s="33" t="s">
        <v>0</v>
      </c>
      <c r="V39" s="33"/>
      <c r="W39" s="28"/>
      <c r="X39" s="2">
        <f t="shared" si="0"/>
        <v>0</v>
      </c>
      <c r="Z39" s="27">
        <v>8</v>
      </c>
      <c r="AA39" s="33" t="s">
        <v>0</v>
      </c>
      <c r="AB39" s="28">
        <f>IF(AA39="T",1000,0)+SUMIFS(V:V,U:U,AA39,T:T,"&lt;="&amp;Z39)-SUMIFS(P:P,O:O,AA39,N:N,"&lt;="&amp;Z39)</f>
        <v>0</v>
      </c>
      <c r="AC39" s="2">
        <f t="shared" si="1"/>
        <v>0</v>
      </c>
      <c r="AD39" s="2">
        <f t="shared" si="2"/>
        <v>0</v>
      </c>
      <c r="AF39" s="15"/>
      <c r="AG39" s="15"/>
      <c r="AH39" s="15"/>
    </row>
    <row r="40" spans="2:34" x14ac:dyDescent="0.25">
      <c r="B40" s="15"/>
      <c r="C40" s="15"/>
      <c r="D40" s="15"/>
      <c r="E40" s="15"/>
      <c r="F40" s="15"/>
      <c r="G40" s="15"/>
      <c r="H40" s="15"/>
      <c r="I40" s="15"/>
      <c r="K40" s="15"/>
      <c r="L40" s="15"/>
      <c r="N40" s="21">
        <v>10</v>
      </c>
      <c r="O40" s="22" t="s">
        <v>2</v>
      </c>
      <c r="P40" s="22">
        <v>250</v>
      </c>
      <c r="Q40" s="23">
        <v>10</v>
      </c>
      <c r="R40" s="22">
        <f>IF(Q40&lt;&gt;"",_xlfn.IFNA((VLOOKUP(O40,$B$3:$D$7,2,FALSE)*P40)-(VLOOKUP(O40,$B$3:$D$7,3,FALSE)*P40),0),0)</f>
        <v>1500</v>
      </c>
      <c r="T40" s="1">
        <v>8</v>
      </c>
      <c r="U40" s="2" t="s">
        <v>1</v>
      </c>
      <c r="V40" s="2">
        <v>700</v>
      </c>
      <c r="W40" s="3" t="s">
        <v>33</v>
      </c>
      <c r="X40" s="2">
        <f t="shared" si="0"/>
        <v>0</v>
      </c>
      <c r="Z40" s="1">
        <v>8</v>
      </c>
      <c r="AA40" s="2" t="s">
        <v>1</v>
      </c>
      <c r="AB40" s="3">
        <f>IF(AA40="T",1000,0)+SUMIFS(V:V,U:U,AA40,T:T,"&lt;="&amp;Z40)-SUMIFS(P:P,O:O,AA40,N:N,"&lt;="&amp;Z40)</f>
        <v>0</v>
      </c>
      <c r="AC40" s="2">
        <f t="shared" si="1"/>
        <v>0</v>
      </c>
      <c r="AD40" s="2">
        <f t="shared" si="2"/>
        <v>0</v>
      </c>
      <c r="AF40" s="15"/>
      <c r="AG40" s="15"/>
      <c r="AH40" s="15"/>
    </row>
    <row r="41" spans="2:34" x14ac:dyDescent="0.25">
      <c r="B41" s="15"/>
      <c r="C41" s="15"/>
      <c r="D41" s="15"/>
      <c r="E41" s="15"/>
      <c r="F41" s="15"/>
      <c r="G41" s="15"/>
      <c r="H41" s="15"/>
      <c r="I41" s="15"/>
      <c r="K41" s="15"/>
      <c r="L41" s="15"/>
      <c r="N41" s="21">
        <v>10</v>
      </c>
      <c r="O41" s="22" t="s">
        <v>2</v>
      </c>
      <c r="P41" s="22">
        <v>300</v>
      </c>
      <c r="Q41" s="23">
        <v>10</v>
      </c>
      <c r="R41" s="22">
        <f>IF(Q41&lt;&gt;"",_xlfn.IFNA((VLOOKUP(O41,$B$3:$D$7,2,FALSE)*P41)-(VLOOKUP(O41,$B$3:$D$7,3,FALSE)*P41),0),0)</f>
        <v>1800</v>
      </c>
      <c r="T41" s="1">
        <v>8</v>
      </c>
      <c r="U41" s="2" t="s">
        <v>3</v>
      </c>
      <c r="V41" s="2">
        <f>650</f>
        <v>650</v>
      </c>
      <c r="W41" s="3" t="s">
        <v>32</v>
      </c>
      <c r="X41" s="2">
        <f t="shared" si="0"/>
        <v>40</v>
      </c>
      <c r="Z41" s="1">
        <v>8</v>
      </c>
      <c r="AA41" s="2" t="s">
        <v>3</v>
      </c>
      <c r="AB41" s="3">
        <f>IF(AA41="T",1000,0)+SUMIFS(V:V,U:U,AA41,T:T,"&lt;="&amp;Z41)-SUMIFS(P:P,O:O,AA41,N:N,"&lt;="&amp;Z41)</f>
        <v>0</v>
      </c>
      <c r="AC41" s="2">
        <f t="shared" si="1"/>
        <v>0</v>
      </c>
      <c r="AD41" s="2">
        <f t="shared" si="2"/>
        <v>0</v>
      </c>
      <c r="AF41" s="15"/>
      <c r="AG41" s="15"/>
      <c r="AH41" s="15"/>
    </row>
    <row r="42" spans="2:34" x14ac:dyDescent="0.25">
      <c r="B42" s="15"/>
      <c r="C42" s="15"/>
      <c r="D42" s="15"/>
      <c r="E42" s="15"/>
      <c r="F42" s="15"/>
      <c r="G42" s="15"/>
      <c r="H42" s="15"/>
      <c r="I42" s="15"/>
      <c r="K42" s="15"/>
      <c r="L42" s="15"/>
      <c r="N42" s="21">
        <v>12</v>
      </c>
      <c r="O42" s="22" t="s">
        <v>4</v>
      </c>
      <c r="P42" s="22">
        <v>500</v>
      </c>
      <c r="Q42" s="23">
        <v>12</v>
      </c>
      <c r="R42" s="22">
        <f>IF(Q42&lt;&gt;"",_xlfn.IFNA((VLOOKUP(O42,$B$3:$D$7,2,FALSE)*P42)-(VLOOKUP(O42,$B$3:$D$7,3,FALSE)*P42),0),0)</f>
        <v>3000</v>
      </c>
      <c r="T42" s="1">
        <v>8</v>
      </c>
      <c r="U42" s="2" t="s">
        <v>2</v>
      </c>
      <c r="V42" s="2">
        <f>300+100+250</f>
        <v>650</v>
      </c>
      <c r="W42" s="3" t="s">
        <v>32</v>
      </c>
      <c r="X42" s="2">
        <f t="shared" si="0"/>
        <v>40</v>
      </c>
      <c r="Z42" s="1">
        <v>8</v>
      </c>
      <c r="AA42" s="2" t="s">
        <v>2</v>
      </c>
      <c r="AB42" s="3">
        <f>IF(AA42="T",1000,0)+SUMIFS(V:V,U:U,AA42,T:T,"&lt;="&amp;Z42)-SUMIFS(P:P,O:O,AA42,N:N,"&lt;="&amp;Z42)</f>
        <v>350</v>
      </c>
      <c r="AC42" s="2">
        <f t="shared" si="1"/>
        <v>35</v>
      </c>
      <c r="AD42" s="2">
        <f t="shared" si="2"/>
        <v>0</v>
      </c>
      <c r="AF42" s="15"/>
      <c r="AG42" s="15"/>
      <c r="AH42" s="15"/>
    </row>
    <row r="43" spans="2:34" x14ac:dyDescent="0.25">
      <c r="B43" s="15"/>
      <c r="C43" s="15"/>
      <c r="D43" s="15"/>
      <c r="E43" s="15"/>
      <c r="F43" s="15"/>
      <c r="G43" s="15"/>
      <c r="H43" s="15"/>
      <c r="I43" s="15"/>
      <c r="K43" s="15"/>
      <c r="L43" s="15"/>
      <c r="N43" s="21">
        <v>9</v>
      </c>
      <c r="O43" s="22" t="s">
        <v>0</v>
      </c>
      <c r="P43" s="22">
        <v>250</v>
      </c>
      <c r="Q43" s="23">
        <v>9</v>
      </c>
      <c r="R43" s="22">
        <f>IF(Q43&lt;&gt;"",_xlfn.IFNA((VLOOKUP(O43,$B$3:$D$7,2,FALSE)*P43)-(VLOOKUP(O43,$B$3:$D$7,3,FALSE)*P43),0),0)</f>
        <v>1000</v>
      </c>
      <c r="T43" s="4">
        <v>8</v>
      </c>
      <c r="U43" s="5" t="s">
        <v>4</v>
      </c>
      <c r="V43" s="5"/>
      <c r="W43" s="6"/>
      <c r="X43" s="2">
        <f t="shared" si="0"/>
        <v>0</v>
      </c>
      <c r="Z43" s="4">
        <v>8</v>
      </c>
      <c r="AA43" s="5" t="s">
        <v>4</v>
      </c>
      <c r="AB43" s="6">
        <f>IF(AA43="T",1000,0)+SUMIFS(V:V,U:U,AA43,T:T,"&lt;="&amp;Z43)-SUMIFS(P:P,O:O,AA43,N:N,"&lt;="&amp;Z43)</f>
        <v>0</v>
      </c>
      <c r="AC43" s="2">
        <f t="shared" si="1"/>
        <v>0</v>
      </c>
      <c r="AD43" s="2">
        <f t="shared" si="2"/>
        <v>0</v>
      </c>
      <c r="AF43" s="15"/>
      <c r="AG43" s="15"/>
      <c r="AH43" s="15"/>
    </row>
    <row r="44" spans="2:34" x14ac:dyDescent="0.25">
      <c r="B44" s="15"/>
      <c r="C44" s="15"/>
      <c r="D44" s="15"/>
      <c r="E44" s="15"/>
      <c r="F44" s="15"/>
      <c r="G44" s="15"/>
      <c r="H44" s="15"/>
      <c r="I44" s="15"/>
      <c r="K44" s="15"/>
      <c r="L44" s="15"/>
      <c r="N44" s="21">
        <v>13</v>
      </c>
      <c r="O44" s="22" t="s">
        <v>3</v>
      </c>
      <c r="P44" s="22">
        <v>800</v>
      </c>
      <c r="Q44" s="23">
        <v>13</v>
      </c>
      <c r="R44" s="22">
        <f>IF(Q44&lt;&gt;"",_xlfn.IFNA((VLOOKUP(O44,$B$3:$D$7,2,FALSE)*P44)-(VLOOKUP(O44,$B$3:$D$7,3,FALSE)*P44),0),0)</f>
        <v>4800</v>
      </c>
      <c r="T44" s="27">
        <v>9</v>
      </c>
      <c r="U44" s="33" t="s">
        <v>0</v>
      </c>
      <c r="V44" s="33">
        <v>250</v>
      </c>
      <c r="W44" s="28" t="s">
        <v>32</v>
      </c>
      <c r="X44" s="2">
        <f t="shared" si="0"/>
        <v>40</v>
      </c>
      <c r="Z44" s="27">
        <v>9</v>
      </c>
      <c r="AA44" s="33" t="s">
        <v>0</v>
      </c>
      <c r="AB44" s="28">
        <f>IF(AA44="T",1000,0)+SUMIFS(V:V,U:U,AA44,T:T,"&lt;="&amp;Z44)-SUMIFS(P:P,O:O,AA44,N:N,"&lt;="&amp;Z44)</f>
        <v>0</v>
      </c>
      <c r="AC44" s="2">
        <f t="shared" si="1"/>
        <v>0</v>
      </c>
      <c r="AD44" s="2">
        <f t="shared" si="2"/>
        <v>0</v>
      </c>
      <c r="AF44" s="15"/>
      <c r="AG44" s="15"/>
      <c r="AH44" s="15"/>
    </row>
    <row r="45" spans="2:34" x14ac:dyDescent="0.25">
      <c r="B45" s="15"/>
      <c r="C45" s="15"/>
      <c r="D45" s="15"/>
      <c r="E45" s="15"/>
      <c r="F45" s="15"/>
      <c r="G45" s="15"/>
      <c r="H45" s="15"/>
      <c r="I45" s="15"/>
      <c r="K45" s="15"/>
      <c r="L45" s="15"/>
      <c r="N45" s="21">
        <v>10</v>
      </c>
      <c r="O45" s="22" t="s">
        <v>0</v>
      </c>
      <c r="P45" s="22">
        <v>500</v>
      </c>
      <c r="Q45" s="23">
        <v>10</v>
      </c>
      <c r="R45" s="22">
        <f>IF(Q45&lt;&gt;"",_xlfn.IFNA((VLOOKUP(O45,$B$3:$D$7,2,FALSE)*P45)-(VLOOKUP(O45,$B$3:$D$7,3,FALSE)*P45),0),0)</f>
        <v>2000</v>
      </c>
      <c r="T45" s="1">
        <v>9</v>
      </c>
      <c r="U45" s="2" t="s">
        <v>1</v>
      </c>
      <c r="V45" s="2">
        <f>700+700</f>
        <v>1400</v>
      </c>
      <c r="W45" s="3" t="s">
        <v>32</v>
      </c>
      <c r="X45" s="2">
        <f t="shared" si="0"/>
        <v>30</v>
      </c>
      <c r="Z45" s="1">
        <v>9</v>
      </c>
      <c r="AA45" s="2" t="s">
        <v>1</v>
      </c>
      <c r="AB45" s="3">
        <f>IF(AA45="T",1000,0)+SUMIFS(V:V,U:U,AA45,T:T,"&lt;="&amp;Z45)-SUMIFS(P:P,O:O,AA45,N:N,"&lt;="&amp;Z45)</f>
        <v>700</v>
      </c>
      <c r="AC45" s="2">
        <f t="shared" si="1"/>
        <v>70</v>
      </c>
      <c r="AD45" s="2">
        <f t="shared" si="2"/>
        <v>0</v>
      </c>
      <c r="AF45" s="15"/>
      <c r="AG45" s="15"/>
      <c r="AH45" s="15"/>
    </row>
    <row r="46" spans="2:34" x14ac:dyDescent="0.25">
      <c r="B46" s="15"/>
      <c r="C46" s="15"/>
      <c r="D46" s="15"/>
      <c r="E46" s="15"/>
      <c r="F46" s="15"/>
      <c r="G46" s="15"/>
      <c r="H46" s="15"/>
      <c r="I46" s="15"/>
      <c r="K46" s="15"/>
      <c r="L46" s="15"/>
      <c r="N46" s="21">
        <v>12</v>
      </c>
      <c r="O46" s="22" t="s">
        <v>1</v>
      </c>
      <c r="P46" s="22">
        <v>850</v>
      </c>
      <c r="Q46" s="23">
        <v>12</v>
      </c>
      <c r="R46" s="22">
        <f>IF(Q46&lt;&gt;"",_xlfn.IFNA((VLOOKUP(O46,$B$3:$D$7,2,FALSE)*P46)-(VLOOKUP(O46,$B$3:$D$7,3,FALSE)*P46),0),0)</f>
        <v>2550</v>
      </c>
      <c r="T46" s="1">
        <v>9</v>
      </c>
      <c r="U46" s="2" t="s">
        <v>3</v>
      </c>
      <c r="V46" s="2">
        <v>400</v>
      </c>
      <c r="W46" s="3" t="s">
        <v>33</v>
      </c>
      <c r="X46" s="2">
        <f t="shared" si="0"/>
        <v>0</v>
      </c>
      <c r="Z46" s="1">
        <v>9</v>
      </c>
      <c r="AA46" s="2" t="s">
        <v>3</v>
      </c>
      <c r="AB46" s="3">
        <f>IF(AA46="T",1000,0)+SUMIFS(V:V,U:U,AA46,T:T,"&lt;="&amp;Z46)-SUMIFS(P:P,O:O,AA46,N:N,"&lt;="&amp;Z46)</f>
        <v>0</v>
      </c>
      <c r="AC46" s="2">
        <f t="shared" si="1"/>
        <v>0</v>
      </c>
      <c r="AD46" s="2">
        <f t="shared" si="2"/>
        <v>0</v>
      </c>
      <c r="AF46" s="15"/>
      <c r="AG46" s="15"/>
      <c r="AH46" s="15"/>
    </row>
    <row r="47" spans="2:34" x14ac:dyDescent="0.25">
      <c r="B47" s="15"/>
      <c r="C47" s="15"/>
      <c r="D47" s="15"/>
      <c r="E47" s="15"/>
      <c r="F47" s="15"/>
      <c r="G47" s="15"/>
      <c r="H47" s="15"/>
      <c r="I47" s="15"/>
      <c r="K47" s="15"/>
      <c r="L47" s="15"/>
      <c r="N47" s="21">
        <v>13</v>
      </c>
      <c r="O47" s="22" t="s">
        <v>1</v>
      </c>
      <c r="P47" s="22">
        <v>850</v>
      </c>
      <c r="Q47" s="23">
        <v>13</v>
      </c>
      <c r="R47" s="22">
        <f>IF(Q47&lt;&gt;"",_xlfn.IFNA((VLOOKUP(O47,$B$3:$D$7,2,FALSE)*P47)-(VLOOKUP(O47,$B$3:$D$7,3,FALSE)*P47),0),0)</f>
        <v>2550</v>
      </c>
      <c r="T47" s="1">
        <v>9</v>
      </c>
      <c r="U47" s="2" t="s">
        <v>2</v>
      </c>
      <c r="W47" s="3"/>
      <c r="X47" s="2">
        <f t="shared" si="0"/>
        <v>0</v>
      </c>
      <c r="Z47" s="1">
        <v>9</v>
      </c>
      <c r="AA47" s="2" t="s">
        <v>2</v>
      </c>
      <c r="AB47" s="3">
        <f>IF(AA47="T",1000,0)+SUMIFS(V:V,U:U,AA47,T:T,"&lt;="&amp;Z47)-SUMIFS(P:P,O:O,AA47,N:N,"&lt;="&amp;Z47)</f>
        <v>250</v>
      </c>
      <c r="AC47" s="2">
        <f t="shared" si="1"/>
        <v>25</v>
      </c>
      <c r="AD47" s="2">
        <f t="shared" si="2"/>
        <v>0</v>
      </c>
      <c r="AF47" s="15"/>
      <c r="AG47" s="15"/>
      <c r="AH47" s="15"/>
    </row>
    <row r="48" spans="2:34" x14ac:dyDescent="0.25">
      <c r="B48" s="15"/>
      <c r="C48" s="15"/>
      <c r="D48" s="15"/>
      <c r="E48" s="15"/>
      <c r="F48" s="15"/>
      <c r="G48" s="15"/>
      <c r="H48" s="15"/>
      <c r="I48" s="15"/>
      <c r="K48" s="15"/>
      <c r="L48" s="15"/>
      <c r="N48" s="21">
        <v>13</v>
      </c>
      <c r="O48" s="22" t="s">
        <v>2</v>
      </c>
      <c r="P48" s="22">
        <v>400</v>
      </c>
      <c r="Q48" s="23">
        <v>13</v>
      </c>
      <c r="R48" s="22">
        <f>IF(Q48&lt;&gt;"",_xlfn.IFNA((VLOOKUP(O48,$B$3:$D$7,2,FALSE)*P48)-(VLOOKUP(O48,$B$3:$D$7,3,FALSE)*P48),0),0)</f>
        <v>2400</v>
      </c>
      <c r="T48" s="4">
        <v>9</v>
      </c>
      <c r="U48" s="5" t="s">
        <v>4</v>
      </c>
      <c r="V48" s="5"/>
      <c r="W48" s="6"/>
      <c r="X48" s="2">
        <f t="shared" si="0"/>
        <v>0</v>
      </c>
      <c r="Z48" s="4">
        <v>9</v>
      </c>
      <c r="AA48" s="5" t="s">
        <v>4</v>
      </c>
      <c r="AB48" s="6">
        <f>IF(AA48="T",1000,0)+SUMIFS(V:V,U:U,AA48,T:T,"&lt;="&amp;Z48)-SUMIFS(P:P,O:O,AA48,N:N,"&lt;="&amp;Z48)</f>
        <v>0</v>
      </c>
      <c r="AC48" s="2">
        <f t="shared" si="1"/>
        <v>0</v>
      </c>
      <c r="AD48" s="2">
        <f t="shared" si="2"/>
        <v>0</v>
      </c>
      <c r="AF48" s="15"/>
      <c r="AG48" s="15"/>
      <c r="AH48" s="15"/>
    </row>
    <row r="49" spans="2:34" x14ac:dyDescent="0.25">
      <c r="B49" s="15"/>
      <c r="C49" s="15"/>
      <c r="D49" s="15"/>
      <c r="E49" s="15"/>
      <c r="F49" s="15"/>
      <c r="G49" s="15"/>
      <c r="H49" s="15"/>
      <c r="I49" s="15"/>
      <c r="K49" s="15"/>
      <c r="L49" s="15"/>
      <c r="N49" s="24">
        <v>12</v>
      </c>
      <c r="O49" s="25" t="s">
        <v>0</v>
      </c>
      <c r="P49" s="25">
        <v>300</v>
      </c>
      <c r="Q49" s="26">
        <v>12</v>
      </c>
      <c r="R49" s="22">
        <f>IF(Q49&lt;&gt;"",_xlfn.IFNA((VLOOKUP(O49,$B$3:$D$7,2,FALSE)*P49)-(VLOOKUP(O49,$B$3:$D$7,3,FALSE)*P49),0),0)</f>
        <v>1200</v>
      </c>
      <c r="T49" s="27">
        <v>10</v>
      </c>
      <c r="U49" s="33" t="s">
        <v>0</v>
      </c>
      <c r="V49" s="33">
        <v>500</v>
      </c>
      <c r="W49" s="28" t="s">
        <v>33</v>
      </c>
      <c r="X49" s="2">
        <f t="shared" si="0"/>
        <v>0</v>
      </c>
      <c r="Z49" s="27">
        <v>10</v>
      </c>
      <c r="AA49" s="33" t="s">
        <v>0</v>
      </c>
      <c r="AB49" s="28">
        <f>IF(AA49="T",1000,0)+SUMIFS(V:V,U:U,AA49,T:T,"&lt;="&amp;Z49)-SUMIFS(P:P,O:O,AA49,N:N,"&lt;="&amp;Z49)</f>
        <v>0</v>
      </c>
      <c r="AC49" s="2">
        <f t="shared" si="1"/>
        <v>0</v>
      </c>
      <c r="AD49" s="2">
        <f t="shared" si="2"/>
        <v>0</v>
      </c>
      <c r="AF49" s="15"/>
      <c r="AG49" s="15"/>
      <c r="AH49" s="15"/>
    </row>
    <row r="50" spans="2:34" x14ac:dyDescent="0.25">
      <c r="B50" s="15"/>
      <c r="C50" s="15"/>
      <c r="D50" s="15"/>
      <c r="E50" s="15"/>
      <c r="F50" s="15"/>
      <c r="G50" s="15"/>
      <c r="H50" s="15"/>
      <c r="I50" s="15"/>
      <c r="K50" s="15"/>
      <c r="L50" s="15"/>
      <c r="N50" s="41"/>
      <c r="O50" s="41"/>
      <c r="P50" s="41"/>
      <c r="Q50" s="41"/>
      <c r="R50" s="15"/>
      <c r="T50" s="1">
        <v>10</v>
      </c>
      <c r="U50" s="2" t="s">
        <v>1</v>
      </c>
      <c r="V50" s="2">
        <v>350</v>
      </c>
      <c r="W50" s="3" t="s">
        <v>32</v>
      </c>
      <c r="X50" s="2">
        <f t="shared" si="0"/>
        <v>30</v>
      </c>
      <c r="Z50" s="1">
        <v>10</v>
      </c>
      <c r="AA50" s="2" t="s">
        <v>1</v>
      </c>
      <c r="AB50" s="3">
        <f>IF(AA50="T",1000,0)+SUMIFS(V:V,U:U,AA50,T:T,"&lt;="&amp;Z50)-SUMIFS(P:P,O:O,AA50,N:N,"&lt;="&amp;Z50)</f>
        <v>350</v>
      </c>
      <c r="AC50" s="2">
        <f t="shared" si="1"/>
        <v>35</v>
      </c>
      <c r="AD50" s="2">
        <f t="shared" si="2"/>
        <v>0</v>
      </c>
      <c r="AF50" s="15"/>
      <c r="AG50" s="15"/>
      <c r="AH50" s="15"/>
    </row>
    <row r="51" spans="2:34" x14ac:dyDescent="0.25">
      <c r="B51" s="15"/>
      <c r="C51" s="15"/>
      <c r="D51" s="15"/>
      <c r="E51" s="15"/>
      <c r="F51" s="15"/>
      <c r="G51" s="15"/>
      <c r="H51" s="15"/>
      <c r="I51" s="15"/>
      <c r="K51" s="15"/>
      <c r="L51" s="15"/>
      <c r="N51" s="15"/>
      <c r="O51" s="15"/>
      <c r="P51" s="15"/>
      <c r="Q51" s="15"/>
      <c r="R51" s="15"/>
      <c r="T51" s="1">
        <v>10</v>
      </c>
      <c r="U51" s="2" t="s">
        <v>3</v>
      </c>
      <c r="V51" s="2">
        <v>700</v>
      </c>
      <c r="W51" s="3" t="s">
        <v>32</v>
      </c>
      <c r="X51" s="2">
        <f t="shared" si="0"/>
        <v>40</v>
      </c>
      <c r="Z51" s="1">
        <v>10</v>
      </c>
      <c r="AA51" s="2" t="s">
        <v>3</v>
      </c>
      <c r="AB51" s="3">
        <f>IF(AA51="T",1000,0)+SUMIFS(V:V,U:U,AA51,T:T,"&lt;="&amp;Z51)-SUMIFS(P:P,O:O,AA51,N:N,"&lt;="&amp;Z51)</f>
        <v>700</v>
      </c>
      <c r="AC51" s="2">
        <f t="shared" si="1"/>
        <v>70</v>
      </c>
      <c r="AD51" s="2">
        <f t="shared" si="2"/>
        <v>0</v>
      </c>
      <c r="AF51" s="15"/>
      <c r="AG51" s="15"/>
      <c r="AH51" s="15"/>
    </row>
    <row r="52" spans="2:34" x14ac:dyDescent="0.25">
      <c r="B52" s="15"/>
      <c r="C52" s="15"/>
      <c r="D52" s="15"/>
      <c r="E52" s="15"/>
      <c r="F52" s="15"/>
      <c r="G52" s="15"/>
      <c r="H52" s="15"/>
      <c r="I52" s="15"/>
      <c r="K52" s="15"/>
      <c r="L52" s="15"/>
      <c r="N52" s="15"/>
      <c r="O52" s="15"/>
      <c r="P52" s="15"/>
      <c r="Q52" s="15"/>
      <c r="R52" s="15"/>
      <c r="T52" s="1">
        <v>10</v>
      </c>
      <c r="U52" s="2" t="s">
        <v>2</v>
      </c>
      <c r="V52" s="2">
        <v>300</v>
      </c>
      <c r="W52" s="3" t="s">
        <v>32</v>
      </c>
      <c r="X52" s="2">
        <f t="shared" si="0"/>
        <v>40</v>
      </c>
      <c r="Z52" s="1">
        <v>10</v>
      </c>
      <c r="AA52" s="2" t="s">
        <v>2</v>
      </c>
      <c r="AB52" s="3">
        <f>IF(AA52="T",1000,0)+SUMIFS(V:V,U:U,AA52,T:T,"&lt;="&amp;Z52)-SUMIFS(P:P,O:O,AA52,N:N,"&lt;="&amp;Z52)</f>
        <v>0</v>
      </c>
      <c r="AC52" s="2">
        <f t="shared" si="1"/>
        <v>0</v>
      </c>
      <c r="AD52" s="2">
        <f t="shared" si="2"/>
        <v>0</v>
      </c>
      <c r="AF52" s="15"/>
      <c r="AG52" s="15"/>
      <c r="AH52" s="15"/>
    </row>
    <row r="53" spans="2:34" x14ac:dyDescent="0.25">
      <c r="B53" s="15"/>
      <c r="C53" s="15"/>
      <c r="D53" s="15"/>
      <c r="E53" s="15"/>
      <c r="F53" s="15"/>
      <c r="G53" s="15"/>
      <c r="H53" s="15"/>
      <c r="I53" s="15"/>
      <c r="K53" s="15"/>
      <c r="L53" s="15"/>
      <c r="N53" s="15"/>
      <c r="O53" s="15"/>
      <c r="P53" s="15"/>
      <c r="Q53" s="15"/>
      <c r="R53" s="15"/>
      <c r="T53" s="4">
        <v>10</v>
      </c>
      <c r="U53" s="5" t="s">
        <v>4</v>
      </c>
      <c r="V53" s="5"/>
      <c r="W53" s="6"/>
      <c r="X53" s="2">
        <f t="shared" si="0"/>
        <v>0</v>
      </c>
      <c r="Z53" s="4">
        <v>10</v>
      </c>
      <c r="AA53" s="5" t="s">
        <v>4</v>
      </c>
      <c r="AB53" s="6">
        <f>IF(AA53="T",1000,0)+SUMIFS(V:V,U:U,AA53,T:T,"&lt;="&amp;Z53)-SUMIFS(P:P,O:O,AA53,N:N,"&lt;="&amp;Z53)</f>
        <v>0</v>
      </c>
      <c r="AC53" s="2">
        <f t="shared" si="1"/>
        <v>0</v>
      </c>
      <c r="AD53" s="2">
        <f t="shared" si="2"/>
        <v>0</v>
      </c>
      <c r="AF53" s="15"/>
      <c r="AG53" s="15"/>
      <c r="AH53" s="15"/>
    </row>
    <row r="54" spans="2:34" x14ac:dyDescent="0.25">
      <c r="B54" s="15"/>
      <c r="C54" s="15"/>
      <c r="D54" s="15"/>
      <c r="E54" s="15"/>
      <c r="F54" s="15"/>
      <c r="G54" s="15"/>
      <c r="H54" s="15"/>
      <c r="I54" s="15"/>
      <c r="K54" s="15"/>
      <c r="L54" s="15"/>
      <c r="N54" s="15"/>
      <c r="O54" s="15"/>
      <c r="P54" s="15"/>
      <c r="Q54" s="15"/>
      <c r="R54" s="15"/>
      <c r="T54" s="27">
        <v>11</v>
      </c>
      <c r="U54" s="33" t="s">
        <v>0</v>
      </c>
      <c r="V54" s="33"/>
      <c r="W54" s="28"/>
      <c r="X54" s="2">
        <f t="shared" si="0"/>
        <v>0</v>
      </c>
      <c r="Z54" s="27">
        <v>11</v>
      </c>
      <c r="AA54" s="33" t="s">
        <v>0</v>
      </c>
      <c r="AB54" s="28">
        <f>IF(AA54="T",1000,0)+SUMIFS(V:V,U:U,AA54,T:T,"&lt;="&amp;Z54)-SUMIFS(P:P,O:O,AA54,N:N,"&lt;="&amp;Z54)</f>
        <v>0</v>
      </c>
      <c r="AC54" s="2">
        <f t="shared" si="1"/>
        <v>0</v>
      </c>
      <c r="AD54" s="2">
        <f t="shared" si="2"/>
        <v>0</v>
      </c>
      <c r="AF54" s="15"/>
      <c r="AG54" s="15"/>
      <c r="AH54" s="15"/>
    </row>
    <row r="55" spans="2:34" x14ac:dyDescent="0.25">
      <c r="B55" s="15"/>
      <c r="C55" s="15"/>
      <c r="D55" s="15"/>
      <c r="E55" s="15"/>
      <c r="F55" s="15"/>
      <c r="G55" s="15"/>
      <c r="H55" s="15"/>
      <c r="I55" s="15"/>
      <c r="K55" s="15"/>
      <c r="L55" s="15"/>
      <c r="N55" s="15"/>
      <c r="O55" s="15"/>
      <c r="P55" s="15"/>
      <c r="Q55" s="15"/>
      <c r="R55" s="15"/>
      <c r="T55" s="1">
        <v>11</v>
      </c>
      <c r="U55" s="2" t="s">
        <v>1</v>
      </c>
      <c r="V55" s="2">
        <f>350+400+150+200+100+200+50</f>
        <v>1450</v>
      </c>
      <c r="W55" s="3" t="s">
        <v>32</v>
      </c>
      <c r="X55" s="2">
        <f t="shared" si="0"/>
        <v>30</v>
      </c>
      <c r="Z55" s="1">
        <v>11</v>
      </c>
      <c r="AA55" s="2" t="s">
        <v>1</v>
      </c>
      <c r="AB55" s="3">
        <f>IF(AA55="T",1000,0)+SUMIFS(V:V,U:U,AA55,T:T,"&lt;="&amp;Z55)-SUMIFS(P:P,O:O,AA55,N:N,"&lt;="&amp;Z55)</f>
        <v>1100</v>
      </c>
      <c r="AC55" s="2">
        <f t="shared" si="1"/>
        <v>110</v>
      </c>
      <c r="AD55" s="2">
        <f t="shared" si="2"/>
        <v>0</v>
      </c>
      <c r="AF55" s="15"/>
      <c r="AG55" s="15"/>
      <c r="AH55" s="15"/>
    </row>
    <row r="56" spans="2:34" x14ac:dyDescent="0.25">
      <c r="B56" s="15"/>
      <c r="C56" s="15"/>
      <c r="D56" s="15"/>
      <c r="E56" s="15"/>
      <c r="F56" s="15"/>
      <c r="G56" s="15"/>
      <c r="H56" s="15"/>
      <c r="I56" s="15"/>
      <c r="K56" s="15"/>
      <c r="L56" s="15"/>
      <c r="N56" s="15"/>
      <c r="O56" s="15"/>
      <c r="P56" s="15"/>
      <c r="Q56" s="15"/>
      <c r="R56" s="15"/>
      <c r="T56" s="1">
        <v>11</v>
      </c>
      <c r="U56" s="2" t="s">
        <v>3</v>
      </c>
      <c r="V56" s="2">
        <v>800</v>
      </c>
      <c r="W56" s="3" t="s">
        <v>33</v>
      </c>
      <c r="X56" s="2">
        <f t="shared" si="0"/>
        <v>0</v>
      </c>
      <c r="Z56" s="1">
        <v>11</v>
      </c>
      <c r="AA56" s="2" t="s">
        <v>3</v>
      </c>
      <c r="AB56" s="3">
        <f>IF(AA56="T",1000,0)+SUMIFS(V:V,U:U,AA56,T:T,"&lt;="&amp;Z56)-SUMIFS(P:P,O:O,AA56,N:N,"&lt;="&amp;Z56)</f>
        <v>800</v>
      </c>
      <c r="AC56" s="2">
        <f t="shared" si="1"/>
        <v>80</v>
      </c>
      <c r="AD56" s="2">
        <f t="shared" si="2"/>
        <v>0</v>
      </c>
      <c r="AF56" s="15"/>
      <c r="AG56" s="15"/>
      <c r="AH56" s="15"/>
    </row>
    <row r="57" spans="2:34" x14ac:dyDescent="0.25">
      <c r="B57" s="15"/>
      <c r="C57" s="15"/>
      <c r="D57" s="15"/>
      <c r="E57" s="15"/>
      <c r="F57" s="15"/>
      <c r="G57" s="15"/>
      <c r="H57" s="15"/>
      <c r="I57" s="15"/>
      <c r="K57" s="15"/>
      <c r="L57" s="15"/>
      <c r="N57" s="15"/>
      <c r="O57" s="15"/>
      <c r="P57" s="15"/>
      <c r="Q57" s="15"/>
      <c r="R57" s="15"/>
      <c r="T57" s="1">
        <v>11</v>
      </c>
      <c r="U57" s="2" t="s">
        <v>2</v>
      </c>
      <c r="W57" s="3"/>
      <c r="X57" s="2">
        <f t="shared" si="0"/>
        <v>0</v>
      </c>
      <c r="Z57" s="1">
        <v>11</v>
      </c>
      <c r="AA57" s="2" t="s">
        <v>2</v>
      </c>
      <c r="AB57" s="3">
        <f>IF(AA57="T",1000,0)+SUMIFS(V:V,U:U,AA57,T:T,"&lt;="&amp;Z57)-SUMIFS(P:P,O:O,AA57,N:N,"&lt;="&amp;Z57)</f>
        <v>0</v>
      </c>
      <c r="AC57" s="2">
        <f t="shared" si="1"/>
        <v>0</v>
      </c>
      <c r="AD57" s="2">
        <f t="shared" si="2"/>
        <v>0</v>
      </c>
      <c r="AF57" s="15"/>
      <c r="AG57" s="15"/>
      <c r="AH57" s="15"/>
    </row>
    <row r="58" spans="2:34" x14ac:dyDescent="0.25">
      <c r="B58" s="15"/>
      <c r="C58" s="15"/>
      <c r="D58" s="15"/>
      <c r="E58" s="15"/>
      <c r="F58" s="15"/>
      <c r="G58" s="15"/>
      <c r="H58" s="15"/>
      <c r="I58" s="15"/>
      <c r="K58" s="15"/>
      <c r="L58" s="15"/>
      <c r="N58" s="15"/>
      <c r="O58" s="15"/>
      <c r="P58" s="15"/>
      <c r="Q58" s="15"/>
      <c r="R58" s="15"/>
      <c r="T58" s="4">
        <v>11</v>
      </c>
      <c r="U58" s="5" t="s">
        <v>4</v>
      </c>
      <c r="V58" s="5"/>
      <c r="W58" s="6"/>
      <c r="X58" s="2">
        <f t="shared" si="0"/>
        <v>0</v>
      </c>
      <c r="Z58" s="4">
        <v>11</v>
      </c>
      <c r="AA58" s="5" t="s">
        <v>4</v>
      </c>
      <c r="AB58" s="6">
        <f>IF(AA58="T",1000,0)+SUMIFS(V:V,U:U,AA58,T:T,"&lt;="&amp;Z58)-SUMIFS(P:P,O:O,AA58,N:N,"&lt;="&amp;Z58)</f>
        <v>0</v>
      </c>
      <c r="AC58" s="2">
        <f t="shared" si="1"/>
        <v>0</v>
      </c>
      <c r="AD58" s="2">
        <f t="shared" si="2"/>
        <v>0</v>
      </c>
      <c r="AF58" s="15"/>
      <c r="AG58" s="15"/>
      <c r="AH58" s="15"/>
    </row>
    <row r="59" spans="2:34" x14ac:dyDescent="0.25">
      <c r="B59" s="15"/>
      <c r="C59" s="15"/>
      <c r="D59" s="15"/>
      <c r="E59" s="15"/>
      <c r="F59" s="15"/>
      <c r="G59" s="15"/>
      <c r="H59" s="15"/>
      <c r="I59" s="15"/>
      <c r="K59" s="15"/>
      <c r="L59" s="15"/>
      <c r="N59" s="15"/>
      <c r="O59" s="15"/>
      <c r="P59" s="15"/>
      <c r="Q59" s="15"/>
      <c r="R59" s="15"/>
      <c r="T59" s="27">
        <v>12</v>
      </c>
      <c r="U59" s="33" t="s">
        <v>0</v>
      </c>
      <c r="V59" s="33">
        <v>300</v>
      </c>
      <c r="W59" s="28" t="s">
        <v>32</v>
      </c>
      <c r="X59" s="2">
        <f t="shared" si="0"/>
        <v>40</v>
      </c>
      <c r="Z59" s="27">
        <v>12</v>
      </c>
      <c r="AA59" s="33" t="s">
        <v>0</v>
      </c>
      <c r="AB59" s="28">
        <f>IF(AA59="T",1000,0)+SUMIFS(V:V,U:U,AA59,T:T,"&lt;="&amp;Z59)-SUMIFS(P:P,O:O,AA59,N:N,"&lt;="&amp;Z59)</f>
        <v>0</v>
      </c>
      <c r="AC59" s="2">
        <f t="shared" si="1"/>
        <v>0</v>
      </c>
      <c r="AD59" s="2">
        <f t="shared" si="2"/>
        <v>0</v>
      </c>
      <c r="AF59" s="15"/>
      <c r="AG59" s="15"/>
      <c r="AH59" s="15"/>
    </row>
    <row r="60" spans="2:34" x14ac:dyDescent="0.25">
      <c r="B60" s="15"/>
      <c r="C60" s="15"/>
      <c r="D60" s="15"/>
      <c r="E60" s="15"/>
      <c r="F60" s="15"/>
      <c r="G60" s="15"/>
      <c r="H60" s="15"/>
      <c r="I60" s="15"/>
      <c r="K60" s="15"/>
      <c r="L60" s="15"/>
      <c r="N60" s="15"/>
      <c r="O60" s="15"/>
      <c r="P60" s="15"/>
      <c r="Q60" s="15"/>
      <c r="R60" s="15"/>
      <c r="T60" s="1">
        <v>12</v>
      </c>
      <c r="U60" s="2" t="s">
        <v>1</v>
      </c>
      <c r="V60" s="2">
        <f>850-200-50</f>
        <v>600</v>
      </c>
      <c r="W60" s="3" t="s">
        <v>33</v>
      </c>
      <c r="X60" s="2">
        <f t="shared" si="0"/>
        <v>0</v>
      </c>
      <c r="Z60" s="1">
        <v>12</v>
      </c>
      <c r="AA60" s="2" t="s">
        <v>1</v>
      </c>
      <c r="AB60" s="3">
        <f>IF(AA60="T",1000,0)+SUMIFS(V:V,U:U,AA60,T:T,"&lt;="&amp;Z60)-SUMIFS(P:P,O:O,AA60,N:N,"&lt;="&amp;Z60)</f>
        <v>850</v>
      </c>
      <c r="AC60" s="2">
        <f t="shared" si="1"/>
        <v>85</v>
      </c>
      <c r="AD60" s="2">
        <f t="shared" si="2"/>
        <v>0</v>
      </c>
      <c r="AF60" s="15"/>
      <c r="AG60" s="15"/>
      <c r="AH60" s="15"/>
    </row>
    <row r="61" spans="2:34" x14ac:dyDescent="0.25">
      <c r="B61" s="15"/>
      <c r="C61" s="15"/>
      <c r="D61" s="15"/>
      <c r="E61" s="15"/>
      <c r="F61" s="15"/>
      <c r="G61" s="15"/>
      <c r="H61" s="15"/>
      <c r="I61" s="15"/>
      <c r="K61" s="15"/>
      <c r="L61" s="15"/>
      <c r="N61" s="15"/>
      <c r="O61" s="15"/>
      <c r="P61" s="15"/>
      <c r="Q61" s="15"/>
      <c r="R61" s="15"/>
      <c r="T61" s="1">
        <v>12</v>
      </c>
      <c r="U61" s="2" t="s">
        <v>3</v>
      </c>
      <c r="W61" s="3"/>
      <c r="X61" s="2">
        <f t="shared" si="0"/>
        <v>0</v>
      </c>
      <c r="Z61" s="1">
        <v>12</v>
      </c>
      <c r="AA61" s="2" t="s">
        <v>3</v>
      </c>
      <c r="AB61" s="3">
        <f>IF(AA61="T",1000,0)+SUMIFS(V:V,U:U,AA61,T:T,"&lt;="&amp;Z61)-SUMIFS(P:P,O:O,AA61,N:N,"&lt;="&amp;Z61)</f>
        <v>800</v>
      </c>
      <c r="AC61" s="2">
        <f t="shared" si="1"/>
        <v>80</v>
      </c>
      <c r="AD61" s="2">
        <f t="shared" si="2"/>
        <v>0</v>
      </c>
      <c r="AF61" s="15"/>
      <c r="AG61" s="15"/>
      <c r="AH61" s="15"/>
    </row>
    <row r="62" spans="2:34" x14ac:dyDescent="0.25">
      <c r="B62" s="15"/>
      <c r="C62" s="15"/>
      <c r="D62" s="15"/>
      <c r="E62" s="15"/>
      <c r="F62" s="15"/>
      <c r="G62" s="15"/>
      <c r="H62" s="15"/>
      <c r="I62" s="15"/>
      <c r="K62" s="15"/>
      <c r="L62" s="15"/>
      <c r="N62" s="15"/>
      <c r="O62" s="15"/>
      <c r="P62" s="15"/>
      <c r="Q62" s="15"/>
      <c r="R62" s="15"/>
      <c r="T62" s="1">
        <v>12</v>
      </c>
      <c r="U62" s="2" t="s">
        <v>2</v>
      </c>
      <c r="V62" s="2">
        <v>400</v>
      </c>
      <c r="W62" s="3" t="s">
        <v>32</v>
      </c>
      <c r="X62" s="2">
        <f t="shared" si="0"/>
        <v>40</v>
      </c>
      <c r="Z62" s="1">
        <v>12</v>
      </c>
      <c r="AA62" s="2" t="s">
        <v>2</v>
      </c>
      <c r="AB62" s="3">
        <f>IF(AA62="T",1000,0)+SUMIFS(V:V,U:U,AA62,T:T,"&lt;="&amp;Z62)-SUMIFS(P:P,O:O,AA62,N:N,"&lt;="&amp;Z62)</f>
        <v>400</v>
      </c>
      <c r="AC62" s="2">
        <f t="shared" si="1"/>
        <v>40</v>
      </c>
      <c r="AD62" s="2">
        <f t="shared" si="2"/>
        <v>0</v>
      </c>
      <c r="AF62" s="15"/>
      <c r="AG62" s="15"/>
      <c r="AH62" s="15"/>
    </row>
    <row r="63" spans="2:34" x14ac:dyDescent="0.25">
      <c r="B63" s="15"/>
      <c r="C63" s="15"/>
      <c r="D63" s="15"/>
      <c r="E63" s="15"/>
      <c r="F63" s="15"/>
      <c r="G63" s="15"/>
      <c r="H63" s="15"/>
      <c r="I63" s="15"/>
      <c r="K63" s="15"/>
      <c r="L63" s="15"/>
      <c r="N63" s="15"/>
      <c r="O63" s="15"/>
      <c r="P63" s="15"/>
      <c r="Q63" s="15"/>
      <c r="R63" s="15"/>
      <c r="T63" s="4">
        <v>12</v>
      </c>
      <c r="U63" s="5" t="s">
        <v>4</v>
      </c>
      <c r="V63" s="5">
        <v>500</v>
      </c>
      <c r="W63" s="6" t="s">
        <v>32</v>
      </c>
      <c r="X63" s="2">
        <f t="shared" si="0"/>
        <v>40</v>
      </c>
      <c r="Z63" s="4">
        <v>12</v>
      </c>
      <c r="AA63" s="5" t="s">
        <v>4</v>
      </c>
      <c r="AB63" s="6">
        <f>IF(AA63="T",1000,0)+SUMIFS(V:V,U:U,AA63,T:T,"&lt;="&amp;Z63)-SUMIFS(P:P,O:O,AA63,N:N,"&lt;="&amp;Z63)</f>
        <v>0</v>
      </c>
      <c r="AC63" s="2">
        <f t="shared" si="1"/>
        <v>0</v>
      </c>
      <c r="AD63" s="2">
        <f t="shared" si="2"/>
        <v>0</v>
      </c>
      <c r="AF63" s="15"/>
      <c r="AG63" s="15"/>
      <c r="AH63" s="15"/>
    </row>
    <row r="64" spans="2:34" s="15" customFormat="1" x14ac:dyDescent="0.25">
      <c r="Z64" s="27">
        <v>13</v>
      </c>
      <c r="AA64" s="33" t="s">
        <v>0</v>
      </c>
      <c r="AB64" s="28">
        <f>IF(AA64="T",1000,0)+SUMIFS(V:V,U:U,AA64,T:T,"&lt;="&amp;Z64)-SUMIFS(P:P,O:O,AA64,N:N,"&lt;="&amp;Z64)</f>
        <v>0</v>
      </c>
      <c r="AC64" s="2">
        <f t="shared" ref="AC64:AC68" si="3">IF(AB64&gt;0,AB64*$F$3,0)</f>
        <v>0</v>
      </c>
      <c r="AD64" s="2">
        <f t="shared" ref="AD64:AD68" si="4">IF(AB64&lt;0,-AB64*_xlfn.IFNA(VLOOKUP(AA64,$B$4:$E$7,4,FALSE),0),0)</f>
        <v>0</v>
      </c>
    </row>
    <row r="65" spans="14:34" x14ac:dyDescent="0.25">
      <c r="N65" s="15"/>
      <c r="O65" s="15"/>
      <c r="P65" s="15"/>
      <c r="Q65" s="15"/>
      <c r="R65" s="15"/>
      <c r="T65" s="15"/>
      <c r="U65" s="15"/>
      <c r="V65" s="15"/>
      <c r="W65" s="15"/>
      <c r="X65" s="15"/>
      <c r="Z65" s="1">
        <v>13</v>
      </c>
      <c r="AA65" s="2" t="s">
        <v>1</v>
      </c>
      <c r="AB65" s="3">
        <f>IF(AA65="T",1000,0)+SUMIFS(V:V,U:U,AA65,T:T,"&lt;="&amp;Z65)-SUMIFS(P:P,O:O,AA65,N:N,"&lt;="&amp;Z65)</f>
        <v>0</v>
      </c>
      <c r="AC65" s="2">
        <f t="shared" si="3"/>
        <v>0</v>
      </c>
      <c r="AD65" s="2">
        <f t="shared" si="4"/>
        <v>0</v>
      </c>
      <c r="AF65" s="15"/>
      <c r="AG65" s="15"/>
      <c r="AH65" s="15"/>
    </row>
    <row r="66" spans="14:34" x14ac:dyDescent="0.25">
      <c r="N66" s="15"/>
      <c r="O66" s="15"/>
      <c r="P66" s="15"/>
      <c r="Q66" s="15"/>
      <c r="R66" s="15"/>
      <c r="T66" s="15"/>
      <c r="U66" s="15"/>
      <c r="V66" s="15"/>
      <c r="W66" s="15"/>
      <c r="X66" s="15"/>
      <c r="Z66" s="1">
        <v>13</v>
      </c>
      <c r="AA66" s="2" t="s">
        <v>3</v>
      </c>
      <c r="AB66" s="3">
        <f>IF(AA66="T",1000,0)+SUMIFS(V:V,U:U,AA66,T:T,"&lt;="&amp;Z66)-SUMIFS(P:P,O:O,AA66,N:N,"&lt;="&amp;Z66)</f>
        <v>0</v>
      </c>
      <c r="AC66" s="2">
        <f t="shared" si="3"/>
        <v>0</v>
      </c>
      <c r="AD66" s="2">
        <f t="shared" si="4"/>
        <v>0</v>
      </c>
      <c r="AF66" s="15"/>
      <c r="AG66" s="15"/>
      <c r="AH66" s="15"/>
    </row>
    <row r="67" spans="14:34" x14ac:dyDescent="0.25">
      <c r="N67" s="15"/>
      <c r="O67" s="15"/>
      <c r="P67" s="15"/>
      <c r="Q67" s="15"/>
      <c r="R67" s="15"/>
      <c r="T67" s="15"/>
      <c r="U67" s="15"/>
      <c r="V67" s="15"/>
      <c r="W67" s="15"/>
      <c r="X67" s="15"/>
      <c r="Z67" s="1">
        <v>13</v>
      </c>
      <c r="AA67" s="2" t="s">
        <v>2</v>
      </c>
      <c r="AB67" s="3">
        <f>IF(AA67="T",1000,0)+SUMIFS(V:V,U:U,AA67,T:T,"&lt;="&amp;Z67)-SUMIFS(P:P,O:O,AA67,N:N,"&lt;="&amp;Z67)</f>
        <v>0</v>
      </c>
      <c r="AC67" s="2">
        <f t="shared" si="3"/>
        <v>0</v>
      </c>
      <c r="AD67" s="2">
        <f t="shared" si="4"/>
        <v>0</v>
      </c>
      <c r="AF67" s="15"/>
      <c r="AG67" s="15"/>
      <c r="AH67" s="15"/>
    </row>
    <row r="68" spans="14:34" x14ac:dyDescent="0.25">
      <c r="N68" s="15"/>
      <c r="O68" s="15"/>
      <c r="P68" s="15"/>
      <c r="Q68" s="15"/>
      <c r="R68" s="15"/>
      <c r="T68" s="15"/>
      <c r="U68" s="15"/>
      <c r="V68" s="15"/>
      <c r="W68" s="15"/>
      <c r="X68" s="15"/>
      <c r="Z68" s="4">
        <v>13</v>
      </c>
      <c r="AA68" s="5" t="s">
        <v>4</v>
      </c>
      <c r="AB68" s="6">
        <f>IF(AA68="T",1000,0)+SUMIFS(V:V,U:U,AA68,T:T,"&lt;="&amp;Z68)-SUMIFS(P:P,O:O,AA68,N:N,"&lt;="&amp;Z68)</f>
        <v>0</v>
      </c>
      <c r="AC68" s="2">
        <f t="shared" si="3"/>
        <v>0</v>
      </c>
      <c r="AD68" s="2">
        <f t="shared" si="4"/>
        <v>0</v>
      </c>
      <c r="AF68" s="15"/>
      <c r="AG68" s="15"/>
      <c r="AH68" s="15"/>
    </row>
    <row r="69" spans="14:34" s="15" customFormat="1" x14ac:dyDescent="0.25"/>
    <row r="70" spans="14:34" hidden="1" x14ac:dyDescent="0.25">
      <c r="AF70" s="22"/>
      <c r="AG70" s="22"/>
      <c r="AH70" s="22"/>
    </row>
    <row r="71" spans="14:34" hidden="1" x14ac:dyDescent="0.25">
      <c r="AF71" s="22"/>
      <c r="AG71" s="22"/>
      <c r="AH71" s="22"/>
    </row>
  </sheetData>
  <mergeCells count="5">
    <mergeCell ref="AF18:AG18"/>
    <mergeCell ref="AF2:AH2"/>
    <mergeCell ref="Z2:AB2"/>
    <mergeCell ref="T2:W2"/>
    <mergeCell ref="N2:Q2"/>
  </mergeCells>
  <dataValidations count="1">
    <dataValidation type="list" allowBlank="1" showInputMessage="1" showErrorMessage="1" sqref="W4:W63">
      <formula1>$AJ$1:$AJ$2</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Strategy</vt:lpstr>
      <vt:lpstr>Production Form</vt:lpstr>
      <vt:lpstr>Decision Tool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Gwen</dc:creator>
  <cp:keywords/>
  <dc:description/>
  <cp:lastModifiedBy>Nick Morris (RIT Student)</cp:lastModifiedBy>
  <cp:revision/>
  <dcterms:created xsi:type="dcterms:W3CDTF">2015-12-01T16:17:35Z</dcterms:created>
  <dcterms:modified xsi:type="dcterms:W3CDTF">2015-12-10T21:06:52Z</dcterms:modified>
</cp:coreProperties>
</file>