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morris\Documents\JMA\Excel Tools\Measurement Templates\Business\"/>
    </mc:Choice>
  </mc:AlternateContent>
  <bookViews>
    <workbookView xWindow="0" yWindow="0" windowWidth="17280" windowHeight="7248"/>
  </bookViews>
  <sheets>
    <sheet name="Lean Measure Data" sheetId="1" r:id="rId1"/>
    <sheet name="Charts" sheetId="6" r:id="rId2"/>
    <sheet name="Notes" sheetId="2" r:id="rId3"/>
    <sheet name="DV-IDENTITY-0" sheetId="5" state="veryHidden" r:id="rId4"/>
  </sheets>
  <definedNames>
    <definedName name="_xlnm.Print_Area" localSheetId="1">Charts!$A$1:$AA$54</definedName>
    <definedName name="_xlnm.Print_Area" localSheetId="2">Notes!$B$1:$B$26</definedName>
    <definedName name="_xlnm.Print_Area">#REF!</definedName>
  </definedNames>
  <calcPr calcId="152511"/>
</workbook>
</file>

<file path=xl/calcChain.xml><?xml version="1.0" encoding="utf-8"?>
<calcChain xmlns="http://schemas.openxmlformats.org/spreadsheetml/2006/main">
  <c r="D34" i="1" l="1"/>
  <c r="E34" i="1"/>
  <c r="F34" i="1"/>
  <c r="G34" i="1"/>
  <c r="G2" i="5"/>
  <c r="H34" i="1"/>
  <c r="I34" i="1"/>
  <c r="J34" i="1"/>
  <c r="K34" i="1"/>
  <c r="L34" i="1"/>
  <c r="M34" i="1"/>
  <c r="N34" i="1"/>
  <c r="C34" i="1"/>
  <c r="A13" i="5"/>
  <c r="B13" i="5"/>
  <c r="C13" i="5"/>
  <c r="A12" i="5"/>
  <c r="B12" i="5"/>
  <c r="A11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A1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DZ1" i="5"/>
  <c r="EA1" i="5"/>
  <c r="EB1" i="5"/>
  <c r="EC1" i="5"/>
  <c r="ED1" i="5"/>
  <c r="EE1" i="5"/>
  <c r="EF1" i="5"/>
  <c r="EG1" i="5"/>
  <c r="EH1" i="5"/>
  <c r="EI1" i="5"/>
  <c r="EJ1" i="5"/>
  <c r="A2" i="5"/>
  <c r="B2" i="5"/>
  <c r="D2" i="5"/>
  <c r="F2" i="5"/>
  <c r="H2" i="5"/>
  <c r="J2" i="5"/>
  <c r="L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EX4" i="5"/>
  <c r="EY4" i="5"/>
  <c r="EZ4" i="5"/>
  <c r="FA4" i="5"/>
  <c r="FB4" i="5"/>
  <c r="FC4" i="5"/>
  <c r="FD4" i="5"/>
  <c r="FE4" i="5"/>
  <c r="FF4" i="5"/>
  <c r="FG4" i="5"/>
  <c r="FH4" i="5"/>
  <c r="FI4" i="5"/>
  <c r="FJ4" i="5"/>
  <c r="FK4" i="5"/>
  <c r="FL4" i="5"/>
  <c r="FM4" i="5"/>
  <c r="FN4" i="5"/>
  <c r="FO4" i="5"/>
  <c r="FP4" i="5"/>
  <c r="FQ4" i="5"/>
  <c r="FR4" i="5"/>
  <c r="FS4" i="5"/>
  <c r="FT4" i="5"/>
  <c r="FU4" i="5"/>
  <c r="FV4" i="5"/>
  <c r="FW4" i="5"/>
  <c r="FX4" i="5"/>
  <c r="FY4" i="5"/>
  <c r="FZ4" i="5"/>
  <c r="GA4" i="5"/>
  <c r="GB4" i="5"/>
  <c r="GC4" i="5"/>
  <c r="GD4" i="5"/>
  <c r="GE4" i="5"/>
  <c r="GF4" i="5"/>
  <c r="GG4" i="5"/>
  <c r="GH4" i="5"/>
  <c r="GI4" i="5"/>
  <c r="GJ4" i="5"/>
  <c r="GK4" i="5"/>
  <c r="GL4" i="5"/>
  <c r="GM4" i="5"/>
  <c r="GN4" i="5"/>
  <c r="GO4" i="5"/>
  <c r="GP4" i="5"/>
  <c r="GQ4" i="5"/>
  <c r="GR4" i="5"/>
  <c r="GS4" i="5"/>
  <c r="GT4" i="5"/>
  <c r="GU4" i="5"/>
  <c r="GV4" i="5"/>
  <c r="GW4" i="5"/>
  <c r="GX4" i="5"/>
  <c r="GY4" i="5"/>
  <c r="GZ4" i="5"/>
  <c r="HA4" i="5"/>
  <c r="HB4" i="5"/>
  <c r="HC4" i="5"/>
  <c r="HD4" i="5"/>
  <c r="HE4" i="5"/>
  <c r="HF4" i="5"/>
  <c r="HG4" i="5"/>
  <c r="HH4" i="5"/>
  <c r="HI4" i="5"/>
  <c r="HJ4" i="5"/>
  <c r="HK4" i="5"/>
  <c r="HL4" i="5"/>
  <c r="HM4" i="5"/>
  <c r="HN4" i="5"/>
  <c r="HO4" i="5"/>
  <c r="HP4" i="5"/>
  <c r="HQ4" i="5"/>
  <c r="HR4" i="5"/>
  <c r="HS4" i="5"/>
  <c r="HT4" i="5"/>
  <c r="HU4" i="5"/>
  <c r="HV4" i="5"/>
  <c r="HW4" i="5"/>
  <c r="HX4" i="5"/>
  <c r="HY4" i="5"/>
  <c r="HZ4" i="5"/>
  <c r="IA4" i="5"/>
  <c r="IB4" i="5"/>
  <c r="IC4" i="5"/>
  <c r="ID4" i="5"/>
  <c r="IE4" i="5"/>
  <c r="IF4" i="5"/>
  <c r="IG4" i="5"/>
  <c r="IH4" i="5"/>
  <c r="II4" i="5"/>
  <c r="IJ4" i="5"/>
  <c r="IK4" i="5"/>
  <c r="IL4" i="5"/>
  <c r="IM4" i="5"/>
  <c r="IN4" i="5"/>
  <c r="IO4" i="5"/>
  <c r="IP4" i="5"/>
  <c r="IQ4" i="5"/>
  <c r="IR4" i="5"/>
  <c r="IS4" i="5"/>
  <c r="IT4" i="5"/>
  <c r="IU4" i="5"/>
  <c r="IV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EX5" i="5"/>
  <c r="EY5" i="5"/>
  <c r="EZ5" i="5"/>
  <c r="FA5" i="5"/>
  <c r="FB5" i="5"/>
  <c r="FC5" i="5"/>
  <c r="FD5" i="5"/>
  <c r="FE5" i="5"/>
  <c r="FF5" i="5"/>
  <c r="FG5" i="5"/>
  <c r="FH5" i="5"/>
  <c r="FI5" i="5"/>
  <c r="FJ5" i="5"/>
  <c r="FK5" i="5"/>
  <c r="FL5" i="5"/>
  <c r="FM5" i="5"/>
  <c r="FN5" i="5"/>
  <c r="FO5" i="5"/>
  <c r="FP5" i="5"/>
  <c r="FQ5" i="5"/>
  <c r="FR5" i="5"/>
  <c r="FS5" i="5"/>
  <c r="FT5" i="5"/>
  <c r="FU5" i="5"/>
  <c r="FV5" i="5"/>
  <c r="FW5" i="5"/>
  <c r="FX5" i="5"/>
  <c r="FY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A7" i="5"/>
  <c r="B7" i="5"/>
  <c r="C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A9" i="5"/>
  <c r="B9" i="5"/>
  <c r="C9" i="5"/>
  <c r="C30" i="1"/>
  <c r="D30" i="1"/>
  <c r="E30" i="1"/>
  <c r="F30" i="1"/>
  <c r="G30" i="1"/>
  <c r="H30" i="1"/>
  <c r="I30" i="1"/>
  <c r="J30" i="1"/>
  <c r="K30" i="1"/>
  <c r="L30" i="1"/>
  <c r="M30" i="1"/>
  <c r="N30" i="1"/>
  <c r="C31" i="1"/>
  <c r="D31" i="1"/>
  <c r="E31" i="1"/>
  <c r="F31" i="1"/>
  <c r="G31" i="1"/>
  <c r="H31" i="1"/>
  <c r="I31" i="1"/>
  <c r="J31" i="1"/>
  <c r="K31" i="1"/>
  <c r="L31" i="1"/>
  <c r="M31" i="1"/>
  <c r="N31" i="1"/>
  <c r="C32" i="1"/>
  <c r="C2" i="5" s="1"/>
  <c r="D32" i="1"/>
  <c r="E32" i="1"/>
  <c r="F32" i="1"/>
  <c r="G32" i="1"/>
  <c r="H32" i="1"/>
  <c r="I32" i="1"/>
  <c r="J32" i="1"/>
  <c r="K32" i="1"/>
  <c r="L32" i="1"/>
  <c r="M32" i="1"/>
  <c r="N32" i="1"/>
  <c r="C33" i="1"/>
  <c r="D33" i="1"/>
  <c r="E33" i="1"/>
  <c r="F33" i="1"/>
  <c r="G33" i="1"/>
  <c r="H33" i="1"/>
  <c r="I33" i="1"/>
  <c r="J33" i="1"/>
  <c r="K33" i="1"/>
  <c r="L33" i="1"/>
  <c r="M33" i="1"/>
  <c r="N33" i="1"/>
  <c r="C35" i="1"/>
  <c r="D35" i="1"/>
  <c r="E35" i="1"/>
  <c r="F35" i="1"/>
  <c r="G35" i="1"/>
  <c r="H35" i="1"/>
  <c r="I35" i="1"/>
  <c r="I2" i="5" s="1"/>
  <c r="J35" i="1"/>
  <c r="K35" i="1"/>
  <c r="L35" i="1"/>
  <c r="M35" i="1"/>
  <c r="N35" i="1"/>
  <c r="C36" i="1"/>
  <c r="D36" i="1"/>
  <c r="E36" i="1"/>
  <c r="F36" i="1"/>
  <c r="G36" i="1"/>
  <c r="H36" i="1"/>
  <c r="I36" i="1"/>
  <c r="J36" i="1"/>
  <c r="K36" i="1"/>
  <c r="L36" i="1"/>
  <c r="M36" i="1"/>
  <c r="N36" i="1"/>
  <c r="K2" i="5"/>
  <c r="E2" i="5"/>
</calcChain>
</file>

<file path=xl/comments1.xml><?xml version="1.0" encoding="utf-8"?>
<comments xmlns="http://schemas.openxmlformats.org/spreadsheetml/2006/main">
  <authors>
    <author>Chris Coles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NRFT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NRFT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Delivery Schedule Achievement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Delivery Schedule Achievement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Delivery Schedule Achievement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People Productivity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People Productivity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Stock Turns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Stock Turns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Stock Turns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Stock Turns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OEE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OEE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OEE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Value Added Per Person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Value Added Per Person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Value Added Per Person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Floor Space Utilization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Floor Space Utilization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<sst xmlns="http://schemas.openxmlformats.org/spreadsheetml/2006/main" count="65" uniqueCount="65">
  <si>
    <t>Measure</t>
  </si>
  <si>
    <t>Sales turnover of product</t>
  </si>
  <si>
    <t>Equipment Performance (%)</t>
  </si>
  <si>
    <t>Process Output value</t>
  </si>
  <si>
    <t>Process Input value</t>
  </si>
  <si>
    <t>Number of employees</t>
  </si>
  <si>
    <t>Sales Turnover of area</t>
  </si>
  <si>
    <t>Square meters of area</t>
  </si>
  <si>
    <t>AAAAAF/35Yw=</t>
  </si>
  <si>
    <t>Delivery Schedule Achievement</t>
  </si>
  <si>
    <t>Stock Turns</t>
  </si>
  <si>
    <t>Overall Equipment Effectiveness (OEE)</t>
  </si>
  <si>
    <t>Value Added Per Person</t>
  </si>
  <si>
    <t>Number of good units produced</t>
  </si>
  <si>
    <t xml:space="preserve">Equipment Availability (%) </t>
  </si>
  <si>
    <t xml:space="preserve">O/P Quality (%) </t>
  </si>
  <si>
    <t>Prepared By:</t>
  </si>
  <si>
    <t xml:space="preserve">7 Measures of Performance in Lean Tool </t>
  </si>
  <si>
    <t>AAAAAG/dLT0=</t>
  </si>
  <si>
    <t>AAAAAG/dLT4=</t>
  </si>
  <si>
    <t>Department Name:</t>
  </si>
  <si>
    <t>Line/Cell:</t>
  </si>
  <si>
    <t>Company/Supplier Name:</t>
  </si>
  <si>
    <t>Output description:</t>
  </si>
  <si>
    <t>Last Updated:</t>
  </si>
  <si>
    <t>Enter your data here</t>
  </si>
  <si>
    <t>Results</t>
  </si>
  <si>
    <r>
      <t>Lean Dashboard</t>
    </r>
    <r>
      <rPr>
        <sz val="12"/>
        <color indexed="8"/>
        <rFont val="Calibri"/>
        <family val="2"/>
      </rPr>
      <t> </t>
    </r>
  </si>
  <si>
    <t>What is it?</t>
  </si>
  <si>
    <t>In the DTI publication - Quality Cost Delivery (QCD) seven measures are recommended:</t>
  </si>
  <si>
    <t>When to use it?</t>
  </si>
  <si>
    <t>Measures should be used to understand the performance of a business or department.</t>
  </si>
  <si>
    <t>This can be to benchmark against other operations for comparison.</t>
  </si>
  <si>
    <t>The measures will also demonstrate improvements achieved through the application of Business</t>
  </si>
  <si>
    <t>Improvement Techniques. Measuring the initial condition of an area before making improvements</t>
  </si>
  <si>
    <t>is vital.</t>
  </si>
  <si>
    <t>What does it achieve?</t>
  </si>
  <si>
    <t>Demonstrates the improvement in performance achieved.</t>
  </si>
  <si>
    <t>Key steps</t>
  </si>
  <si>
    <t>Understand the companies existing measures.</t>
  </si>
  <si>
    <t>Select appropriate measures for your project.</t>
  </si>
  <si>
    <t>Check the sources of data for the measure.</t>
  </si>
  <si>
    <t>Check the frequency of collection of data.</t>
  </si>
  <si>
    <t>Plot the progress of your measure and display graphically as part of your Visual Management</t>
  </si>
  <si>
    <t>Sources of Information</t>
  </si>
  <si>
    <t>DTI web site</t>
  </si>
  <si>
    <t>1) Not Right First Time (number of defects per million)</t>
  </si>
  <si>
    <t>2) Delivery Schedule Achievement</t>
  </si>
  <si>
    <t>3) People Productivity (units per operator hour)</t>
  </si>
  <si>
    <t>4) Stock Turns</t>
  </si>
  <si>
    <t>5) Overall Equipment Effectiveness (OEE)</t>
  </si>
  <si>
    <t>6) Value Added Per Person</t>
  </si>
  <si>
    <t>Total number of units supplied</t>
  </si>
  <si>
    <t>Number of defective units produced</t>
  </si>
  <si>
    <t>Number of planned deliveries</t>
  </si>
  <si>
    <t>Number deliveries not on time</t>
  </si>
  <si>
    <t>Number of incorrect deliveries</t>
  </si>
  <si>
    <t>Direct operator hours used</t>
  </si>
  <si>
    <t>Value of finished goods stock now</t>
  </si>
  <si>
    <t>Floor Space Utilization</t>
  </si>
  <si>
    <t>7) Floor Space Utilization (turnover per floor area)</t>
  </si>
  <si>
    <t>Not Right First Time (PPM)</t>
  </si>
  <si>
    <t xml:space="preserve">People Productivity (Units per hour) </t>
  </si>
  <si>
    <t xml:space="preserve">Value of raw material </t>
  </si>
  <si>
    <t>Value of Work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</si>
</sst>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#,##0.00"/>
    <numFmt numFmtId="165" formatCode="m/d/yyyy;@"/>
    <numFmt numFmtId="166" formatCode="[$$-409]#,##0"/>
  </numFmts>
  <fonts count="12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0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3366"/>
        <bgColor indexed="64"/>
      </patternFill>
    </fill>
  </fills>
  <borders count="28">
    <border>
      <left/>
      <right/>
      <top/>
      <bottom/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/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 style="thin">
        <color theme="1" tint="0.34998626667073579"/>
      </right>
      <top style="thin">
        <color indexed="64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indexed="64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/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medium">
        <color theme="1" tint="0.34998626667073579"/>
      </right>
      <top style="thin">
        <color indexed="64"/>
      </top>
      <bottom/>
      <diagonal/>
    </border>
    <border>
      <left/>
      <right/>
      <top style="medium">
        <color theme="1" tint="0.34998626667073579"/>
      </top>
      <bottom style="thin">
        <color theme="1" tint="0.34998626667073579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/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4" fillId="0" borderId="0"/>
  </cellStyleXfs>
  <cellXfs count="71">
    <xf numFmtId="0" fontId="0" fillId="0" borderId="0" xfId="0"/>
    <xf numFmtId="0" fontId="7" fillId="0" borderId="0" xfId="0" applyFont="1" applyAlignment="1">
      <alignment horizontal="center" vertical="center" wrapText="1"/>
    </xf>
    <xf numFmtId="0" fontId="5" fillId="0" borderId="0" xfId="1"/>
    <xf numFmtId="0" fontId="4" fillId="0" borderId="0" xfId="2"/>
    <xf numFmtId="0" fontId="0" fillId="0" borderId="0" xfId="0" applyFont="1"/>
    <xf numFmtId="0" fontId="7" fillId="0" borderId="0" xfId="0" applyFont="1" applyAlignment="1">
      <alignment horizontal="center" wrapText="1"/>
    </xf>
    <xf numFmtId="0" fontId="0" fillId="0" borderId="0" xfId="0" applyFont="1" applyAlignment="1"/>
    <xf numFmtId="0" fontId="7" fillId="0" borderId="1" xfId="0" applyFont="1" applyFill="1" applyBorder="1" applyAlignment="1">
      <alignment horizontal="right" vertical="center" wrapText="1"/>
    </xf>
    <xf numFmtId="0" fontId="7" fillId="0" borderId="2" xfId="0" applyFont="1" applyBorder="1" applyAlignment="1">
      <alignment horizontal="right" vertical="center"/>
    </xf>
    <xf numFmtId="0" fontId="0" fillId="0" borderId="0" xfId="0" applyFont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10" fontId="0" fillId="3" borderId="3" xfId="0" applyNumberFormat="1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0" fontId="0" fillId="4" borderId="4" xfId="0" applyFont="1" applyFill="1" applyBorder="1" applyAlignment="1"/>
    <xf numFmtId="0" fontId="0" fillId="5" borderId="3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10" fontId="0" fillId="5" borderId="3" xfId="0" applyNumberFormat="1" applyFont="1" applyFill="1" applyBorder="1" applyAlignment="1">
      <alignment horizontal="center"/>
    </xf>
    <xf numFmtId="10" fontId="0" fillId="5" borderId="5" xfId="0" applyNumberFormat="1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0" xfId="0" applyAlignment="1">
      <alignment wrapText="1"/>
    </xf>
    <xf numFmtId="0" fontId="8" fillId="0" borderId="0" xfId="0" applyFont="1"/>
    <xf numFmtId="0" fontId="0" fillId="0" borderId="8" xfId="0" applyFont="1" applyBorder="1" applyAlignment="1">
      <alignment horizontal="right"/>
    </xf>
    <xf numFmtId="10" fontId="0" fillId="5" borderId="9" xfId="0" applyNumberFormat="1" applyFont="1" applyFill="1" applyBorder="1" applyAlignment="1">
      <alignment horizontal="center"/>
    </xf>
    <xf numFmtId="10" fontId="0" fillId="5" borderId="10" xfId="0" applyNumberFormat="1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0" borderId="11" xfId="0" applyFont="1" applyBorder="1" applyAlignment="1">
      <alignment horizontal="right"/>
    </xf>
    <xf numFmtId="0" fontId="0" fillId="4" borderId="12" xfId="0" applyFont="1" applyFill="1" applyBorder="1" applyAlignment="1">
      <alignment horizontal="center"/>
    </xf>
    <xf numFmtId="1" fontId="0" fillId="5" borderId="9" xfId="0" applyNumberFormat="1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17" fontId="6" fillId="0" borderId="14" xfId="0" applyNumberFormat="1" applyFont="1" applyBorder="1" applyAlignment="1">
      <alignment horizontal="center" vertical="center"/>
    </xf>
    <xf numFmtId="17" fontId="6" fillId="0" borderId="15" xfId="0" applyNumberFormat="1" applyFont="1" applyBorder="1" applyAlignment="1">
      <alignment horizontal="center" vertical="center"/>
    </xf>
    <xf numFmtId="0" fontId="0" fillId="5" borderId="16" xfId="0" applyFont="1" applyFill="1" applyBorder="1" applyAlignment="1">
      <alignment horizontal="center"/>
    </xf>
    <xf numFmtId="0" fontId="0" fillId="5" borderId="17" xfId="0" applyFont="1" applyFill="1" applyBorder="1" applyAlignment="1">
      <alignment horizontal="center"/>
    </xf>
    <xf numFmtId="0" fontId="0" fillId="0" borderId="18" xfId="0" applyFont="1" applyBorder="1" applyAlignment="1">
      <alignment horizontal="right"/>
    </xf>
    <xf numFmtId="0" fontId="0" fillId="5" borderId="19" xfId="0" applyFont="1" applyFill="1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10" fontId="0" fillId="5" borderId="6" xfId="0" applyNumberFormat="1" applyFont="1" applyFill="1" applyBorder="1" applyAlignment="1">
      <alignment horizontal="center"/>
    </xf>
    <xf numFmtId="10" fontId="0" fillId="5" borderId="7" xfId="0" applyNumberFormat="1" applyFont="1" applyFill="1" applyBorder="1" applyAlignment="1">
      <alignment horizontal="center"/>
    </xf>
    <xf numFmtId="0" fontId="0" fillId="0" borderId="21" xfId="0" applyFont="1" applyBorder="1" applyAlignment="1">
      <alignment horizontal="right"/>
    </xf>
    <xf numFmtId="0" fontId="0" fillId="5" borderId="22" xfId="0" applyFont="1" applyFill="1" applyBorder="1" applyAlignment="1">
      <alignment horizontal="center"/>
    </xf>
    <xf numFmtId="0" fontId="0" fillId="5" borderId="23" xfId="0" applyFont="1" applyFill="1" applyBorder="1" applyAlignment="1">
      <alignment horizontal="center"/>
    </xf>
    <xf numFmtId="166" fontId="0" fillId="5" borderId="9" xfId="0" applyNumberFormat="1" applyFont="1" applyFill="1" applyBorder="1" applyAlignment="1">
      <alignment horizontal="center"/>
    </xf>
    <xf numFmtId="166" fontId="0" fillId="5" borderId="10" xfId="0" applyNumberFormat="1" applyFont="1" applyFill="1" applyBorder="1" applyAlignment="1">
      <alignment horizontal="center"/>
    </xf>
    <xf numFmtId="166" fontId="0" fillId="5" borderId="16" xfId="0" applyNumberFormat="1" applyFont="1" applyFill="1" applyBorder="1" applyAlignment="1">
      <alignment horizontal="center"/>
    </xf>
    <xf numFmtId="166" fontId="0" fillId="5" borderId="17" xfId="0" applyNumberFormat="1" applyFont="1" applyFill="1" applyBorder="1" applyAlignment="1">
      <alignment horizontal="center"/>
    </xf>
    <xf numFmtId="166" fontId="0" fillId="5" borderId="19" xfId="0" applyNumberFormat="1" applyFont="1" applyFill="1" applyBorder="1" applyAlignment="1">
      <alignment horizontal="center"/>
    </xf>
    <xf numFmtId="166" fontId="0" fillId="5" borderId="20" xfId="0" applyNumberFormat="1" applyFont="1" applyFill="1" applyBorder="1" applyAlignment="1">
      <alignment horizontal="center"/>
    </xf>
    <xf numFmtId="166" fontId="0" fillId="3" borderId="3" xfId="0" applyNumberFormat="1" applyFont="1" applyFill="1" applyBorder="1" applyAlignment="1">
      <alignment horizontal="center"/>
    </xf>
    <xf numFmtId="166" fontId="0" fillId="3" borderId="6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7" fillId="5" borderId="3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164" fontId="7" fillId="2" borderId="6" xfId="0" applyNumberFormat="1" applyFont="1" applyFill="1" applyBorder="1" applyAlignment="1">
      <alignment horizontal="right" vertical="center" wrapText="1"/>
    </xf>
    <xf numFmtId="0" fontId="7" fillId="5" borderId="6" xfId="0" applyNumberFormat="1" applyFont="1" applyFill="1" applyBorder="1" applyAlignment="1">
      <alignment horizontal="center" vertical="center"/>
    </xf>
    <xf numFmtId="164" fontId="7" fillId="2" borderId="3" xfId="0" applyNumberFormat="1" applyFont="1" applyFill="1" applyBorder="1" applyAlignment="1">
      <alignment horizontal="right" vertical="center" wrapText="1"/>
    </xf>
    <xf numFmtId="165" fontId="7" fillId="5" borderId="3" xfId="0" applyNumberFormat="1" applyFont="1" applyFill="1" applyBorder="1" applyAlignment="1">
      <alignment horizontal="center" vertical="center"/>
    </xf>
    <xf numFmtId="165" fontId="7" fillId="5" borderId="5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 wrapText="1"/>
    </xf>
    <xf numFmtId="0" fontId="10" fillId="0" borderId="0" xfId="1" applyFont="1" applyBorder="1" applyAlignment="1">
      <alignment horizontal="center" vertical="center" wrapText="1"/>
    </xf>
    <xf numFmtId="0" fontId="0" fillId="0" borderId="3" xfId="0" applyFont="1" applyBorder="1" applyAlignment="1">
      <alignment horizontal="right" vertical="center"/>
    </xf>
    <xf numFmtId="0" fontId="11" fillId="6" borderId="4" xfId="0" applyFont="1" applyFill="1" applyBorder="1" applyAlignment="1">
      <alignment horizontal="center" vertical="center" wrapText="1"/>
    </xf>
    <xf numFmtId="0" fontId="11" fillId="6" borderId="24" xfId="0" applyFont="1" applyFill="1" applyBorder="1" applyAlignment="1">
      <alignment horizontal="center" vertical="center" wrapText="1"/>
    </xf>
    <xf numFmtId="0" fontId="11" fillId="6" borderId="25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Not Right First Time (NRFT) PPM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'Lean Measure Data'!$B$30</c:f>
              <c:strCache>
                <c:ptCount val="1"/>
                <c:pt idx="0">
                  <c:v>Not Right First Time (PPM)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'Lean Measure Data'!$C$8:$N$8</c:f>
              <c:numCache>
                <c:formatCode>mmm\-yy</c:formatCode>
                <c:ptCount val="1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</c:numCache>
            </c:numRef>
          </c:cat>
          <c:val>
            <c:numRef>
              <c:f>'Lean Measure Data'!$C$30:$N$30</c:f>
              <c:numCache>
                <c:formatCode>0</c:formatCode>
                <c:ptCount val="12"/>
                <c:pt idx="0">
                  <c:v>17361.111111111109</c:v>
                </c:pt>
                <c:pt idx="1">
                  <c:v>20604.395604395606</c:v>
                </c:pt>
                <c:pt idx="2">
                  <c:v>8108.8908195771792</c:v>
                </c:pt>
                <c:pt idx="3">
                  <c:v>2896.8713789107765</c:v>
                </c:pt>
                <c:pt idx="4">
                  <c:v>1466.2756598240469</c:v>
                </c:pt>
                <c:pt idx="5">
                  <c:v>366.56891495601172</c:v>
                </c:pt>
                <c:pt idx="6">
                  <c:v>407.16612377850163</c:v>
                </c:pt>
                <c:pt idx="7">
                  <c:v>868.05555555555554</c:v>
                </c:pt>
                <c:pt idx="8">
                  <c:v>909.09090909090912</c:v>
                </c:pt>
                <c:pt idx="9">
                  <c:v>275.17886626307097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31880"/>
        <c:axId val="171132272"/>
      </c:lineChart>
      <c:dateAx>
        <c:axId val="171131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crossAx val="171132272"/>
        <c:crosses val="autoZero"/>
        <c:auto val="1"/>
        <c:lblOffset val="100"/>
        <c:baseTimeUnit val="months"/>
      </c:dateAx>
      <c:valAx>
        <c:axId val="1711322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Parts Per Million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7113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Delivery Schedule Achievement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'Lean Measure Data'!$B$31</c:f>
              <c:strCache>
                <c:ptCount val="1"/>
                <c:pt idx="0">
                  <c:v>Delivery Schedule Achievement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'Lean Measure Data'!$C$8:$N$8</c:f>
              <c:numCache>
                <c:formatCode>mmm\-yy</c:formatCode>
                <c:ptCount val="1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</c:numCache>
            </c:numRef>
          </c:cat>
          <c:val>
            <c:numRef>
              <c:f>'Lean Measure Data'!$C$31:$N$31</c:f>
              <c:numCache>
                <c:formatCode>0.00%</c:formatCode>
                <c:ptCount val="12"/>
                <c:pt idx="0">
                  <c:v>0.98379629629629628</c:v>
                </c:pt>
                <c:pt idx="1">
                  <c:v>0.98842592592592593</c:v>
                </c:pt>
                <c:pt idx="2">
                  <c:v>0.98842592592592593</c:v>
                </c:pt>
                <c:pt idx="3">
                  <c:v>0.99189814814814814</c:v>
                </c:pt>
                <c:pt idx="4">
                  <c:v>0.98842592592592593</c:v>
                </c:pt>
                <c:pt idx="5">
                  <c:v>0.99681712962962965</c:v>
                </c:pt>
                <c:pt idx="6">
                  <c:v>0.99565972222222221</c:v>
                </c:pt>
                <c:pt idx="7">
                  <c:v>0.9985532407407407</c:v>
                </c:pt>
                <c:pt idx="8">
                  <c:v>0.99942129629629628</c:v>
                </c:pt>
                <c:pt idx="9">
                  <c:v>0.99942129629629628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488192"/>
        <c:axId val="334488584"/>
      </c:lineChart>
      <c:dateAx>
        <c:axId val="334488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crossAx val="334488584"/>
        <c:crosses val="autoZero"/>
        <c:auto val="1"/>
        <c:lblOffset val="100"/>
        <c:baseTimeUnit val="months"/>
      </c:dateAx>
      <c:valAx>
        <c:axId val="334488584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334488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People Productivity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'Lean Measure Data'!$B$32</c:f>
              <c:strCache>
                <c:ptCount val="1"/>
                <c:pt idx="0">
                  <c:v>People Productivity (Units per hour) 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'Lean Measure Data'!$C$8:$N$8</c:f>
              <c:numCache>
                <c:formatCode>mmm\-yy</c:formatCode>
                <c:ptCount val="1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</c:numCache>
            </c:numRef>
          </c:cat>
          <c:val>
            <c:numRef>
              <c:f>'Lean Measure Data'!$C$32:$N$32</c:f>
              <c:numCache>
                <c:formatCode>0.00</c:formatCode>
                <c:ptCount val="12"/>
                <c:pt idx="0">
                  <c:v>1.4724946695095948</c:v>
                </c:pt>
                <c:pt idx="1">
                  <c:v>1.4538595473012188</c:v>
                </c:pt>
                <c:pt idx="2">
                  <c:v>1.4538595473012188</c:v>
                </c:pt>
                <c:pt idx="3">
                  <c:v>1.4538595473012188</c:v>
                </c:pt>
                <c:pt idx="4">
                  <c:v>1.2768427161926872</c:v>
                </c:pt>
                <c:pt idx="5">
                  <c:v>1.4538595473012188</c:v>
                </c:pt>
                <c:pt idx="6">
                  <c:v>1.4538595473012188</c:v>
                </c:pt>
                <c:pt idx="7">
                  <c:v>1.473529411764706</c:v>
                </c:pt>
                <c:pt idx="8">
                  <c:v>1.4538595473012188</c:v>
                </c:pt>
                <c:pt idx="9">
                  <c:v>1.4538595473012188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489368"/>
        <c:axId val="334489760"/>
      </c:lineChart>
      <c:dateAx>
        <c:axId val="334489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crossAx val="334489760"/>
        <c:crosses val="autoZero"/>
        <c:auto val="1"/>
        <c:lblOffset val="100"/>
        <c:baseTimeUnit val="months"/>
      </c:dateAx>
      <c:valAx>
        <c:axId val="3344897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Units per hour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3448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Stock Turns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'Lean Measure Data'!$B$33</c:f>
              <c:strCache>
                <c:ptCount val="1"/>
                <c:pt idx="0">
                  <c:v>Stock Turns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'Lean Measure Data'!$C$8:$N$8</c:f>
              <c:numCache>
                <c:formatCode>mmm\-yy</c:formatCode>
                <c:ptCount val="1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</c:numCache>
            </c:numRef>
          </c:cat>
          <c:val>
            <c:numRef>
              <c:f>'Lean Measure Data'!$C$33:$N$33</c:f>
              <c:numCache>
                <c:formatCode>0.00</c:formatCode>
                <c:ptCount val="12"/>
                <c:pt idx="0">
                  <c:v>2.1476990087233947</c:v>
                </c:pt>
                <c:pt idx="1">
                  <c:v>2.1565976353683625</c:v>
                </c:pt>
                <c:pt idx="2">
                  <c:v>2.148052024252693</c:v>
                </c:pt>
                <c:pt idx="3">
                  <c:v>2.1485623324262071</c:v>
                </c:pt>
                <c:pt idx="4">
                  <c:v>2.1494263504791471</c:v>
                </c:pt>
                <c:pt idx="5">
                  <c:v>2.1391037775492152</c:v>
                </c:pt>
                <c:pt idx="6">
                  <c:v>2.1476990087233947</c:v>
                </c:pt>
                <c:pt idx="7">
                  <c:v>2.1476990087233947</c:v>
                </c:pt>
                <c:pt idx="8">
                  <c:v>2.1476990087233947</c:v>
                </c:pt>
                <c:pt idx="9">
                  <c:v>2.1468363785340463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490544"/>
        <c:axId val="334490936"/>
      </c:lineChart>
      <c:dateAx>
        <c:axId val="334490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crossAx val="334490936"/>
        <c:crosses val="autoZero"/>
        <c:auto val="1"/>
        <c:lblOffset val="100"/>
        <c:baseTimeUnit val="months"/>
      </c:dateAx>
      <c:valAx>
        <c:axId val="33449093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334490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Overall Equipment Effectiveness (OEE)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'Lean Measure Data'!$B$34</c:f>
              <c:strCache>
                <c:ptCount val="1"/>
                <c:pt idx="0">
                  <c:v>Overall Equipment Effectiveness (OEE)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'Lean Measure Data'!$C$8:$N$8</c:f>
              <c:numCache>
                <c:formatCode>mmm\-yy</c:formatCode>
                <c:ptCount val="1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</c:numCache>
            </c:numRef>
          </c:cat>
          <c:val>
            <c:numRef>
              <c:f>'Lean Measure Data'!$C$34:$N$34</c:f>
              <c:numCache>
                <c:formatCode>0.00%</c:formatCode>
                <c:ptCount val="12"/>
                <c:pt idx="0">
                  <c:v>0.9653489999999999</c:v>
                </c:pt>
                <c:pt idx="1">
                  <c:v>0.9653489999999999</c:v>
                </c:pt>
                <c:pt idx="2">
                  <c:v>0.9653489999999999</c:v>
                </c:pt>
                <c:pt idx="3">
                  <c:v>0.9653489999999999</c:v>
                </c:pt>
                <c:pt idx="4">
                  <c:v>0.81470600000000004</c:v>
                </c:pt>
                <c:pt idx="5">
                  <c:v>0.9653489999999999</c:v>
                </c:pt>
                <c:pt idx="6">
                  <c:v>0.9653489999999999</c:v>
                </c:pt>
                <c:pt idx="7">
                  <c:v>0.9653489999999999</c:v>
                </c:pt>
                <c:pt idx="8">
                  <c:v>0.9653489999999999</c:v>
                </c:pt>
                <c:pt idx="9">
                  <c:v>0.9653489999999999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557984"/>
        <c:axId val="673558376"/>
      </c:lineChart>
      <c:dateAx>
        <c:axId val="673557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crossAx val="673558376"/>
        <c:crosses val="autoZero"/>
        <c:auto val="1"/>
        <c:lblOffset val="100"/>
        <c:baseTimeUnit val="months"/>
      </c:dateAx>
      <c:valAx>
        <c:axId val="6735583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OEE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673557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Value Added Per Person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'Lean Measure Data'!$B$35</c:f>
              <c:strCache>
                <c:ptCount val="1"/>
                <c:pt idx="0">
                  <c:v>Value Added Per Person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'Lean Measure Data'!$C$8:$N$8</c:f>
              <c:numCache>
                <c:formatCode>mmm\-yy</c:formatCode>
                <c:ptCount val="1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</c:numCache>
            </c:numRef>
          </c:cat>
          <c:val>
            <c:numRef>
              <c:f>'Lean Measure Data'!$C$35:$N$35</c:f>
              <c:numCache>
                <c:formatCode>[$$-409]#,##0</c:formatCode>
                <c:ptCount val="12"/>
                <c:pt idx="0">
                  <c:v>166691.66666666666</c:v>
                </c:pt>
                <c:pt idx="1">
                  <c:v>181845.45454545456</c:v>
                </c:pt>
                <c:pt idx="2">
                  <c:v>181845.45454545456</c:v>
                </c:pt>
                <c:pt idx="3">
                  <c:v>181845.45454545456</c:v>
                </c:pt>
                <c:pt idx="4">
                  <c:v>200030</c:v>
                </c:pt>
                <c:pt idx="5">
                  <c:v>181845.45454545456</c:v>
                </c:pt>
                <c:pt idx="6">
                  <c:v>181845.45454545456</c:v>
                </c:pt>
                <c:pt idx="7">
                  <c:v>181845.45454545456</c:v>
                </c:pt>
                <c:pt idx="8">
                  <c:v>181845.45454545456</c:v>
                </c:pt>
                <c:pt idx="9">
                  <c:v>181845.45454545456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559160"/>
        <c:axId val="673559552"/>
      </c:lineChart>
      <c:dateAx>
        <c:axId val="673559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crossAx val="673559552"/>
        <c:crosses val="autoZero"/>
        <c:auto val="1"/>
        <c:lblOffset val="100"/>
        <c:baseTimeUnit val="months"/>
      </c:dateAx>
      <c:valAx>
        <c:axId val="673559552"/>
        <c:scaling>
          <c:orientation val="minMax"/>
        </c:scaling>
        <c:delete val="0"/>
        <c:axPos val="l"/>
        <c:numFmt formatCode="[$$-409]#,##0" sourceLinked="1"/>
        <c:majorTickMark val="out"/>
        <c:minorTickMark val="none"/>
        <c:tickLblPos val="nextTo"/>
        <c:crossAx val="673559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Floor Space Utilization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'Lean Measure Data'!$B$36</c:f>
              <c:strCache>
                <c:ptCount val="1"/>
                <c:pt idx="0">
                  <c:v>Floor Space Utilization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'Lean Measure Data'!$C$8:$N$8</c:f>
              <c:numCache>
                <c:formatCode>mmm\-yy</c:formatCode>
                <c:ptCount val="1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</c:numCache>
            </c:numRef>
          </c:cat>
          <c:val>
            <c:numRef>
              <c:f>'Lean Measure Data'!$C$36:$N$36</c:f>
              <c:numCache>
                <c:formatCode>[$$-409]#,##0</c:formatCode>
                <c:ptCount val="12"/>
                <c:pt idx="0">
                  <c:v>516.67472208796516</c:v>
                </c:pt>
                <c:pt idx="1">
                  <c:v>516.67472208796516</c:v>
                </c:pt>
                <c:pt idx="2">
                  <c:v>516.67472208796516</c:v>
                </c:pt>
                <c:pt idx="3">
                  <c:v>516.67472208796516</c:v>
                </c:pt>
                <c:pt idx="4">
                  <c:v>516.67472208796516</c:v>
                </c:pt>
                <c:pt idx="5">
                  <c:v>620.17584059775845</c:v>
                </c:pt>
                <c:pt idx="6">
                  <c:v>620.17584059775845</c:v>
                </c:pt>
                <c:pt idx="7">
                  <c:v>620.17584059775845</c:v>
                </c:pt>
                <c:pt idx="8">
                  <c:v>620.17584059775845</c:v>
                </c:pt>
                <c:pt idx="9">
                  <c:v>620.17584059775845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560336"/>
        <c:axId val="673560728"/>
      </c:lineChart>
      <c:dateAx>
        <c:axId val="673560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crossAx val="673560728"/>
        <c:crosses val="autoZero"/>
        <c:auto val="1"/>
        <c:lblOffset val="100"/>
        <c:baseTimeUnit val="months"/>
      </c:dateAx>
      <c:valAx>
        <c:axId val="673560728"/>
        <c:scaling>
          <c:orientation val="minMax"/>
        </c:scaling>
        <c:delete val="0"/>
        <c:axPos val="l"/>
        <c:numFmt formatCode="[$$-409]#,##0" sourceLinked="1"/>
        <c:majorTickMark val="out"/>
        <c:minorTickMark val="none"/>
        <c:tickLblPos val="nextTo"/>
        <c:crossAx val="673560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Charts!A1"/><Relationship Id="rId1" Type="http://schemas.openxmlformats.org/officeDocument/2006/relationships/hyperlink" Target="http://tools.adaptivebms.com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tools.adaptivebms.com/" TargetMode="Externa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hyperlink" Target="#'Lean Measure Data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0</xdr:colOff>
      <xdr:row>37</xdr:row>
      <xdr:rowOff>0</xdr:rowOff>
    </xdr:from>
    <xdr:to>
      <xdr:col>9</xdr:col>
      <xdr:colOff>190500</xdr:colOff>
      <xdr:row>40</xdr:row>
      <xdr:rowOff>76200</xdr:rowOff>
    </xdr:to>
    <xdr:grpSp>
      <xdr:nvGrpSpPr>
        <xdr:cNvPr id="1233" name="Group 21"/>
        <xdr:cNvGrpSpPr>
          <a:grpSpLocks noChangeAspect="1"/>
        </xdr:cNvGrpSpPr>
      </xdr:nvGrpSpPr>
      <xdr:grpSpPr bwMode="auto">
        <a:xfrm>
          <a:off x="5334000" y="7452360"/>
          <a:ext cx="3665220" cy="624840"/>
          <a:chOff x="342900" y="5362575"/>
          <a:chExt cx="3513834" cy="674476"/>
        </a:xfrm>
      </xdr:grpSpPr>
      <xdr:grpSp>
        <xdr:nvGrpSpPr>
          <xdr:cNvPr id="1235" name="Group 22"/>
          <xdr:cNvGrpSpPr>
            <a:grpSpLocks/>
          </xdr:cNvGrpSpPr>
        </xdr:nvGrpSpPr>
        <xdr:grpSpPr bwMode="auto">
          <a:xfrm>
            <a:off x="1102257" y="5362575"/>
            <a:ext cx="2318227" cy="362771"/>
            <a:chOff x="549807" y="5295900"/>
            <a:chExt cx="2318227" cy="362771"/>
          </a:xfrm>
        </xdr:grpSpPr>
        <xdr:sp macro="" textlink="">
          <xdr:nvSpPr>
            <xdr:cNvPr id="40" name="Rounded Rectangle 39">
              <a:hlinkClick xmlns:r="http://schemas.openxmlformats.org/officeDocument/2006/relationships" r:id="rId1"/>
            </xdr:cNvPr>
            <xdr:cNvSpPr/>
          </xdr:nvSpPr>
          <xdr:spPr>
            <a:xfrm>
              <a:off x="550198" y="5295900"/>
              <a:ext cx="1073874" cy="361914"/>
            </a:xfrm>
            <a:prstGeom prst="roundRect">
              <a:avLst>
                <a:gd name="adj" fmla="val 8729"/>
              </a:avLst>
            </a:prstGeom>
            <a:solidFill>
              <a:srgbClr val="4186F4"/>
            </a:solidFill>
            <a:ln w="9525">
              <a:solidFill>
                <a:srgbClr val="2F5B53"/>
              </a:solidFill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0">
                  <a:solidFill>
                    <a:schemeClr val="bg1"/>
                  </a:solidFill>
                </a:rPr>
                <a:t>Updates</a:t>
              </a:r>
            </a:p>
          </xdr:txBody>
        </xdr:sp>
        <xdr:sp macro="" textlink="">
          <xdr:nvSpPr>
            <xdr:cNvPr id="42" name="Rounded Rectangle 41">
              <a:hlinkClick xmlns:r="http://schemas.openxmlformats.org/officeDocument/2006/relationships" r:id="rId1"/>
            </xdr:cNvPr>
            <xdr:cNvSpPr/>
          </xdr:nvSpPr>
          <xdr:spPr>
            <a:xfrm>
              <a:off x="1777483" y="5295900"/>
              <a:ext cx="1088485" cy="361914"/>
            </a:xfrm>
            <a:prstGeom prst="roundRect">
              <a:avLst>
                <a:gd name="adj" fmla="val 7939"/>
              </a:avLst>
            </a:prstGeom>
            <a:solidFill>
              <a:srgbClr val="4186F4"/>
            </a:solidFill>
            <a:ln w="9525">
              <a:solidFill>
                <a:srgbClr val="2F5B53"/>
              </a:solidFill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0">
                  <a:solidFill>
                    <a:schemeClr val="bg1"/>
                  </a:solidFill>
                </a:rPr>
                <a:t>More</a:t>
              </a:r>
            </a:p>
          </xdr:txBody>
        </xdr:sp>
      </xdr:grpSp>
      <xdr:sp macro="" textlink="">
        <xdr:nvSpPr>
          <xdr:cNvPr id="39" name="TextBox 38"/>
          <xdr:cNvSpPr txBox="1"/>
        </xdr:nvSpPr>
        <xdr:spPr>
          <a:xfrm>
            <a:off x="342900" y="5790291"/>
            <a:ext cx="3513834" cy="2467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 b="1"/>
              <a:t>Please</a:t>
            </a:r>
            <a:r>
              <a:rPr lang="en-US" sz="1200" b="1" baseline="0"/>
              <a:t> visit our advertisers to help keep these tools free</a:t>
            </a:r>
            <a:endParaRPr lang="en-US" sz="1200" b="1"/>
          </a:p>
        </xdr:txBody>
      </xdr:sp>
    </xdr:grpSp>
    <xdr:clientData/>
  </xdr:twoCellAnchor>
  <xdr:twoCellAnchor>
    <xdr:from>
      <xdr:col>12</xdr:col>
      <xdr:colOff>104775</xdr:colOff>
      <xdr:row>0</xdr:row>
      <xdr:rowOff>161925</xdr:rowOff>
    </xdr:from>
    <xdr:to>
      <xdr:col>13</xdr:col>
      <xdr:colOff>552394</xdr:colOff>
      <xdr:row>1</xdr:row>
      <xdr:rowOff>314325</xdr:rowOff>
    </xdr:to>
    <xdr:sp macro="" textlink="">
      <xdr:nvSpPr>
        <xdr:cNvPr id="44" name="Rounded Rectangle 43">
          <a:hlinkClick xmlns:r="http://schemas.openxmlformats.org/officeDocument/2006/relationships" r:id="rId2"/>
        </xdr:cNvPr>
        <xdr:cNvSpPr/>
      </xdr:nvSpPr>
      <xdr:spPr>
        <a:xfrm>
          <a:off x="11239500" y="161925"/>
          <a:ext cx="1070475" cy="485775"/>
        </a:xfrm>
        <a:prstGeom prst="roundRect">
          <a:avLst>
            <a:gd name="adj" fmla="val 8729"/>
          </a:avLst>
        </a:prstGeom>
        <a:solidFill>
          <a:srgbClr val="D14130"/>
        </a:solidFill>
        <a:ln w="9525">
          <a:solidFill>
            <a:srgbClr val="FF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GB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Click here to see Charts</a:t>
          </a:r>
          <a:endParaRPr lang="en-GB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0</xdr:row>
      <xdr:rowOff>182880</xdr:rowOff>
    </xdr:from>
    <xdr:to>
      <xdr:col>8</xdr:col>
      <xdr:colOff>594360</xdr:colOff>
      <xdr:row>17</xdr:row>
      <xdr:rowOff>137160</xdr:rowOff>
    </xdr:to>
    <xdr:graphicFrame macro="">
      <xdr:nvGraphicFramePr>
        <xdr:cNvPr id="55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571500</xdr:colOff>
      <xdr:row>17</xdr:row>
      <xdr:rowOff>137160</xdr:rowOff>
    </xdr:to>
    <xdr:graphicFrame macro="">
      <xdr:nvGraphicFramePr>
        <xdr:cNvPr id="55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26</xdr:col>
      <xdr:colOff>571500</xdr:colOff>
      <xdr:row>17</xdr:row>
      <xdr:rowOff>137160</xdr:rowOff>
    </xdr:to>
    <xdr:graphicFrame macro="">
      <xdr:nvGraphicFramePr>
        <xdr:cNvPr id="55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571500</xdr:colOff>
      <xdr:row>35</xdr:row>
      <xdr:rowOff>137160</xdr:rowOff>
    </xdr:to>
    <xdr:graphicFrame macro="">
      <xdr:nvGraphicFramePr>
        <xdr:cNvPr id="55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571500</xdr:colOff>
      <xdr:row>35</xdr:row>
      <xdr:rowOff>137160</xdr:rowOff>
    </xdr:to>
    <xdr:graphicFrame macro="">
      <xdr:nvGraphicFramePr>
        <xdr:cNvPr id="55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26</xdr:col>
      <xdr:colOff>571500</xdr:colOff>
      <xdr:row>35</xdr:row>
      <xdr:rowOff>137160</xdr:rowOff>
    </xdr:to>
    <xdr:graphicFrame macro="">
      <xdr:nvGraphicFramePr>
        <xdr:cNvPr id="5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8</xdr:col>
      <xdr:colOff>571500</xdr:colOff>
      <xdr:row>53</xdr:row>
      <xdr:rowOff>137160</xdr:rowOff>
    </xdr:to>
    <xdr:graphicFrame macro="">
      <xdr:nvGraphicFramePr>
        <xdr:cNvPr id="55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10</xdr:col>
      <xdr:colOff>0</xdr:colOff>
      <xdr:row>37</xdr:row>
      <xdr:rowOff>0</xdr:rowOff>
    </xdr:from>
    <xdr:to>
      <xdr:col>16</xdr:col>
      <xdr:colOff>7620</xdr:colOff>
      <xdr:row>40</xdr:row>
      <xdr:rowOff>76200</xdr:rowOff>
    </xdr:to>
    <xdr:grpSp>
      <xdr:nvGrpSpPr>
        <xdr:cNvPr id="5531" name="Group 21"/>
        <xdr:cNvGrpSpPr>
          <a:grpSpLocks noChangeAspect="1"/>
        </xdr:cNvGrpSpPr>
      </xdr:nvGrpSpPr>
      <xdr:grpSpPr bwMode="auto">
        <a:xfrm>
          <a:off x="5379720" y="6766560"/>
          <a:ext cx="3665220" cy="624840"/>
          <a:chOff x="342900" y="5362575"/>
          <a:chExt cx="3600240" cy="674476"/>
        </a:xfrm>
      </xdr:grpSpPr>
      <xdr:grpSp>
        <xdr:nvGrpSpPr>
          <xdr:cNvPr id="5533" name="Group 22"/>
          <xdr:cNvGrpSpPr>
            <a:grpSpLocks/>
          </xdr:cNvGrpSpPr>
        </xdr:nvGrpSpPr>
        <xdr:grpSpPr bwMode="auto">
          <a:xfrm>
            <a:off x="1102257" y="5362575"/>
            <a:ext cx="2318227" cy="362771"/>
            <a:chOff x="549807" y="5295900"/>
            <a:chExt cx="2318227" cy="362771"/>
          </a:xfrm>
        </xdr:grpSpPr>
        <xdr:sp macro="" textlink="">
          <xdr:nvSpPr>
            <xdr:cNvPr id="19" name="Rounded Rectangle 18">
              <a:hlinkClick xmlns:r="http://schemas.openxmlformats.org/officeDocument/2006/relationships" r:id="rId8"/>
            </xdr:cNvPr>
            <xdr:cNvSpPr/>
          </xdr:nvSpPr>
          <xdr:spPr>
            <a:xfrm>
              <a:off x="546426" y="5295900"/>
              <a:ext cx="1077827" cy="361914"/>
            </a:xfrm>
            <a:prstGeom prst="roundRect">
              <a:avLst>
                <a:gd name="adj" fmla="val 8729"/>
              </a:avLst>
            </a:prstGeom>
            <a:solidFill>
              <a:srgbClr val="4186F4"/>
            </a:solidFill>
            <a:ln w="9525">
              <a:solidFill>
                <a:srgbClr val="2F5B53"/>
              </a:solidFill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0">
                  <a:solidFill>
                    <a:schemeClr val="bg1"/>
                  </a:solidFill>
                </a:rPr>
                <a:t>Updates</a:t>
              </a:r>
            </a:p>
          </xdr:txBody>
        </xdr:sp>
        <xdr:sp macro="" textlink="">
          <xdr:nvSpPr>
            <xdr:cNvPr id="20" name="Rounded Rectangle 19">
              <a:hlinkClick xmlns:r="http://schemas.openxmlformats.org/officeDocument/2006/relationships" r:id="rId8"/>
            </xdr:cNvPr>
            <xdr:cNvSpPr/>
          </xdr:nvSpPr>
          <xdr:spPr>
            <a:xfrm>
              <a:off x="1773951" y="5295900"/>
              <a:ext cx="1092796" cy="361914"/>
            </a:xfrm>
            <a:prstGeom prst="roundRect">
              <a:avLst>
                <a:gd name="adj" fmla="val 7939"/>
              </a:avLst>
            </a:prstGeom>
            <a:solidFill>
              <a:srgbClr val="4186F4"/>
            </a:solidFill>
            <a:ln w="9525">
              <a:solidFill>
                <a:srgbClr val="2F5B53"/>
              </a:solidFill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0">
                  <a:solidFill>
                    <a:schemeClr val="bg1"/>
                  </a:solidFill>
                </a:rPr>
                <a:t>More</a:t>
              </a:r>
            </a:p>
          </xdr:txBody>
        </xdr:sp>
      </xdr:grpSp>
      <xdr:sp macro="" textlink="">
        <xdr:nvSpPr>
          <xdr:cNvPr id="18" name="TextBox 17"/>
          <xdr:cNvSpPr txBox="1"/>
        </xdr:nvSpPr>
        <xdr:spPr>
          <a:xfrm>
            <a:off x="342900" y="5790291"/>
            <a:ext cx="3600240" cy="2467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 b="1"/>
              <a:t>Please</a:t>
            </a:r>
            <a:r>
              <a:rPr lang="en-US" sz="1200" b="1" baseline="0"/>
              <a:t> visit our advertisers to help keep these tools free</a:t>
            </a:r>
            <a:endParaRPr lang="en-US" sz="1200" b="1"/>
          </a:p>
        </xdr:txBody>
      </xdr:sp>
    </xdr:grpSp>
    <xdr:clientData/>
  </xdr:twoCellAnchor>
  <xdr:twoCellAnchor>
    <xdr:from>
      <xdr:col>19</xdr:col>
      <xdr:colOff>47625</xdr:colOff>
      <xdr:row>36</xdr:row>
      <xdr:rowOff>123825</xdr:rowOff>
    </xdr:from>
    <xdr:to>
      <xdr:col>20</xdr:col>
      <xdr:colOff>508500</xdr:colOff>
      <xdr:row>39</xdr:row>
      <xdr:rowOff>38100</xdr:rowOff>
    </xdr:to>
    <xdr:sp macro="" textlink="">
      <xdr:nvSpPr>
        <xdr:cNvPr id="22" name="Rounded Rectangle 21">
          <a:hlinkClick xmlns:r="http://schemas.openxmlformats.org/officeDocument/2006/relationships" r:id="rId9"/>
        </xdr:cNvPr>
        <xdr:cNvSpPr/>
      </xdr:nvSpPr>
      <xdr:spPr>
        <a:xfrm>
          <a:off x="10544175" y="6981825"/>
          <a:ext cx="1070475" cy="485775"/>
        </a:xfrm>
        <a:prstGeom prst="roundRect">
          <a:avLst>
            <a:gd name="adj" fmla="val 8729"/>
          </a:avLst>
        </a:prstGeom>
        <a:solidFill>
          <a:srgbClr val="D14130"/>
        </a:solidFill>
        <a:ln w="9525">
          <a:solidFill>
            <a:srgbClr val="FF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GB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Click here to see data</a:t>
          </a:r>
          <a:endParaRPr lang="en-GB">
            <a:effectLst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0.01051</cdr:x>
      <cdr:y>0.01592</cdr:y>
    </cdr:from>
    <cdr:to>
      <cdr:x>0.01051</cdr:x>
      <cdr:y>0.01592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xHALdxJfCDiQCWToV99t24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0.0105</cdr:x>
      <cdr:y>0.01592</cdr:y>
    </cdr:from>
    <cdr:to>
      <cdr:x>0.0105</cdr:x>
      <cdr:y>0.01592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CP4cOrct587eAeKYJYDV0s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0.0105</cdr:x>
      <cdr:y>0.01592</cdr:y>
    </cdr:from>
    <cdr:to>
      <cdr:x>0.0105</cdr:x>
      <cdr:y>0.01592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AWNvSwqxAPw6Tzi21EhnDi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0.0105</cdr:x>
      <cdr:y>0.01592</cdr:y>
    </cdr:from>
    <cdr:to>
      <cdr:x>0.0105</cdr:x>
      <cdr:y>0.01592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x7PWDRr6Htq9e8pjzG3yyi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0.0105</cdr:x>
      <cdr:y>0.01592</cdr:y>
    </cdr:from>
    <cdr:to>
      <cdr:x>0.0105</cdr:x>
      <cdr:y>0.01592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ItlbGGXZDCPioFFVTz5t73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0.0105</cdr:x>
      <cdr:y>0.01592</cdr:y>
    </cdr:from>
    <cdr:to>
      <cdr:x>0.0105</cdr:x>
      <cdr:y>0.01592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FJkaDI5Bk5KeplBraK9IPN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0.0105</cdr:x>
      <cdr:y>0.01592</cdr:y>
    </cdr:from>
    <cdr:to>
      <cdr:x>0.0105</cdr:x>
      <cdr:y>0.01592</cdr:y>
    </cdr:to>
    <cdr:sp macro="" textlink="">
      <cdr:nvSpPr>
        <cdr:cNvPr id="3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kWJJDDMus4aENBQw3eT2iJ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36"/>
  <sheetViews>
    <sheetView showGridLines="0" tabSelected="1" workbookViewId="0">
      <selection activeCell="F43" sqref="F43"/>
    </sheetView>
  </sheetViews>
  <sheetFormatPr defaultColWidth="9.109375" defaultRowHeight="14.4" x14ac:dyDescent="0.3"/>
  <cols>
    <col min="1" max="1" width="4.6640625" style="4" customWidth="1"/>
    <col min="2" max="2" width="35.109375" style="4" customWidth="1"/>
    <col min="3" max="12" width="12.6640625" style="4" bestFit="1" customWidth="1"/>
    <col min="13" max="14" width="9.5546875" style="4" bestFit="1" customWidth="1"/>
    <col min="15" max="16384" width="9.109375" style="4"/>
  </cols>
  <sheetData>
    <row r="1" spans="1:14" ht="25.8" x14ac:dyDescent="0.3">
      <c r="A1" s="1"/>
      <c r="B1" s="65" t="s">
        <v>17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4" ht="36" customHeight="1" thickBot="1" x14ac:dyDescent="0.35">
      <c r="A2" s="1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4" ht="15.75" customHeight="1" x14ac:dyDescent="0.3">
      <c r="A3" s="1"/>
      <c r="B3" s="68" t="s">
        <v>27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70"/>
    </row>
    <row r="4" spans="1:14" s="6" customFormat="1" ht="21" customHeight="1" x14ac:dyDescent="0.3">
      <c r="A4" s="5"/>
      <c r="B4" s="7" t="s">
        <v>16</v>
      </c>
      <c r="C4" s="57"/>
      <c r="D4" s="57"/>
      <c r="E4" s="67" t="s">
        <v>20</v>
      </c>
      <c r="F4" s="67"/>
      <c r="G4" s="67"/>
      <c r="H4" s="57"/>
      <c r="I4" s="57"/>
      <c r="J4" s="61" t="s">
        <v>24</v>
      </c>
      <c r="K4" s="61"/>
      <c r="L4" s="61"/>
      <c r="M4" s="62"/>
      <c r="N4" s="63"/>
    </row>
    <row r="5" spans="1:14" s="6" customFormat="1" ht="21" customHeight="1" thickBot="1" x14ac:dyDescent="0.35">
      <c r="A5" s="5"/>
      <c r="B5" s="8" t="s">
        <v>22</v>
      </c>
      <c r="C5" s="58"/>
      <c r="D5" s="58"/>
      <c r="E5" s="59" t="s">
        <v>21</v>
      </c>
      <c r="F5" s="59"/>
      <c r="G5" s="59"/>
      <c r="H5" s="60"/>
      <c r="I5" s="60"/>
      <c r="J5" s="59" t="s">
        <v>23</v>
      </c>
      <c r="K5" s="59"/>
      <c r="L5" s="59"/>
      <c r="M5" s="58"/>
      <c r="N5" s="64"/>
    </row>
    <row r="6" spans="1:14" ht="15" thickBot="1" x14ac:dyDescent="0.35"/>
    <row r="7" spans="1:14" x14ac:dyDescent="0.3">
      <c r="B7" s="30"/>
      <c r="C7" s="55" t="s">
        <v>25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6"/>
    </row>
    <row r="8" spans="1:14" ht="15" thickBot="1" x14ac:dyDescent="0.35">
      <c r="B8" s="32" t="s">
        <v>0</v>
      </c>
      <c r="C8" s="33">
        <v>39814</v>
      </c>
      <c r="D8" s="33">
        <v>39845</v>
      </c>
      <c r="E8" s="33">
        <v>39873</v>
      </c>
      <c r="F8" s="33">
        <v>39904</v>
      </c>
      <c r="G8" s="33">
        <v>39934</v>
      </c>
      <c r="H8" s="33">
        <v>39965</v>
      </c>
      <c r="I8" s="33">
        <v>39995</v>
      </c>
      <c r="J8" s="33">
        <v>40026</v>
      </c>
      <c r="K8" s="33">
        <v>40057</v>
      </c>
      <c r="L8" s="33">
        <v>40087</v>
      </c>
      <c r="M8" s="33">
        <v>40118</v>
      </c>
      <c r="N8" s="34">
        <v>40148</v>
      </c>
    </row>
    <row r="9" spans="1:14" x14ac:dyDescent="0.3">
      <c r="B9" s="24" t="s">
        <v>53</v>
      </c>
      <c r="C9" s="31">
        <v>60</v>
      </c>
      <c r="D9" s="31">
        <v>30</v>
      </c>
      <c r="E9" s="31">
        <v>28</v>
      </c>
      <c r="F9" s="31">
        <v>10</v>
      </c>
      <c r="G9" s="31">
        <v>5</v>
      </c>
      <c r="H9" s="31">
        <v>2</v>
      </c>
      <c r="I9" s="31">
        <v>1</v>
      </c>
      <c r="J9" s="31">
        <v>3</v>
      </c>
      <c r="K9" s="31">
        <v>4</v>
      </c>
      <c r="L9" s="31">
        <v>1</v>
      </c>
      <c r="M9" s="27"/>
      <c r="N9" s="28"/>
    </row>
    <row r="10" spans="1:14" ht="15" thickBot="1" x14ac:dyDescent="0.35">
      <c r="B10" s="21" t="s">
        <v>52</v>
      </c>
      <c r="C10" s="18">
        <v>3456</v>
      </c>
      <c r="D10" s="18">
        <v>1456</v>
      </c>
      <c r="E10" s="18">
        <v>3453</v>
      </c>
      <c r="F10" s="18">
        <v>3452</v>
      </c>
      <c r="G10" s="18">
        <v>3410</v>
      </c>
      <c r="H10" s="18">
        <v>5456</v>
      </c>
      <c r="I10" s="18">
        <v>2456</v>
      </c>
      <c r="J10" s="18">
        <v>3456</v>
      </c>
      <c r="K10" s="18">
        <v>4400</v>
      </c>
      <c r="L10" s="18">
        <v>3634</v>
      </c>
      <c r="M10" s="18"/>
      <c r="N10" s="19"/>
    </row>
    <row r="11" spans="1:14" x14ac:dyDescent="0.3">
      <c r="B11" s="24" t="s">
        <v>54</v>
      </c>
      <c r="C11" s="27">
        <v>3456</v>
      </c>
      <c r="D11" s="27">
        <v>3456</v>
      </c>
      <c r="E11" s="27">
        <v>3456</v>
      </c>
      <c r="F11" s="27">
        <v>3456</v>
      </c>
      <c r="G11" s="27">
        <v>3456</v>
      </c>
      <c r="H11" s="27">
        <v>3456</v>
      </c>
      <c r="I11" s="27">
        <v>3456</v>
      </c>
      <c r="J11" s="27">
        <v>3456</v>
      </c>
      <c r="K11" s="27">
        <v>3456</v>
      </c>
      <c r="L11" s="27">
        <v>3456</v>
      </c>
      <c r="M11" s="27"/>
      <c r="N11" s="28"/>
    </row>
    <row r="12" spans="1:14" x14ac:dyDescent="0.3">
      <c r="B12" s="20" t="s">
        <v>55</v>
      </c>
      <c r="C12" s="14">
        <v>56</v>
      </c>
      <c r="D12" s="14">
        <v>40</v>
      </c>
      <c r="E12" s="14">
        <v>39</v>
      </c>
      <c r="F12" s="14">
        <v>28</v>
      </c>
      <c r="G12" s="14">
        <v>40</v>
      </c>
      <c r="H12" s="14">
        <v>11</v>
      </c>
      <c r="I12" s="14">
        <v>15</v>
      </c>
      <c r="J12" s="14">
        <v>5</v>
      </c>
      <c r="K12" s="14">
        <v>2</v>
      </c>
      <c r="L12" s="14">
        <v>2</v>
      </c>
      <c r="M12" s="14"/>
      <c r="N12" s="15"/>
    </row>
    <row r="13" spans="1:14" ht="15" thickBot="1" x14ac:dyDescent="0.35">
      <c r="B13" s="29" t="s">
        <v>56</v>
      </c>
      <c r="C13" s="35">
        <v>0</v>
      </c>
      <c r="D13" s="35">
        <v>0</v>
      </c>
      <c r="E13" s="35">
        <v>1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  <c r="L13" s="35">
        <v>0</v>
      </c>
      <c r="M13" s="35"/>
      <c r="N13" s="36"/>
    </row>
    <row r="14" spans="1:14" x14ac:dyDescent="0.3">
      <c r="B14" s="37" t="s">
        <v>13</v>
      </c>
      <c r="C14" s="38">
        <v>3453</v>
      </c>
      <c r="D14" s="38">
        <v>2505</v>
      </c>
      <c r="E14" s="38">
        <v>2505</v>
      </c>
      <c r="F14" s="38">
        <v>2505</v>
      </c>
      <c r="G14" s="38">
        <v>2200</v>
      </c>
      <c r="H14" s="38">
        <v>2505</v>
      </c>
      <c r="I14" s="38">
        <v>2505</v>
      </c>
      <c r="J14" s="38">
        <v>2505</v>
      </c>
      <c r="K14" s="38">
        <v>2505</v>
      </c>
      <c r="L14" s="38">
        <v>2505</v>
      </c>
      <c r="M14" s="38"/>
      <c r="N14" s="39"/>
    </row>
    <row r="15" spans="1:14" ht="15" thickBot="1" x14ac:dyDescent="0.35">
      <c r="B15" s="29" t="s">
        <v>57</v>
      </c>
      <c r="C15" s="35">
        <v>2345</v>
      </c>
      <c r="D15" s="35">
        <v>1723</v>
      </c>
      <c r="E15" s="35">
        <v>1723</v>
      </c>
      <c r="F15" s="35">
        <v>1723</v>
      </c>
      <c r="G15" s="35">
        <v>1723</v>
      </c>
      <c r="H15" s="35">
        <v>1723</v>
      </c>
      <c r="I15" s="35">
        <v>1723</v>
      </c>
      <c r="J15" s="35">
        <v>1700</v>
      </c>
      <c r="K15" s="35">
        <v>1723</v>
      </c>
      <c r="L15" s="35">
        <v>1723</v>
      </c>
      <c r="M15" s="35"/>
      <c r="N15" s="36"/>
    </row>
    <row r="16" spans="1:14" x14ac:dyDescent="0.3">
      <c r="B16" s="37" t="s">
        <v>1</v>
      </c>
      <c r="C16" s="38">
        <v>5345000</v>
      </c>
      <c r="D16" s="38">
        <v>5345000</v>
      </c>
      <c r="E16" s="38">
        <v>5345000</v>
      </c>
      <c r="F16" s="38">
        <v>5345000</v>
      </c>
      <c r="G16" s="38">
        <v>5345000</v>
      </c>
      <c r="H16" s="38">
        <v>5345000</v>
      </c>
      <c r="I16" s="38">
        <v>5345000</v>
      </c>
      <c r="J16" s="38">
        <v>5345000</v>
      </c>
      <c r="K16" s="38">
        <v>5345000</v>
      </c>
      <c r="L16" s="38">
        <v>5345000</v>
      </c>
      <c r="M16" s="38"/>
      <c r="N16" s="39"/>
    </row>
    <row r="17" spans="2:14" x14ac:dyDescent="0.3">
      <c r="B17" s="20" t="s">
        <v>63</v>
      </c>
      <c r="C17" s="14">
        <v>120300</v>
      </c>
      <c r="D17" s="14">
        <v>110031</v>
      </c>
      <c r="E17" s="14">
        <v>120300</v>
      </c>
      <c r="F17" s="14">
        <v>120300</v>
      </c>
      <c r="G17" s="14">
        <v>120300</v>
      </c>
      <c r="H17" s="14">
        <v>120300</v>
      </c>
      <c r="I17" s="14">
        <v>120300</v>
      </c>
      <c r="J17" s="14">
        <v>120300</v>
      </c>
      <c r="K17" s="14">
        <v>120300</v>
      </c>
      <c r="L17" s="14">
        <v>120300</v>
      </c>
      <c r="M17" s="14"/>
      <c r="N17" s="15"/>
    </row>
    <row r="18" spans="2:14" x14ac:dyDescent="0.3">
      <c r="B18" s="20" t="s">
        <v>64</v>
      </c>
      <c r="C18" s="14">
        <v>23410</v>
      </c>
      <c r="D18" s="14">
        <v>23410</v>
      </c>
      <c r="E18" s="14">
        <v>23001</v>
      </c>
      <c r="F18" s="14">
        <v>22410</v>
      </c>
      <c r="G18" s="14">
        <v>21410</v>
      </c>
      <c r="H18" s="14">
        <v>33410</v>
      </c>
      <c r="I18" s="14">
        <v>23410</v>
      </c>
      <c r="J18" s="14">
        <v>23410</v>
      </c>
      <c r="K18" s="14">
        <v>23410</v>
      </c>
      <c r="L18" s="14">
        <v>24410</v>
      </c>
      <c r="M18" s="14"/>
      <c r="N18" s="15"/>
    </row>
    <row r="19" spans="2:14" ht="15" thickBot="1" x14ac:dyDescent="0.35">
      <c r="B19" s="21" t="s">
        <v>58</v>
      </c>
      <c r="C19" s="18">
        <v>2345000</v>
      </c>
      <c r="D19" s="18">
        <v>2345000</v>
      </c>
      <c r="E19" s="18">
        <v>2345000</v>
      </c>
      <c r="F19" s="18">
        <v>2345000</v>
      </c>
      <c r="G19" s="18">
        <v>2345000</v>
      </c>
      <c r="H19" s="18">
        <v>2345000</v>
      </c>
      <c r="I19" s="18">
        <v>2345000</v>
      </c>
      <c r="J19" s="18">
        <v>2345000</v>
      </c>
      <c r="K19" s="18">
        <v>2345000</v>
      </c>
      <c r="L19" s="18">
        <v>2345000</v>
      </c>
      <c r="M19" s="18"/>
      <c r="N19" s="19"/>
    </row>
    <row r="20" spans="2:14" x14ac:dyDescent="0.3">
      <c r="B20" s="24" t="s">
        <v>14</v>
      </c>
      <c r="C20" s="25">
        <v>0.98</v>
      </c>
      <c r="D20" s="25">
        <v>0.98</v>
      </c>
      <c r="E20" s="25">
        <v>0.98</v>
      </c>
      <c r="F20" s="25">
        <v>0.98</v>
      </c>
      <c r="G20" s="25">
        <v>0.92</v>
      </c>
      <c r="H20" s="25">
        <v>0.98</v>
      </c>
      <c r="I20" s="25">
        <v>0.98</v>
      </c>
      <c r="J20" s="25">
        <v>0.98</v>
      </c>
      <c r="K20" s="25">
        <v>0.98</v>
      </c>
      <c r="L20" s="25">
        <v>0.98</v>
      </c>
      <c r="M20" s="25"/>
      <c r="N20" s="26"/>
    </row>
    <row r="21" spans="2:14" x14ac:dyDescent="0.3">
      <c r="B21" s="20" t="s">
        <v>2</v>
      </c>
      <c r="C21" s="16">
        <v>0.99</v>
      </c>
      <c r="D21" s="16">
        <v>0.99</v>
      </c>
      <c r="E21" s="16">
        <v>0.99</v>
      </c>
      <c r="F21" s="16">
        <v>0.99</v>
      </c>
      <c r="G21" s="16">
        <v>0.89</v>
      </c>
      <c r="H21" s="16">
        <v>0.99</v>
      </c>
      <c r="I21" s="16">
        <v>0.99</v>
      </c>
      <c r="J21" s="16">
        <v>0.99</v>
      </c>
      <c r="K21" s="16">
        <v>0.99</v>
      </c>
      <c r="L21" s="16">
        <v>0.99</v>
      </c>
      <c r="M21" s="16"/>
      <c r="N21" s="17"/>
    </row>
    <row r="22" spans="2:14" ht="15" thickBot="1" x14ac:dyDescent="0.35">
      <c r="B22" s="21" t="s">
        <v>15</v>
      </c>
      <c r="C22" s="40">
        <v>0.995</v>
      </c>
      <c r="D22" s="40">
        <v>0.995</v>
      </c>
      <c r="E22" s="40">
        <v>0.995</v>
      </c>
      <c r="F22" s="40">
        <v>0.995</v>
      </c>
      <c r="G22" s="40">
        <v>0.995</v>
      </c>
      <c r="H22" s="40">
        <v>0.995</v>
      </c>
      <c r="I22" s="40">
        <v>0.995</v>
      </c>
      <c r="J22" s="40">
        <v>0.995</v>
      </c>
      <c r="K22" s="40">
        <v>0.995</v>
      </c>
      <c r="L22" s="40">
        <v>0.995</v>
      </c>
      <c r="M22" s="40"/>
      <c r="N22" s="41"/>
    </row>
    <row r="23" spans="2:14" x14ac:dyDescent="0.3">
      <c r="B23" s="24" t="s">
        <v>3</v>
      </c>
      <c r="C23" s="45">
        <v>2345600</v>
      </c>
      <c r="D23" s="45">
        <v>2345600</v>
      </c>
      <c r="E23" s="45">
        <v>2345600</v>
      </c>
      <c r="F23" s="45">
        <v>2345600</v>
      </c>
      <c r="G23" s="45">
        <v>2345600</v>
      </c>
      <c r="H23" s="45">
        <v>2345600</v>
      </c>
      <c r="I23" s="45">
        <v>2345600</v>
      </c>
      <c r="J23" s="45">
        <v>2345600</v>
      </c>
      <c r="K23" s="45">
        <v>2345600</v>
      </c>
      <c r="L23" s="45">
        <v>2345600</v>
      </c>
      <c r="M23" s="45"/>
      <c r="N23" s="46"/>
    </row>
    <row r="24" spans="2:14" x14ac:dyDescent="0.3">
      <c r="B24" s="29" t="s">
        <v>4</v>
      </c>
      <c r="C24" s="47">
        <v>345300</v>
      </c>
      <c r="D24" s="47">
        <v>345300</v>
      </c>
      <c r="E24" s="47">
        <v>345300</v>
      </c>
      <c r="F24" s="47">
        <v>345300</v>
      </c>
      <c r="G24" s="47">
        <v>345300</v>
      </c>
      <c r="H24" s="47">
        <v>345300</v>
      </c>
      <c r="I24" s="47">
        <v>345300</v>
      </c>
      <c r="J24" s="47">
        <v>345300</v>
      </c>
      <c r="K24" s="47">
        <v>345300</v>
      </c>
      <c r="L24" s="47">
        <v>345300</v>
      </c>
      <c r="M24" s="47"/>
      <c r="N24" s="48"/>
    </row>
    <row r="25" spans="2:14" ht="15" thickBot="1" x14ac:dyDescent="0.35">
      <c r="B25" s="42" t="s">
        <v>5</v>
      </c>
      <c r="C25" s="43">
        <v>12</v>
      </c>
      <c r="D25" s="43">
        <v>11</v>
      </c>
      <c r="E25" s="43">
        <v>11</v>
      </c>
      <c r="F25" s="43">
        <v>11</v>
      </c>
      <c r="G25" s="43">
        <v>10</v>
      </c>
      <c r="H25" s="43">
        <v>11</v>
      </c>
      <c r="I25" s="43">
        <v>11</v>
      </c>
      <c r="J25" s="43">
        <v>11</v>
      </c>
      <c r="K25" s="43">
        <v>11</v>
      </c>
      <c r="L25" s="43">
        <v>11</v>
      </c>
      <c r="M25" s="43"/>
      <c r="N25" s="44"/>
    </row>
    <row r="26" spans="2:14" x14ac:dyDescent="0.3">
      <c r="B26" s="37" t="s">
        <v>6</v>
      </c>
      <c r="C26" s="49">
        <v>5345000</v>
      </c>
      <c r="D26" s="49">
        <v>5345000</v>
      </c>
      <c r="E26" s="49">
        <v>5345000</v>
      </c>
      <c r="F26" s="49">
        <v>5345000</v>
      </c>
      <c r="G26" s="49">
        <v>5345000</v>
      </c>
      <c r="H26" s="49">
        <v>4980012</v>
      </c>
      <c r="I26" s="49">
        <v>4980012</v>
      </c>
      <c r="J26" s="49">
        <v>4980012</v>
      </c>
      <c r="K26" s="49">
        <v>4980012</v>
      </c>
      <c r="L26" s="49">
        <v>4980012</v>
      </c>
      <c r="M26" s="49"/>
      <c r="N26" s="50"/>
    </row>
    <row r="27" spans="2:14" ht="15" thickBot="1" x14ac:dyDescent="0.35">
      <c r="B27" s="21" t="s">
        <v>7</v>
      </c>
      <c r="C27" s="18">
        <v>10345</v>
      </c>
      <c r="D27" s="18">
        <v>10345</v>
      </c>
      <c r="E27" s="18">
        <v>10345</v>
      </c>
      <c r="F27" s="18">
        <v>10345</v>
      </c>
      <c r="G27" s="18">
        <v>10345</v>
      </c>
      <c r="H27" s="18">
        <v>8030</v>
      </c>
      <c r="I27" s="18">
        <v>8030</v>
      </c>
      <c r="J27" s="18">
        <v>8030</v>
      </c>
      <c r="K27" s="18">
        <v>8030</v>
      </c>
      <c r="L27" s="18">
        <v>8030</v>
      </c>
      <c r="M27" s="18"/>
      <c r="N27" s="19"/>
    </row>
    <row r="28" spans="2:14" ht="15" thickBot="1" x14ac:dyDescent="0.3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2:14" x14ac:dyDescent="0.3">
      <c r="B29" s="13"/>
      <c r="C29" s="53" t="s">
        <v>26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4"/>
    </row>
    <row r="30" spans="2:14" x14ac:dyDescent="0.3">
      <c r="B30" s="20" t="s">
        <v>61</v>
      </c>
      <c r="C30" s="10">
        <f>IF(C9="","",IF(C10="","",(C9*1000000)/C10))</f>
        <v>17361.111111111109</v>
      </c>
      <c r="D30" s="10">
        <f t="shared" ref="D30:N30" si="0">IF(D9="","",IF(D10="","",(D9*1000000)/D10))</f>
        <v>20604.395604395606</v>
      </c>
      <c r="E30" s="10">
        <f t="shared" si="0"/>
        <v>8108.8908195771792</v>
      </c>
      <c r="F30" s="10">
        <f t="shared" si="0"/>
        <v>2896.8713789107765</v>
      </c>
      <c r="G30" s="10">
        <f t="shared" si="0"/>
        <v>1466.2756598240469</v>
      </c>
      <c r="H30" s="10">
        <f t="shared" si="0"/>
        <v>366.56891495601172</v>
      </c>
      <c r="I30" s="10">
        <f t="shared" si="0"/>
        <v>407.16612377850163</v>
      </c>
      <c r="J30" s="10">
        <f t="shared" si="0"/>
        <v>868.05555555555554</v>
      </c>
      <c r="K30" s="10">
        <f t="shared" si="0"/>
        <v>909.09090909090912</v>
      </c>
      <c r="L30" s="10">
        <f t="shared" si="0"/>
        <v>275.17886626307097</v>
      </c>
      <c r="M30" s="10" t="str">
        <f t="shared" si="0"/>
        <v/>
      </c>
      <c r="N30" s="10" t="str">
        <f t="shared" si="0"/>
        <v/>
      </c>
    </row>
    <row r="31" spans="2:14" x14ac:dyDescent="0.3">
      <c r="B31" s="20" t="s">
        <v>9</v>
      </c>
      <c r="C31" s="11">
        <f>IF(C11="","",IF(C12="","",IF(C13="","",(((C11-(C12+C13)))/C11))))</f>
        <v>0.98379629629629628</v>
      </c>
      <c r="D31" s="11">
        <f t="shared" ref="D31:N31" si="1">IF(D11="","",IF(D12="","",IF(D13="","",(((D11-(D12+D13)))/D11))))</f>
        <v>0.98842592592592593</v>
      </c>
      <c r="E31" s="11">
        <f t="shared" si="1"/>
        <v>0.98842592592592593</v>
      </c>
      <c r="F31" s="11">
        <f t="shared" si="1"/>
        <v>0.99189814814814814</v>
      </c>
      <c r="G31" s="11">
        <f t="shared" si="1"/>
        <v>0.98842592592592593</v>
      </c>
      <c r="H31" s="11">
        <f t="shared" si="1"/>
        <v>0.99681712962962965</v>
      </c>
      <c r="I31" s="11">
        <f t="shared" si="1"/>
        <v>0.99565972222222221</v>
      </c>
      <c r="J31" s="11">
        <f t="shared" si="1"/>
        <v>0.9985532407407407</v>
      </c>
      <c r="K31" s="11">
        <f t="shared" si="1"/>
        <v>0.99942129629629628</v>
      </c>
      <c r="L31" s="11">
        <f t="shared" si="1"/>
        <v>0.99942129629629628</v>
      </c>
      <c r="M31" s="11" t="str">
        <f t="shared" si="1"/>
        <v/>
      </c>
      <c r="N31" s="11" t="str">
        <f t="shared" si="1"/>
        <v/>
      </c>
    </row>
    <row r="32" spans="2:14" x14ac:dyDescent="0.3">
      <c r="B32" s="20" t="s">
        <v>62</v>
      </c>
      <c r="C32" s="12">
        <f>IF(C14="","",IF(C15="","",C14/C15))</f>
        <v>1.4724946695095948</v>
      </c>
      <c r="D32" s="12">
        <f t="shared" ref="D32:N32" si="2">IF(D14="","",IF(D15="","",D14/D15))</f>
        <v>1.4538595473012188</v>
      </c>
      <c r="E32" s="12">
        <f t="shared" si="2"/>
        <v>1.4538595473012188</v>
      </c>
      <c r="F32" s="12">
        <f t="shared" si="2"/>
        <v>1.4538595473012188</v>
      </c>
      <c r="G32" s="12">
        <f t="shared" si="2"/>
        <v>1.2768427161926872</v>
      </c>
      <c r="H32" s="12">
        <f t="shared" si="2"/>
        <v>1.4538595473012188</v>
      </c>
      <c r="I32" s="12">
        <f t="shared" si="2"/>
        <v>1.4538595473012188</v>
      </c>
      <c r="J32" s="12">
        <f t="shared" si="2"/>
        <v>1.473529411764706</v>
      </c>
      <c r="K32" s="12">
        <f t="shared" si="2"/>
        <v>1.4538595473012188</v>
      </c>
      <c r="L32" s="12">
        <f t="shared" si="2"/>
        <v>1.4538595473012188</v>
      </c>
      <c r="M32" s="12" t="str">
        <f t="shared" si="2"/>
        <v/>
      </c>
      <c r="N32" s="12" t="str">
        <f t="shared" si="2"/>
        <v/>
      </c>
    </row>
    <row r="33" spans="2:14" x14ac:dyDescent="0.3">
      <c r="B33" s="20" t="s">
        <v>10</v>
      </c>
      <c r="C33" s="12">
        <f>IF(C19="","",IF(C16="","",IF(C17="","",IF(C18="","",(((C16/(C17+C18+C19))))))))</f>
        <v>2.1476990087233947</v>
      </c>
      <c r="D33" s="12">
        <f t="shared" ref="D33:N33" si="3">IF(D19="","",IF(D16="","",IF(D17="","",IF(D18="","",(((D16/(D17+D18+D19))))))))</f>
        <v>2.1565976353683625</v>
      </c>
      <c r="E33" s="12">
        <f t="shared" si="3"/>
        <v>2.148052024252693</v>
      </c>
      <c r="F33" s="12">
        <f t="shared" si="3"/>
        <v>2.1485623324262071</v>
      </c>
      <c r="G33" s="12">
        <f t="shared" si="3"/>
        <v>2.1494263504791471</v>
      </c>
      <c r="H33" s="12">
        <f t="shared" si="3"/>
        <v>2.1391037775492152</v>
      </c>
      <c r="I33" s="12">
        <f t="shared" si="3"/>
        <v>2.1476990087233947</v>
      </c>
      <c r="J33" s="12">
        <f t="shared" si="3"/>
        <v>2.1476990087233947</v>
      </c>
      <c r="K33" s="12">
        <f t="shared" si="3"/>
        <v>2.1476990087233947</v>
      </c>
      <c r="L33" s="12">
        <f t="shared" si="3"/>
        <v>2.1468363785340463</v>
      </c>
      <c r="M33" s="12" t="str">
        <f t="shared" si="3"/>
        <v/>
      </c>
      <c r="N33" s="12" t="str">
        <f t="shared" si="3"/>
        <v/>
      </c>
    </row>
    <row r="34" spans="2:14" x14ac:dyDescent="0.3">
      <c r="B34" s="20" t="s">
        <v>11</v>
      </c>
      <c r="C34" s="11">
        <f>IF(C20="","",IF(C21="","",IF(C22="","",C20*C21*C22)))</f>
        <v>0.9653489999999999</v>
      </c>
      <c r="D34" s="11">
        <f t="shared" ref="D34:N34" si="4">IF(D20="","",IF(D21="","",IF(D22="","",D20*D21*D22)))</f>
        <v>0.9653489999999999</v>
      </c>
      <c r="E34" s="11">
        <f t="shared" si="4"/>
        <v>0.9653489999999999</v>
      </c>
      <c r="F34" s="11">
        <f t="shared" si="4"/>
        <v>0.9653489999999999</v>
      </c>
      <c r="G34" s="11">
        <f t="shared" si="4"/>
        <v>0.81470600000000004</v>
      </c>
      <c r="H34" s="11">
        <f t="shared" si="4"/>
        <v>0.9653489999999999</v>
      </c>
      <c r="I34" s="11">
        <f t="shared" si="4"/>
        <v>0.9653489999999999</v>
      </c>
      <c r="J34" s="11">
        <f t="shared" si="4"/>
        <v>0.9653489999999999</v>
      </c>
      <c r="K34" s="11">
        <f t="shared" si="4"/>
        <v>0.9653489999999999</v>
      </c>
      <c r="L34" s="11">
        <f t="shared" si="4"/>
        <v>0.9653489999999999</v>
      </c>
      <c r="M34" s="11" t="str">
        <f t="shared" si="4"/>
        <v/>
      </c>
      <c r="N34" s="11" t="str">
        <f t="shared" si="4"/>
        <v/>
      </c>
    </row>
    <row r="35" spans="2:14" x14ac:dyDescent="0.3">
      <c r="B35" s="20" t="s">
        <v>12</v>
      </c>
      <c r="C35" s="51">
        <f>IF(C23="","",IF(C24="","",IF(C25="","",(C23-C24)/C25)))</f>
        <v>166691.66666666666</v>
      </c>
      <c r="D35" s="51">
        <f t="shared" ref="D35:N35" si="5">IF(D23="","",IF(D24="","",IF(D25="","",(D23-D24)/D25)))</f>
        <v>181845.45454545456</v>
      </c>
      <c r="E35" s="51">
        <f t="shared" si="5"/>
        <v>181845.45454545456</v>
      </c>
      <c r="F35" s="51">
        <f t="shared" si="5"/>
        <v>181845.45454545456</v>
      </c>
      <c r="G35" s="51">
        <f t="shared" si="5"/>
        <v>200030</v>
      </c>
      <c r="H35" s="51">
        <f t="shared" si="5"/>
        <v>181845.45454545456</v>
      </c>
      <c r="I35" s="51">
        <f t="shared" si="5"/>
        <v>181845.45454545456</v>
      </c>
      <c r="J35" s="51">
        <f t="shared" si="5"/>
        <v>181845.45454545456</v>
      </c>
      <c r="K35" s="51">
        <f t="shared" si="5"/>
        <v>181845.45454545456</v>
      </c>
      <c r="L35" s="51">
        <f t="shared" si="5"/>
        <v>181845.45454545456</v>
      </c>
      <c r="M35" s="51" t="str">
        <f t="shared" si="5"/>
        <v/>
      </c>
      <c r="N35" s="51" t="str">
        <f t="shared" si="5"/>
        <v/>
      </c>
    </row>
    <row r="36" spans="2:14" ht="15" thickBot="1" x14ac:dyDescent="0.35">
      <c r="B36" s="21" t="s">
        <v>59</v>
      </c>
      <c r="C36" s="52">
        <f>IF(C26="","",IF(C27="","",(C26/C27)))</f>
        <v>516.67472208796516</v>
      </c>
      <c r="D36" s="52">
        <f t="shared" ref="D36:N36" si="6">IF(D26="","",IF(D27="","",(D26/D27)))</f>
        <v>516.67472208796516</v>
      </c>
      <c r="E36" s="52">
        <f t="shared" si="6"/>
        <v>516.67472208796516</v>
      </c>
      <c r="F36" s="52">
        <f t="shared" si="6"/>
        <v>516.67472208796516</v>
      </c>
      <c r="G36" s="52">
        <f t="shared" si="6"/>
        <v>516.67472208796516</v>
      </c>
      <c r="H36" s="52">
        <f t="shared" si="6"/>
        <v>620.17584059775845</v>
      </c>
      <c r="I36" s="52">
        <f t="shared" si="6"/>
        <v>620.17584059775845</v>
      </c>
      <c r="J36" s="52">
        <f t="shared" si="6"/>
        <v>620.17584059775845</v>
      </c>
      <c r="K36" s="52">
        <f t="shared" si="6"/>
        <v>620.17584059775845</v>
      </c>
      <c r="L36" s="52">
        <f t="shared" si="6"/>
        <v>620.17584059775845</v>
      </c>
      <c r="M36" s="52" t="str">
        <f t="shared" si="6"/>
        <v/>
      </c>
      <c r="N36" s="52" t="str">
        <f t="shared" si="6"/>
        <v/>
      </c>
    </row>
  </sheetData>
  <mergeCells count="15">
    <mergeCell ref="B1:M1"/>
    <mergeCell ref="B2:M2"/>
    <mergeCell ref="E4:G4"/>
    <mergeCell ref="H4:I4"/>
    <mergeCell ref="B3:N3"/>
    <mergeCell ref="C29:N29"/>
    <mergeCell ref="C7:N7"/>
    <mergeCell ref="C4:D4"/>
    <mergeCell ref="C5:D5"/>
    <mergeCell ref="E5:G5"/>
    <mergeCell ref="H5:I5"/>
    <mergeCell ref="J4:L4"/>
    <mergeCell ref="J5:L5"/>
    <mergeCell ref="M4:N4"/>
    <mergeCell ref="M5:N5"/>
  </mergeCells>
  <pageMargins left="0.7" right="0.7" top="0.75" bottom="0.75" header="0.3" footer="0.3"/>
  <pageSetup paperSize="9" orientation="portrait" horizontalDpi="0" verticalDpi="0" r:id="rId1"/>
  <customProperties>
    <customPr name="DVSECTIONID" r:id="rId2"/>
  </customPropertie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showGridLines="0" showRowColHeaders="0" zoomScaleNormal="100" workbookViewId="0">
      <selection activeCell="M44" sqref="M44"/>
    </sheetView>
  </sheetViews>
  <sheetFormatPr defaultRowHeight="14.4" x14ac:dyDescent="0.3"/>
  <cols>
    <col min="1" max="1" width="3.6640625" customWidth="1"/>
    <col min="10" max="10" width="3.6640625" customWidth="1"/>
    <col min="19" max="19" width="3.6640625" customWidth="1"/>
  </cols>
  <sheetData/>
  <pageMargins left="0.7" right="0.7" top="0.75" bottom="0.75" header="0.3" footer="0.3"/>
  <pageSetup paperSize="9" scale="36" orientation="portrait" horizontalDpi="0" verticalDpi="0" r:id="rId1"/>
  <customProperties>
    <customPr name="DVSECTION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D25"/>
  <sheetViews>
    <sheetView showGridLines="0" showRowColHeaders="0" zoomScaleNormal="100" workbookViewId="0">
      <selection activeCell="B9" sqref="B9"/>
    </sheetView>
  </sheetViews>
  <sheetFormatPr defaultRowHeight="14.4" x14ac:dyDescent="0.3"/>
  <cols>
    <col min="1" max="1" width="4.6640625" customWidth="1"/>
    <col min="2" max="2" width="95" customWidth="1"/>
  </cols>
  <sheetData>
    <row r="1" spans="2:4" x14ac:dyDescent="0.3">
      <c r="B1" s="23" t="s">
        <v>28</v>
      </c>
    </row>
    <row r="2" spans="2:4" x14ac:dyDescent="0.3">
      <c r="B2" t="s">
        <v>29</v>
      </c>
    </row>
    <row r="3" spans="2:4" x14ac:dyDescent="0.3">
      <c r="B3" t="s">
        <v>46</v>
      </c>
    </row>
    <row r="4" spans="2:4" x14ac:dyDescent="0.3">
      <c r="B4" t="s">
        <v>47</v>
      </c>
    </row>
    <row r="5" spans="2:4" x14ac:dyDescent="0.3">
      <c r="B5" t="s">
        <v>48</v>
      </c>
    </row>
    <row r="6" spans="2:4" x14ac:dyDescent="0.3">
      <c r="B6" t="s">
        <v>49</v>
      </c>
    </row>
    <row r="7" spans="2:4" x14ac:dyDescent="0.3">
      <c r="B7" t="s">
        <v>50</v>
      </c>
    </row>
    <row r="8" spans="2:4" x14ac:dyDescent="0.3">
      <c r="B8" t="s">
        <v>51</v>
      </c>
    </row>
    <row r="9" spans="2:4" x14ac:dyDescent="0.3">
      <c r="B9" t="s">
        <v>60</v>
      </c>
    </row>
    <row r="10" spans="2:4" x14ac:dyDescent="0.3">
      <c r="B10" s="23" t="s">
        <v>30</v>
      </c>
      <c r="D10" s="22"/>
    </row>
    <row r="11" spans="2:4" x14ac:dyDescent="0.3">
      <c r="B11" t="s">
        <v>31</v>
      </c>
    </row>
    <row r="12" spans="2:4" x14ac:dyDescent="0.3">
      <c r="B12" t="s">
        <v>32</v>
      </c>
    </row>
    <row r="13" spans="2:4" x14ac:dyDescent="0.3">
      <c r="B13" t="s">
        <v>33</v>
      </c>
    </row>
    <row r="14" spans="2:4" x14ac:dyDescent="0.3">
      <c r="B14" t="s">
        <v>34</v>
      </c>
    </row>
    <row r="15" spans="2:4" x14ac:dyDescent="0.3">
      <c r="B15" t="s">
        <v>35</v>
      </c>
    </row>
    <row r="16" spans="2:4" x14ac:dyDescent="0.3">
      <c r="B16" s="23" t="s">
        <v>36</v>
      </c>
    </row>
    <row r="17" spans="2:2" x14ac:dyDescent="0.3">
      <c r="B17" t="s">
        <v>37</v>
      </c>
    </row>
    <row r="18" spans="2:2" x14ac:dyDescent="0.3">
      <c r="B18" s="23" t="s">
        <v>38</v>
      </c>
    </row>
    <row r="19" spans="2:2" x14ac:dyDescent="0.3">
      <c r="B19" t="s">
        <v>39</v>
      </c>
    </row>
    <row r="20" spans="2:2" x14ac:dyDescent="0.3">
      <c r="B20" t="s">
        <v>40</v>
      </c>
    </row>
    <row r="21" spans="2:2" x14ac:dyDescent="0.3">
      <c r="B21" t="s">
        <v>41</v>
      </c>
    </row>
    <row r="22" spans="2:2" x14ac:dyDescent="0.3">
      <c r="B22" t="s">
        <v>42</v>
      </c>
    </row>
    <row r="23" spans="2:2" x14ac:dyDescent="0.3">
      <c r="B23" t="s">
        <v>43</v>
      </c>
    </row>
    <row r="24" spans="2:2" x14ac:dyDescent="0.3">
      <c r="B24" s="23" t="s">
        <v>44</v>
      </c>
    </row>
    <row r="25" spans="2:2" x14ac:dyDescent="0.3">
      <c r="B25" t="s">
        <v>45</v>
      </c>
    </row>
  </sheetData>
  <pageMargins left="0.7" right="0.7" top="0.75" bottom="0.75" header="0.3" footer="0.3"/>
  <pageSetup paperSize="9" orientation="portrait" horizontalDpi="0" verticalDpi="0" r:id="rId1"/>
  <customProperties>
    <customPr name="DVSECTION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V13"/>
  <sheetViews>
    <sheetView workbookViewId="0">
      <selection activeCell="BK6" sqref="BK6"/>
    </sheetView>
  </sheetViews>
  <sheetFormatPr defaultRowHeight="14.4" x14ac:dyDescent="0.3"/>
  <sheetData>
    <row r="1" spans="1:256" x14ac:dyDescent="0.3">
      <c r="A1">
        <f>IF('Lean Measure Data'!1:1,"AAAAAF/35QA=",0)</f>
        <v>0</v>
      </c>
      <c r="B1" t="e">
        <f>AND('Lean Measure Data'!B1,"AAAAAF/35QE=")</f>
        <v>#VALUE!</v>
      </c>
      <c r="C1" t="e">
        <f>AND('Lean Measure Data'!C1,"AAAAAF/35QI=")</f>
        <v>#VALUE!</v>
      </c>
      <c r="D1">
        <f>IF('Lean Measure Data'!2:2,"AAAAAF/35QM=",0)</f>
        <v>0</v>
      </c>
      <c r="E1" t="e">
        <f>AND('Lean Measure Data'!B2,"AAAAAF/35QQ=")</f>
        <v>#VALUE!</v>
      </c>
      <c r="F1" t="e">
        <f>AND('Lean Measure Data'!C2,"AAAAAF/35QU=")</f>
        <v>#VALUE!</v>
      </c>
      <c r="G1">
        <f>IF('Lean Measure Data'!3:3,"AAAAAF/35QY=",0)</f>
        <v>0</v>
      </c>
      <c r="H1" t="e">
        <f>AND('Lean Measure Data'!B3,"AAAAAF/35Qc=")</f>
        <v>#VALUE!</v>
      </c>
      <c r="I1" t="e">
        <f>AND('Lean Measure Data'!C3,"AAAAAF/35Qg=")</f>
        <v>#VALUE!</v>
      </c>
      <c r="J1" t="e">
        <f>IF('Lean Measure Data'!4:4,"AAAAAF/35Qk=",0)</f>
        <v>#VALUE!</v>
      </c>
      <c r="K1" t="e">
        <f>AND('Lean Measure Data'!B4,"AAAAAF/35Qo=")</f>
        <v>#VALUE!</v>
      </c>
      <c r="L1" t="e">
        <f>AND('Lean Measure Data'!C4,"AAAAAF/35Qs=")</f>
        <v>#VALUE!</v>
      </c>
      <c r="M1">
        <f>IF('Lean Measure Data'!5:5,"AAAAAF/35Qw=",0)</f>
        <v>0</v>
      </c>
      <c r="N1" t="e">
        <f>AND('Lean Measure Data'!B5,"AAAAAF/35Q0=")</f>
        <v>#VALUE!</v>
      </c>
      <c r="O1" t="e">
        <f>AND('Lean Measure Data'!C5,"AAAAAF/35Q4=")</f>
        <v>#VALUE!</v>
      </c>
      <c r="P1">
        <f>IF('Lean Measure Data'!6:6,"AAAAAF/35Q8=",0)</f>
        <v>0</v>
      </c>
      <c r="Q1" t="e">
        <f>AND('Lean Measure Data'!B6,"AAAAAF/35RA=")</f>
        <v>#VALUE!</v>
      </c>
      <c r="R1" t="e">
        <f>AND('Lean Measure Data'!C6,"AAAAAF/35RE=")</f>
        <v>#VALUE!</v>
      </c>
      <c r="S1" t="e">
        <f>IF('Lean Measure Data'!#REF!,"AAAAAF/35RI=",0)</f>
        <v>#REF!</v>
      </c>
      <c r="T1" t="e">
        <f>AND('Lean Measure Data'!#REF!,"AAAAAF/35RM=")</f>
        <v>#REF!</v>
      </c>
      <c r="U1" t="e">
        <f>AND('Lean Measure Data'!#REF!,"AAAAAF/35RQ=")</f>
        <v>#REF!</v>
      </c>
      <c r="V1" t="e">
        <f>IF('Lean Measure Data'!#REF!,"AAAAAF/35RU=",0)</f>
        <v>#REF!</v>
      </c>
      <c r="W1" t="e">
        <f>AND('Lean Measure Data'!#REF!,"AAAAAF/35RY=")</f>
        <v>#REF!</v>
      </c>
      <c r="X1" t="e">
        <f>AND('Lean Measure Data'!#REF!,"AAAAAF/35Rc=")</f>
        <v>#REF!</v>
      </c>
      <c r="Y1" t="e">
        <f>IF('Lean Measure Data'!#REF!,"AAAAAF/35Rg=",0)</f>
        <v>#REF!</v>
      </c>
      <c r="Z1" t="e">
        <f>AND('Lean Measure Data'!#REF!,"AAAAAF/35Rk=")</f>
        <v>#REF!</v>
      </c>
      <c r="AA1" t="e">
        <f>AND('Lean Measure Data'!#REF!,"AAAAAF/35Ro=")</f>
        <v>#REF!</v>
      </c>
      <c r="AB1">
        <f>IF('Lean Measure Data'!7:7,"AAAAAF/35Rs=",0)</f>
        <v>0</v>
      </c>
      <c r="AC1" t="e">
        <f>AND('Lean Measure Data'!B7,"AAAAAF/35Rw=")</f>
        <v>#VALUE!</v>
      </c>
      <c r="AD1" t="e">
        <f>AND('Lean Measure Data'!C7,"AAAAAF/35R0=")</f>
        <v>#VALUE!</v>
      </c>
      <c r="AE1">
        <f>IF('Lean Measure Data'!8:8,"AAAAAF/35R4=",0)</f>
        <v>0</v>
      </c>
      <c r="AF1" t="e">
        <f>AND('Lean Measure Data'!B8,"AAAAAF/35R8=")</f>
        <v>#VALUE!</v>
      </c>
      <c r="AG1" t="e">
        <f>AND('Lean Measure Data'!C8,"AAAAAF/35SA=")</f>
        <v>#VALUE!</v>
      </c>
      <c r="AH1">
        <f>IF('Lean Measure Data'!9:9,"AAAAAF/35SE=",0)</f>
        <v>0</v>
      </c>
      <c r="AI1" t="e">
        <f>AND('Lean Measure Data'!B9,"AAAAAF/35SI=")</f>
        <v>#VALUE!</v>
      </c>
      <c r="AJ1">
        <f>IF('Lean Measure Data'!10:10,"AAAAAF/35SM=",0)</f>
        <v>0</v>
      </c>
      <c r="AK1" t="e">
        <f>AND('Lean Measure Data'!B10,"AAAAAF/35SQ=")</f>
        <v>#VALUE!</v>
      </c>
      <c r="AL1">
        <f>IF('Lean Measure Data'!11:11,"AAAAAF/35SU=",0)</f>
        <v>0</v>
      </c>
      <c r="AM1" t="e">
        <f>AND('Lean Measure Data'!B11,"AAAAAF/35SY=")</f>
        <v>#VALUE!</v>
      </c>
      <c r="AN1">
        <f>IF('Lean Measure Data'!12:12,"AAAAAF/35Sc=",0)</f>
        <v>0</v>
      </c>
      <c r="AO1" t="e">
        <f>AND('Lean Measure Data'!B12,"AAAAAF/35Sg=")</f>
        <v>#VALUE!</v>
      </c>
      <c r="AP1">
        <f>IF('Lean Measure Data'!13:13,"AAAAAF/35Sk=",0)</f>
        <v>0</v>
      </c>
      <c r="AQ1" t="e">
        <f>AND('Lean Measure Data'!B13,"AAAAAF/35So=")</f>
        <v>#VALUE!</v>
      </c>
      <c r="AR1">
        <f>IF('Lean Measure Data'!14:14,"AAAAAF/35Ss=",0)</f>
        <v>0</v>
      </c>
      <c r="AS1" t="e">
        <f>AND('Lean Measure Data'!B14,"AAAAAF/35Sw=")</f>
        <v>#VALUE!</v>
      </c>
      <c r="AT1">
        <f>IF('Lean Measure Data'!15:15,"AAAAAF/35S0=",0)</f>
        <v>0</v>
      </c>
      <c r="AU1" t="e">
        <f>AND('Lean Measure Data'!B15,"AAAAAF/35S4=")</f>
        <v>#VALUE!</v>
      </c>
      <c r="AV1">
        <f>IF('Lean Measure Data'!16:16,"AAAAAF/35S8=",0)</f>
        <v>0</v>
      </c>
      <c r="AW1" t="e">
        <f>AND('Lean Measure Data'!B16,"AAAAAF/35TA=")</f>
        <v>#VALUE!</v>
      </c>
      <c r="AX1">
        <f>IF('Lean Measure Data'!17:17,"AAAAAF/35TE=",0)</f>
        <v>0</v>
      </c>
      <c r="AY1" t="e">
        <f>AND('Lean Measure Data'!B17,"AAAAAF/35TI=")</f>
        <v>#VALUE!</v>
      </c>
      <c r="AZ1">
        <f>IF('Lean Measure Data'!18:18,"AAAAAF/35TM=",0)</f>
        <v>0</v>
      </c>
      <c r="BA1" t="e">
        <f>AND('Lean Measure Data'!B18,"AAAAAF/35TQ=")</f>
        <v>#VALUE!</v>
      </c>
      <c r="BB1">
        <f>IF('Lean Measure Data'!19:19,"AAAAAF/35TU=",0)</f>
        <v>0</v>
      </c>
      <c r="BC1" t="e">
        <f>AND('Lean Measure Data'!B19,"AAAAAF/35TY=")</f>
        <v>#VALUE!</v>
      </c>
      <c r="BD1">
        <f>IF('Lean Measure Data'!20:20,"AAAAAF/35Tc=",0)</f>
        <v>0</v>
      </c>
      <c r="BE1" t="e">
        <f>AND('Lean Measure Data'!B20,"AAAAAF/35Tg=")</f>
        <v>#VALUE!</v>
      </c>
      <c r="BF1">
        <f>IF('Lean Measure Data'!21:21,"AAAAAF/35Tk=",0)</f>
        <v>0</v>
      </c>
      <c r="BG1" t="e">
        <f>AND('Lean Measure Data'!B21,"AAAAAF/35To=")</f>
        <v>#VALUE!</v>
      </c>
      <c r="BH1">
        <f>IF('Lean Measure Data'!22:22,"AAAAAF/35Ts=",0)</f>
        <v>0</v>
      </c>
      <c r="BI1" t="e">
        <f>AND('Lean Measure Data'!B22,"AAAAAF/35Tw=")</f>
        <v>#VALUE!</v>
      </c>
      <c r="BJ1">
        <f>IF('Lean Measure Data'!23:23,"AAAAAF/35T0=",0)</f>
        <v>0</v>
      </c>
      <c r="BK1" t="e">
        <f>AND('Lean Measure Data'!B23,"AAAAAF/35T4=")</f>
        <v>#VALUE!</v>
      </c>
      <c r="BL1">
        <f>IF('Lean Measure Data'!24:24,"AAAAAF/35T8=",0)</f>
        <v>0</v>
      </c>
      <c r="BM1" t="e">
        <f>AND('Lean Measure Data'!B24,"AAAAAF/35UA=")</f>
        <v>#VALUE!</v>
      </c>
      <c r="BN1">
        <f>IF('Lean Measure Data'!25:25,"AAAAAF/35UE=",0)</f>
        <v>0</v>
      </c>
      <c r="BO1" t="e">
        <f>AND('Lean Measure Data'!B25,"AAAAAF/35UI=")</f>
        <v>#VALUE!</v>
      </c>
      <c r="BP1">
        <f>IF('Lean Measure Data'!26:26,"AAAAAF/35UM=",0)</f>
        <v>0</v>
      </c>
      <c r="BQ1" t="e">
        <f>AND('Lean Measure Data'!B26,"AAAAAF/35UQ=")</f>
        <v>#VALUE!</v>
      </c>
      <c r="BR1">
        <f>IF('Lean Measure Data'!27:27,"AAAAAF/35UU=",0)</f>
        <v>0</v>
      </c>
      <c r="BS1" t="e">
        <f>AND('Lean Measure Data'!B27,"AAAAAF/35UY=")</f>
        <v>#VALUE!</v>
      </c>
      <c r="BT1">
        <f>IF('Lean Measure Data'!28:28,"AAAAAF/35Uc=",0)</f>
        <v>0</v>
      </c>
      <c r="BU1" t="e">
        <f>AND('Lean Measure Data'!B28,"AAAAAF/35Ug=")</f>
        <v>#VALUE!</v>
      </c>
      <c r="BV1">
        <f>IF('Lean Measure Data'!30:30,"AAAAAF/35Uk=",0)</f>
        <v>0</v>
      </c>
      <c r="BW1" t="e">
        <f>AND('Lean Measure Data'!B30,"AAAAAF/35Uo=")</f>
        <v>#VALUE!</v>
      </c>
      <c r="BX1">
        <f>IF('Lean Measure Data'!A:A,"AAAAAF/35Us=",0)</f>
        <v>0</v>
      </c>
      <c r="BY1" t="e">
        <f>IF('Lean Measure Data'!B:B,"AAAAAF/35Uw=",0)</f>
        <v>#VALUE!</v>
      </c>
      <c r="BZ1">
        <f>IF('Lean Measure Data'!C:C,"AAAAAF/35U0=",0)</f>
        <v>0</v>
      </c>
      <c r="CA1" t="e">
        <f>IF(Notes!#REF!,"AAAAAF/35U4=",0)</f>
        <v>#REF!</v>
      </c>
      <c r="CB1" t="e">
        <f>AND(Notes!#REF!,"AAAAAF/35U8=")</f>
        <v>#REF!</v>
      </c>
      <c r="CC1" t="e">
        <f>IF(Notes!#REF!,"AAAAAF/35VA=",0)</f>
        <v>#REF!</v>
      </c>
      <c r="CD1" t="e">
        <f>AND(Notes!#REF!,"AAAAAF/35VE=")</f>
        <v>#REF!</v>
      </c>
      <c r="CE1" t="e">
        <f>IF(Notes!#REF!,"AAAAAF/35VI=",0)</f>
        <v>#REF!</v>
      </c>
      <c r="CF1" t="e">
        <f>AND(Notes!#REF!,"AAAAAF/35VM=")</f>
        <v>#REF!</v>
      </c>
      <c r="CG1" t="e">
        <f>IF(Notes!#REF!,"AAAAAF/35VQ=",0)</f>
        <v>#REF!</v>
      </c>
      <c r="CH1" t="e">
        <f>AND(Notes!#REF!,"AAAAAF/35VU=")</f>
        <v>#REF!</v>
      </c>
      <c r="CI1" t="e">
        <f>IF(Notes!#REF!,"AAAAAF/35VY=",0)</f>
        <v>#REF!</v>
      </c>
      <c r="CJ1" t="e">
        <f>AND(Notes!#REF!,"AAAAAF/35Vc=")</f>
        <v>#REF!</v>
      </c>
      <c r="CK1" t="e">
        <f>IF(Notes!#REF!,"AAAAAF/35Vg=",0)</f>
        <v>#REF!</v>
      </c>
      <c r="CL1" t="e">
        <f>AND(Notes!#REF!,"AAAAAF/35Vk=")</f>
        <v>#REF!</v>
      </c>
      <c r="CM1" t="e">
        <f>IF(Notes!#REF!,"AAAAAF/35Vo=",0)</f>
        <v>#REF!</v>
      </c>
      <c r="CN1" t="e">
        <f>AND(Notes!#REF!,"AAAAAF/35Vs=")</f>
        <v>#REF!</v>
      </c>
      <c r="CO1" t="e">
        <f>IF(Notes!#REF!,"AAAAAF/35Vw=",0)</f>
        <v>#REF!</v>
      </c>
      <c r="CP1" t="e">
        <f>AND(Notes!#REF!,"AAAAAF/35V0=")</f>
        <v>#REF!</v>
      </c>
      <c r="CQ1" t="e">
        <f>IF(Notes!#REF!,"AAAAAF/35V4=",0)</f>
        <v>#REF!</v>
      </c>
      <c r="CR1" t="e">
        <f>AND(Notes!#REF!,"AAAAAF/35V8=")</f>
        <v>#REF!</v>
      </c>
      <c r="CS1" t="e">
        <f>IF(Notes!#REF!,"AAAAAF/35WA=",0)</f>
        <v>#REF!</v>
      </c>
      <c r="CT1" t="e">
        <f>AND(Notes!#REF!,"AAAAAF/35WE=")</f>
        <v>#REF!</v>
      </c>
      <c r="CU1" t="e">
        <f>IF(Notes!#REF!,"AAAAAF/35WI=",0)</f>
        <v>#REF!</v>
      </c>
      <c r="CV1" t="e">
        <f>AND(Notes!#REF!,"AAAAAF/35WM=")</f>
        <v>#REF!</v>
      </c>
      <c r="CW1">
        <f>IF(Notes!1:1,"AAAAAF/35WQ=",0)</f>
        <v>0</v>
      </c>
      <c r="CX1" t="e">
        <f>AND(Notes!B1,"AAAAAF/35WU=")</f>
        <v>#VALUE!</v>
      </c>
      <c r="CY1">
        <f>IF(Notes!2:2,"AAAAAF/35WY=",0)</f>
        <v>0</v>
      </c>
      <c r="CZ1" t="e">
        <f>AND(Notes!B2,"AAAAAF/35Wc=")</f>
        <v>#VALUE!</v>
      </c>
      <c r="DA1">
        <f>IF(Notes!3:3,"AAAAAF/35Wg=",0)</f>
        <v>0</v>
      </c>
      <c r="DB1" t="e">
        <f>AND(Notes!B3,"AAAAAF/35Wk=")</f>
        <v>#VALUE!</v>
      </c>
      <c r="DC1">
        <f>IF(Notes!4:4,"AAAAAF/35Wo=",0)</f>
        <v>0</v>
      </c>
      <c r="DD1" t="e">
        <f>AND(Notes!B4,"AAAAAF/35Ws=")</f>
        <v>#VALUE!</v>
      </c>
      <c r="DE1">
        <f>IF(Notes!5:5,"AAAAAF/35Ww=",0)</f>
        <v>0</v>
      </c>
      <c r="DF1" t="e">
        <f>AND(Notes!B5,"AAAAAF/35W0=")</f>
        <v>#VALUE!</v>
      </c>
      <c r="DG1">
        <f>IF(Notes!6:6,"AAAAAF/35W4=",0)</f>
        <v>0</v>
      </c>
      <c r="DH1" t="e">
        <f>AND(Notes!B6,"AAAAAF/35W8=")</f>
        <v>#VALUE!</v>
      </c>
      <c r="DI1">
        <f>IF(Notes!7:7,"AAAAAF/35XA=",0)</f>
        <v>0</v>
      </c>
      <c r="DJ1" t="e">
        <f>AND(Notes!B7,"AAAAAF/35XE=")</f>
        <v>#VALUE!</v>
      </c>
      <c r="DK1">
        <f>IF(Notes!8:8,"AAAAAF/35XI=",0)</f>
        <v>0</v>
      </c>
      <c r="DL1" t="e">
        <f>AND(Notes!B8,"AAAAAF/35XM=")</f>
        <v>#VALUE!</v>
      </c>
      <c r="DM1">
        <f>IF(Notes!9:9,"AAAAAF/35XQ=",0)</f>
        <v>0</v>
      </c>
      <c r="DN1" t="e">
        <f>AND(Notes!B9,"AAAAAF/35XU=")</f>
        <v>#VALUE!</v>
      </c>
      <c r="DO1">
        <f>IF(Notes!10:10,"AAAAAF/35XY=",0)</f>
        <v>0</v>
      </c>
      <c r="DP1" t="e">
        <f>AND(Notes!B10,"AAAAAF/35Xc=")</f>
        <v>#VALUE!</v>
      </c>
      <c r="DQ1">
        <f>IF(Notes!11:11,"AAAAAF/35Xg=",0)</f>
        <v>0</v>
      </c>
      <c r="DR1" t="e">
        <f>AND(Notes!B11,"AAAAAF/35Xk=")</f>
        <v>#VALUE!</v>
      </c>
      <c r="DS1">
        <f>IF(Notes!12:12,"AAAAAF/35Xo=",0)</f>
        <v>0</v>
      </c>
      <c r="DT1" t="e">
        <f>AND(Notes!B12,"AAAAAF/35Xs=")</f>
        <v>#VALUE!</v>
      </c>
      <c r="DU1">
        <f>IF(Notes!13:13,"AAAAAF/35Xw=",0)</f>
        <v>0</v>
      </c>
      <c r="DV1" t="e">
        <f>AND(Notes!B13,"AAAAAF/35X0=")</f>
        <v>#VALUE!</v>
      </c>
      <c r="DW1">
        <f>IF(Notes!14:14,"AAAAAF/35X4=",0)</f>
        <v>0</v>
      </c>
      <c r="DX1" t="e">
        <f>AND(Notes!B14,"AAAAAF/35X8=")</f>
        <v>#VALUE!</v>
      </c>
      <c r="DY1">
        <f>IF(Notes!15:15,"AAAAAF/35YA=",0)</f>
        <v>0</v>
      </c>
      <c r="DZ1" t="e">
        <f>AND(Notes!B15,"AAAAAF/35YE=")</f>
        <v>#VALUE!</v>
      </c>
      <c r="EA1">
        <f>IF(Notes!16:16,"AAAAAF/35YI=",0)</f>
        <v>0</v>
      </c>
      <c r="EB1" t="e">
        <f>AND(Notes!B16,"AAAAAF/35YM=")</f>
        <v>#VALUE!</v>
      </c>
      <c r="EC1">
        <f>IF(Notes!A:A,"AAAAAF/35YQ=",0)</f>
        <v>0</v>
      </c>
      <c r="ED1" t="e">
        <f>IF(Notes!B:B,"AAAAAF/35YU=",0)</f>
        <v>#VALUE!</v>
      </c>
      <c r="EE1" t="e">
        <f>IF(#REF!,"AAAAAF/35YY=",0)</f>
        <v>#REF!</v>
      </c>
      <c r="EF1" t="e">
        <f>AND(#REF!,"AAAAAF/35Yc=")</f>
        <v>#REF!</v>
      </c>
      <c r="EG1" t="e">
        <f>IF(#REF!,"AAAAAF/35Yg=",0)</f>
        <v>#REF!</v>
      </c>
      <c r="EH1" t="e">
        <f>IF(#REF!,"AAAAAF/35Yk=",0)</f>
        <v>#REF!</v>
      </c>
      <c r="EI1" t="e">
        <f>AND(#REF!,"AAAAAF/35Yo=")</f>
        <v>#REF!</v>
      </c>
      <c r="EJ1" t="e">
        <f>IF(#REF!,"AAAAAF/35Ys=",0)</f>
        <v>#REF!</v>
      </c>
      <c r="EK1" t="s">
        <v>8</v>
      </c>
    </row>
    <row r="2" spans="1:256" x14ac:dyDescent="0.3">
      <c r="A2">
        <f>IF('Lean Measure Data'!31:31,"AAAAAFN//gA=",0)</f>
        <v>0</v>
      </c>
      <c r="B2" t="e">
        <f>AND('Lean Measure Data'!B31,"AAAAAFN//gE=")</f>
        <v>#VALUE!</v>
      </c>
      <c r="C2" t="str">
        <f>IF('Lean Measure Data'!32:32,"AAAAAFN//gI=",0)</f>
        <v>AAAAAFN//gI=</v>
      </c>
      <c r="D2" t="e">
        <f>AND('Lean Measure Data'!B32,"AAAAAFN//gM=")</f>
        <v>#VALUE!</v>
      </c>
      <c r="E2" t="str">
        <f>IF('Lean Measure Data'!33:33,"AAAAAFN//gQ=",0)</f>
        <v>AAAAAFN//gQ=</v>
      </c>
      <c r="F2" t="e">
        <f>AND('Lean Measure Data'!B33,"AAAAAFN//gU=")</f>
        <v>#VALUE!</v>
      </c>
      <c r="G2" t="str">
        <f>IF('Lean Measure Data'!34:34,"AAAAAFN//gY=",0)</f>
        <v>AAAAAFN//gY=</v>
      </c>
      <c r="H2" t="e">
        <f>AND('Lean Measure Data'!B34,"AAAAAFN//gc=")</f>
        <v>#VALUE!</v>
      </c>
      <c r="I2" t="str">
        <f>IF('Lean Measure Data'!35:35,"AAAAAFN//gg=",0)</f>
        <v>AAAAAFN//gg=</v>
      </c>
      <c r="J2" t="e">
        <f>AND('Lean Measure Data'!B35,"AAAAAFN//gk=")</f>
        <v>#VALUE!</v>
      </c>
      <c r="K2" t="str">
        <f>IF('Lean Measure Data'!36:36,"AAAAAFN//go=",0)</f>
        <v>AAAAAFN//go=</v>
      </c>
      <c r="L2" t="e">
        <f>AND('Lean Measure Data'!B36,"AAAAAFN//gs=")</f>
        <v>#VALUE!</v>
      </c>
    </row>
    <row r="3" spans="1:256" x14ac:dyDescent="0.3">
      <c r="A3" t="e">
        <f>AND('Lean Measure Data'!C9,"AAAAAE9r5QA=")</f>
        <v>#VALUE!</v>
      </c>
      <c r="B3" t="e">
        <f>AND('Lean Measure Data'!C10,"AAAAAE9r5QE=")</f>
        <v>#VALUE!</v>
      </c>
      <c r="C3" t="e">
        <f>AND('Lean Measure Data'!C11,"AAAAAE9r5QI=")</f>
        <v>#VALUE!</v>
      </c>
      <c r="D3" t="e">
        <f>AND('Lean Measure Data'!C12,"AAAAAE9r5QM=")</f>
        <v>#VALUE!</v>
      </c>
      <c r="E3" t="e">
        <f>AND('Lean Measure Data'!C13,"AAAAAE9r5QQ=")</f>
        <v>#VALUE!</v>
      </c>
      <c r="F3" t="e">
        <f>AND('Lean Measure Data'!C14,"AAAAAE9r5QU=")</f>
        <v>#VALUE!</v>
      </c>
      <c r="G3" t="e">
        <f>AND('Lean Measure Data'!C15,"AAAAAE9r5QY=")</f>
        <v>#VALUE!</v>
      </c>
      <c r="H3" t="e">
        <f>AND('Lean Measure Data'!C16,"AAAAAE9r5Qc=")</f>
        <v>#VALUE!</v>
      </c>
      <c r="I3" t="e">
        <f>AND('Lean Measure Data'!C17,"AAAAAE9r5Qg=")</f>
        <v>#VALUE!</v>
      </c>
      <c r="J3" t="e">
        <f>AND('Lean Measure Data'!C18,"AAAAAE9r5Qk=")</f>
        <v>#VALUE!</v>
      </c>
      <c r="K3" t="e">
        <f>AND('Lean Measure Data'!C19,"AAAAAE9r5Qo=")</f>
        <v>#VALUE!</v>
      </c>
      <c r="L3" t="e">
        <f>AND('Lean Measure Data'!C20,"AAAAAE9r5Qs=")</f>
        <v>#VALUE!</v>
      </c>
      <c r="M3" t="e">
        <f>AND('Lean Measure Data'!C21,"AAAAAE9r5Qw=")</f>
        <v>#VALUE!</v>
      </c>
      <c r="N3" t="e">
        <f>AND('Lean Measure Data'!C22,"AAAAAE9r5Q0=")</f>
        <v>#VALUE!</v>
      </c>
      <c r="O3" t="e">
        <f>AND('Lean Measure Data'!C23,"AAAAAE9r5Q4=")</f>
        <v>#VALUE!</v>
      </c>
      <c r="P3" t="e">
        <f>AND('Lean Measure Data'!C24,"AAAAAE9r5Q8=")</f>
        <v>#VALUE!</v>
      </c>
      <c r="Q3" t="e">
        <f>AND('Lean Measure Data'!C25,"AAAAAE9r5RA=")</f>
        <v>#VALUE!</v>
      </c>
      <c r="R3" t="e">
        <f>AND('Lean Measure Data'!C26,"AAAAAE9r5RE=")</f>
        <v>#VALUE!</v>
      </c>
      <c r="S3" t="e">
        <f>AND('Lean Measure Data'!C27,"AAAAAE9r5RI=")</f>
        <v>#VALUE!</v>
      </c>
    </row>
    <row r="4" spans="1:256" x14ac:dyDescent="0.3">
      <c r="A4" t="e">
        <f>AND('Lean Measure Data'!D1,"AAAAAGp4dwA=")</f>
        <v>#VALUE!</v>
      </c>
      <c r="B4" t="e">
        <f>AND('Lean Measure Data'!E1,"AAAAAGp4dwE=")</f>
        <v>#VALUE!</v>
      </c>
      <c r="C4" t="e">
        <f>AND('Lean Measure Data'!F1,"AAAAAGp4dwI=")</f>
        <v>#VALUE!</v>
      </c>
      <c r="D4" t="e">
        <f>AND('Lean Measure Data'!G1,"AAAAAGp4dwM=")</f>
        <v>#VALUE!</v>
      </c>
      <c r="E4" t="e">
        <f>AND('Lean Measure Data'!H1,"AAAAAGp4dwQ=")</f>
        <v>#VALUE!</v>
      </c>
      <c r="F4" t="e">
        <f>AND('Lean Measure Data'!I1,"AAAAAGp4dwU=")</f>
        <v>#VALUE!</v>
      </c>
      <c r="G4" t="e">
        <f>AND('Lean Measure Data'!J1,"AAAAAGp4dwY=")</f>
        <v>#VALUE!</v>
      </c>
      <c r="H4" t="e">
        <f>AND('Lean Measure Data'!K1,"AAAAAGp4dwc=")</f>
        <v>#VALUE!</v>
      </c>
      <c r="I4" t="e">
        <f>AND('Lean Measure Data'!L1,"AAAAAGp4dwg=")</f>
        <v>#VALUE!</v>
      </c>
      <c r="J4" t="e">
        <f>AND('Lean Measure Data'!M1,"AAAAAGp4dwk=")</f>
        <v>#VALUE!</v>
      </c>
      <c r="K4" t="e">
        <f>AND('Lean Measure Data'!N1,"AAAAAGp4dwo=")</f>
        <v>#VALUE!</v>
      </c>
      <c r="L4" t="e">
        <f>AND('Lean Measure Data'!D2,"AAAAAGp4dws=")</f>
        <v>#VALUE!</v>
      </c>
      <c r="M4" t="e">
        <f>AND('Lean Measure Data'!E2,"AAAAAGp4dww=")</f>
        <v>#VALUE!</v>
      </c>
      <c r="N4" t="e">
        <f>AND('Lean Measure Data'!F2,"AAAAAGp4dw0=")</f>
        <v>#VALUE!</v>
      </c>
      <c r="O4" t="e">
        <f>AND('Lean Measure Data'!G2,"AAAAAGp4dw4=")</f>
        <v>#VALUE!</v>
      </c>
      <c r="P4" t="e">
        <f>AND('Lean Measure Data'!H2,"AAAAAGp4dw8=")</f>
        <v>#VALUE!</v>
      </c>
      <c r="Q4" t="e">
        <f>AND('Lean Measure Data'!I2,"AAAAAGp4dxA=")</f>
        <v>#VALUE!</v>
      </c>
      <c r="R4" t="e">
        <f>AND('Lean Measure Data'!J2,"AAAAAGp4dxE=")</f>
        <v>#VALUE!</v>
      </c>
      <c r="S4" t="e">
        <f>AND('Lean Measure Data'!K2,"AAAAAGp4dxI=")</f>
        <v>#VALUE!</v>
      </c>
      <c r="T4" t="e">
        <f>AND('Lean Measure Data'!L2,"AAAAAGp4dxM=")</f>
        <v>#VALUE!</v>
      </c>
      <c r="U4" t="e">
        <f>AND('Lean Measure Data'!M2,"AAAAAGp4dxQ=")</f>
        <v>#VALUE!</v>
      </c>
      <c r="V4" t="e">
        <f>AND('Lean Measure Data'!N2,"AAAAAGp4dxU=")</f>
        <v>#VALUE!</v>
      </c>
      <c r="W4" t="e">
        <f>AND('Lean Measure Data'!D3,"AAAAAGp4dxY=")</f>
        <v>#VALUE!</v>
      </c>
      <c r="X4" t="e">
        <f>AND('Lean Measure Data'!E3,"AAAAAGp4dxc=")</f>
        <v>#VALUE!</v>
      </c>
      <c r="Y4" t="e">
        <f>AND('Lean Measure Data'!F3,"AAAAAGp4dxg=")</f>
        <v>#VALUE!</v>
      </c>
      <c r="Z4" t="e">
        <f>AND('Lean Measure Data'!G3,"AAAAAGp4dxk=")</f>
        <v>#VALUE!</v>
      </c>
      <c r="AA4" t="e">
        <f>AND('Lean Measure Data'!H3,"AAAAAGp4dxo=")</f>
        <v>#VALUE!</v>
      </c>
      <c r="AB4" t="e">
        <f>AND('Lean Measure Data'!I3,"AAAAAGp4dxs=")</f>
        <v>#VALUE!</v>
      </c>
      <c r="AC4" t="e">
        <f>AND('Lean Measure Data'!J3,"AAAAAGp4dxw=")</f>
        <v>#VALUE!</v>
      </c>
      <c r="AD4" t="e">
        <f>AND('Lean Measure Data'!K3,"AAAAAGp4dx0=")</f>
        <v>#VALUE!</v>
      </c>
      <c r="AE4" t="e">
        <f>AND('Lean Measure Data'!L3,"AAAAAGp4dx4=")</f>
        <v>#VALUE!</v>
      </c>
      <c r="AF4" t="e">
        <f>AND('Lean Measure Data'!M3,"AAAAAGp4dx8=")</f>
        <v>#VALUE!</v>
      </c>
      <c r="AG4" t="e">
        <f>AND('Lean Measure Data'!N3,"AAAAAGp4dyA=")</f>
        <v>#VALUE!</v>
      </c>
      <c r="AH4" t="e">
        <f>AND('Lean Measure Data'!D4,"AAAAAGp4dyE=")</f>
        <v>#VALUE!</v>
      </c>
      <c r="AI4" t="e">
        <f>AND('Lean Measure Data'!E5,"AAAAAGp4dyI=")</f>
        <v>#VALUE!</v>
      </c>
      <c r="AJ4" t="e">
        <f>AND('Lean Measure Data'!F5,"AAAAAGp4dyM=")</f>
        <v>#VALUE!</v>
      </c>
      <c r="AK4" t="e">
        <f>AND('Lean Measure Data'!G4,"AAAAAGp4dyQ=")</f>
        <v>#VALUE!</v>
      </c>
      <c r="AL4" t="e">
        <f>AND('Lean Measure Data'!H4,"AAAAAGp4dyU=")</f>
        <v>#VALUE!</v>
      </c>
      <c r="AM4" t="e">
        <f>AND('Lean Measure Data'!I4,"AAAAAGp4dyY=")</f>
        <v>#VALUE!</v>
      </c>
      <c r="AN4" t="e">
        <f>AND('Lean Measure Data'!J4,"AAAAAGp4dyc=")</f>
        <v>#VALUE!</v>
      </c>
      <c r="AO4" t="e">
        <f>AND('Lean Measure Data'!K4,"AAAAAGp4dyg=")</f>
        <v>#VALUE!</v>
      </c>
      <c r="AP4" t="e">
        <f>AND('Lean Measure Data'!L4,"AAAAAGp4dyk=")</f>
        <v>#VALUE!</v>
      </c>
      <c r="AQ4" t="e">
        <f>AND('Lean Measure Data'!M4,"AAAAAGp4dyo=")</f>
        <v>#VALUE!</v>
      </c>
      <c r="AR4" t="e">
        <f>AND('Lean Measure Data'!N4,"AAAAAGp4dys=")</f>
        <v>#VALUE!</v>
      </c>
      <c r="AS4" t="e">
        <f>AND('Lean Measure Data'!D5,"AAAAAGp4dyw=")</f>
        <v>#VALUE!</v>
      </c>
      <c r="AT4" t="e">
        <f>AND('Lean Measure Data'!#REF!,"AAAAAGp4dy0=")</f>
        <v>#REF!</v>
      </c>
      <c r="AU4" t="e">
        <f>AND('Lean Measure Data'!#REF!,"AAAAAGp4dy4=")</f>
        <v>#REF!</v>
      </c>
      <c r="AV4" t="e">
        <f>AND('Lean Measure Data'!G5,"AAAAAGp4dy8=")</f>
        <v>#VALUE!</v>
      </c>
      <c r="AW4" t="e">
        <f>AND('Lean Measure Data'!H5,"AAAAAGp4dzA=")</f>
        <v>#VALUE!</v>
      </c>
      <c r="AX4" t="e">
        <f>AND('Lean Measure Data'!I5,"AAAAAGp4dzE=")</f>
        <v>#VALUE!</v>
      </c>
      <c r="AY4" t="e">
        <f>AND('Lean Measure Data'!J5,"AAAAAGp4dzI=")</f>
        <v>#VALUE!</v>
      </c>
      <c r="AZ4" t="e">
        <f>AND('Lean Measure Data'!K5,"AAAAAGp4dzM=")</f>
        <v>#VALUE!</v>
      </c>
      <c r="BA4" t="e">
        <f>AND('Lean Measure Data'!L5,"AAAAAGp4dzQ=")</f>
        <v>#VALUE!</v>
      </c>
      <c r="BB4" t="e">
        <f>AND('Lean Measure Data'!M5,"AAAAAGp4dzU=")</f>
        <v>#VALUE!</v>
      </c>
      <c r="BC4" t="e">
        <f>AND('Lean Measure Data'!N5,"AAAAAGp4dzY=")</f>
        <v>#VALUE!</v>
      </c>
      <c r="BD4" t="e">
        <f>AND('Lean Measure Data'!D6,"AAAAAGp4dzc=")</f>
        <v>#VALUE!</v>
      </c>
      <c r="BE4" t="e">
        <f>AND('Lean Measure Data'!E6,"AAAAAGp4dzg=")</f>
        <v>#VALUE!</v>
      </c>
      <c r="BF4" t="e">
        <f>AND('Lean Measure Data'!F6,"AAAAAGp4dzk=")</f>
        <v>#VALUE!</v>
      </c>
      <c r="BG4" t="e">
        <f>AND('Lean Measure Data'!G6,"AAAAAGp4dzo=")</f>
        <v>#VALUE!</v>
      </c>
      <c r="BH4" t="e">
        <f>AND('Lean Measure Data'!H6,"AAAAAGp4dzs=")</f>
        <v>#VALUE!</v>
      </c>
      <c r="BI4" t="e">
        <f>AND('Lean Measure Data'!I6,"AAAAAGp4dzw=")</f>
        <v>#VALUE!</v>
      </c>
      <c r="BJ4" t="e">
        <f>AND('Lean Measure Data'!J6,"AAAAAGp4dz0=")</f>
        <v>#VALUE!</v>
      </c>
      <c r="BK4" t="e">
        <f>AND('Lean Measure Data'!K6,"AAAAAGp4dz4=")</f>
        <v>#VALUE!</v>
      </c>
      <c r="BL4" t="e">
        <f>AND('Lean Measure Data'!L6,"AAAAAGp4dz8=")</f>
        <v>#VALUE!</v>
      </c>
      <c r="BM4" t="e">
        <f>AND('Lean Measure Data'!M6,"AAAAAGp4d0A=")</f>
        <v>#VALUE!</v>
      </c>
      <c r="BN4" t="e">
        <f>AND('Lean Measure Data'!N6,"AAAAAGp4d0E=")</f>
        <v>#VALUE!</v>
      </c>
      <c r="BO4" t="e">
        <f>AND('Lean Measure Data'!#REF!,"AAAAAGp4d0I=")</f>
        <v>#REF!</v>
      </c>
      <c r="BP4" t="e">
        <f>AND('Lean Measure Data'!#REF!,"AAAAAGp4d0M=")</f>
        <v>#REF!</v>
      </c>
      <c r="BQ4" t="e">
        <f>AND('Lean Measure Data'!#REF!,"AAAAAGp4d0Q=")</f>
        <v>#REF!</v>
      </c>
      <c r="BR4" t="e">
        <f>AND('Lean Measure Data'!#REF!,"AAAAAGp4d0U=")</f>
        <v>#REF!</v>
      </c>
      <c r="BS4" t="e">
        <f>AND('Lean Measure Data'!#REF!,"AAAAAGp4d0Y=")</f>
        <v>#REF!</v>
      </c>
      <c r="BT4" t="e">
        <f>AND('Lean Measure Data'!#REF!,"AAAAAGp4d0c=")</f>
        <v>#REF!</v>
      </c>
      <c r="BU4" t="e">
        <f>AND('Lean Measure Data'!#REF!,"AAAAAGp4d0g=")</f>
        <v>#REF!</v>
      </c>
      <c r="BV4" t="e">
        <f>AND('Lean Measure Data'!#REF!,"AAAAAGp4d0k=")</f>
        <v>#REF!</v>
      </c>
      <c r="BW4" t="e">
        <f>AND('Lean Measure Data'!#REF!,"AAAAAGp4d0o=")</f>
        <v>#REF!</v>
      </c>
      <c r="BX4" t="e">
        <f>AND('Lean Measure Data'!#REF!,"AAAAAGp4d0s=")</f>
        <v>#REF!</v>
      </c>
      <c r="BY4" t="e">
        <f>AND('Lean Measure Data'!#REF!,"AAAAAGp4d0w=")</f>
        <v>#REF!</v>
      </c>
      <c r="BZ4" t="e">
        <f>AND('Lean Measure Data'!#REF!,"AAAAAGp4d00=")</f>
        <v>#REF!</v>
      </c>
      <c r="CA4" t="e">
        <f>AND('Lean Measure Data'!#REF!,"AAAAAGp4d04=")</f>
        <v>#REF!</v>
      </c>
      <c r="CB4" t="e">
        <f>AND('Lean Measure Data'!#REF!,"AAAAAGp4d08=")</f>
        <v>#REF!</v>
      </c>
      <c r="CC4" t="e">
        <f>AND('Lean Measure Data'!#REF!,"AAAAAGp4d1A=")</f>
        <v>#REF!</v>
      </c>
      <c r="CD4" t="e">
        <f>AND('Lean Measure Data'!#REF!,"AAAAAGp4d1E=")</f>
        <v>#REF!</v>
      </c>
      <c r="CE4" t="e">
        <f>AND('Lean Measure Data'!#REF!,"AAAAAGp4d1I=")</f>
        <v>#REF!</v>
      </c>
      <c r="CF4" t="e">
        <f>AND('Lean Measure Data'!#REF!,"AAAAAGp4d1M=")</f>
        <v>#REF!</v>
      </c>
      <c r="CG4" t="e">
        <f>AND('Lean Measure Data'!#REF!,"AAAAAGp4d1Q=")</f>
        <v>#REF!</v>
      </c>
      <c r="CH4" t="e">
        <f>AND('Lean Measure Data'!#REF!,"AAAAAGp4d1U=")</f>
        <v>#REF!</v>
      </c>
      <c r="CI4" t="e">
        <f>AND('Lean Measure Data'!#REF!,"AAAAAGp4d1Y=")</f>
        <v>#REF!</v>
      </c>
      <c r="CJ4" t="e">
        <f>AND('Lean Measure Data'!#REF!,"AAAAAGp4d1c=")</f>
        <v>#REF!</v>
      </c>
      <c r="CK4" t="e">
        <f>AND('Lean Measure Data'!#REF!,"AAAAAGp4d1g=")</f>
        <v>#REF!</v>
      </c>
      <c r="CL4" t="e">
        <f>AND('Lean Measure Data'!#REF!,"AAAAAGp4d1k=")</f>
        <v>#REF!</v>
      </c>
      <c r="CM4" t="e">
        <f>AND('Lean Measure Data'!#REF!,"AAAAAGp4d1o=")</f>
        <v>#REF!</v>
      </c>
      <c r="CN4" t="e">
        <f>AND('Lean Measure Data'!#REF!,"AAAAAGp4d1s=")</f>
        <v>#REF!</v>
      </c>
      <c r="CO4" t="e">
        <f>AND('Lean Measure Data'!#REF!,"AAAAAGp4d1w=")</f>
        <v>#REF!</v>
      </c>
      <c r="CP4" t="e">
        <f>AND('Lean Measure Data'!#REF!,"AAAAAGp4d10=")</f>
        <v>#REF!</v>
      </c>
      <c r="CQ4" t="e">
        <f>AND('Lean Measure Data'!#REF!,"AAAAAGp4d14=")</f>
        <v>#REF!</v>
      </c>
      <c r="CR4" t="e">
        <f>AND('Lean Measure Data'!#REF!,"AAAAAGp4d18=")</f>
        <v>#REF!</v>
      </c>
      <c r="CS4" t="e">
        <f>AND('Lean Measure Data'!#REF!,"AAAAAGp4d2A=")</f>
        <v>#REF!</v>
      </c>
      <c r="CT4" t="e">
        <f>AND('Lean Measure Data'!#REF!,"AAAAAGp4d2E=")</f>
        <v>#REF!</v>
      </c>
      <c r="CU4" t="e">
        <f>AND('Lean Measure Data'!#REF!,"AAAAAGp4d2I=")</f>
        <v>#REF!</v>
      </c>
      <c r="CV4" t="e">
        <f>AND('Lean Measure Data'!D7,"AAAAAGp4d2M=")</f>
        <v>#VALUE!</v>
      </c>
      <c r="CW4" t="e">
        <f>AND('Lean Measure Data'!E7,"AAAAAGp4d2Q=")</f>
        <v>#VALUE!</v>
      </c>
      <c r="CX4" t="e">
        <f>AND('Lean Measure Data'!F7,"AAAAAGp4d2U=")</f>
        <v>#VALUE!</v>
      </c>
      <c r="CY4" t="e">
        <f>AND('Lean Measure Data'!G7,"AAAAAGp4d2Y=")</f>
        <v>#VALUE!</v>
      </c>
      <c r="CZ4" t="e">
        <f>AND('Lean Measure Data'!H7,"AAAAAGp4d2c=")</f>
        <v>#VALUE!</v>
      </c>
      <c r="DA4" t="e">
        <f>AND('Lean Measure Data'!I7,"AAAAAGp4d2g=")</f>
        <v>#VALUE!</v>
      </c>
      <c r="DB4" t="e">
        <f>AND('Lean Measure Data'!J7,"AAAAAGp4d2k=")</f>
        <v>#VALUE!</v>
      </c>
      <c r="DC4" t="e">
        <f>AND('Lean Measure Data'!K7,"AAAAAGp4d2o=")</f>
        <v>#VALUE!</v>
      </c>
      <c r="DD4" t="e">
        <f>AND('Lean Measure Data'!L7,"AAAAAGp4d2s=")</f>
        <v>#VALUE!</v>
      </c>
      <c r="DE4" t="e">
        <f>AND('Lean Measure Data'!M7,"AAAAAGp4d2w=")</f>
        <v>#VALUE!</v>
      </c>
      <c r="DF4" t="e">
        <f>AND('Lean Measure Data'!N7,"AAAAAGp4d20=")</f>
        <v>#VALUE!</v>
      </c>
      <c r="DG4" t="e">
        <f>AND('Lean Measure Data'!D8,"AAAAAGp4d24=")</f>
        <v>#VALUE!</v>
      </c>
      <c r="DH4" t="e">
        <f>AND('Lean Measure Data'!E8,"AAAAAGp4d28=")</f>
        <v>#VALUE!</v>
      </c>
      <c r="DI4" t="e">
        <f>AND('Lean Measure Data'!F8,"AAAAAGp4d3A=")</f>
        <v>#VALUE!</v>
      </c>
      <c r="DJ4" t="e">
        <f>AND('Lean Measure Data'!G8,"AAAAAGp4d3E=")</f>
        <v>#VALUE!</v>
      </c>
      <c r="DK4" t="e">
        <f>AND('Lean Measure Data'!H8,"AAAAAGp4d3I=")</f>
        <v>#VALUE!</v>
      </c>
      <c r="DL4" t="e">
        <f>AND('Lean Measure Data'!I8,"AAAAAGp4d3M=")</f>
        <v>#VALUE!</v>
      </c>
      <c r="DM4" t="e">
        <f>AND('Lean Measure Data'!J8,"AAAAAGp4d3Q=")</f>
        <v>#VALUE!</v>
      </c>
      <c r="DN4" t="e">
        <f>AND('Lean Measure Data'!K8,"AAAAAGp4d3U=")</f>
        <v>#VALUE!</v>
      </c>
      <c r="DO4" t="e">
        <f>AND('Lean Measure Data'!L8,"AAAAAGp4d3Y=")</f>
        <v>#VALUE!</v>
      </c>
      <c r="DP4" t="e">
        <f>AND('Lean Measure Data'!M8,"AAAAAGp4d3c=")</f>
        <v>#VALUE!</v>
      </c>
      <c r="DQ4" t="e">
        <f>AND('Lean Measure Data'!N8,"AAAAAGp4d3g=")</f>
        <v>#VALUE!</v>
      </c>
      <c r="DR4" t="e">
        <f>AND('Lean Measure Data'!D9,"AAAAAGp4d3k=")</f>
        <v>#VALUE!</v>
      </c>
      <c r="DS4" t="e">
        <f>AND('Lean Measure Data'!E9,"AAAAAGp4d3o=")</f>
        <v>#VALUE!</v>
      </c>
      <c r="DT4" t="e">
        <f>AND('Lean Measure Data'!F9,"AAAAAGp4d3s=")</f>
        <v>#VALUE!</v>
      </c>
      <c r="DU4" t="e">
        <f>AND('Lean Measure Data'!G9,"AAAAAGp4d3w=")</f>
        <v>#VALUE!</v>
      </c>
      <c r="DV4" t="e">
        <f>AND('Lean Measure Data'!H9,"AAAAAGp4d30=")</f>
        <v>#VALUE!</v>
      </c>
      <c r="DW4" t="e">
        <f>AND('Lean Measure Data'!I9,"AAAAAGp4d34=")</f>
        <v>#VALUE!</v>
      </c>
      <c r="DX4" t="e">
        <f>AND('Lean Measure Data'!J9,"AAAAAGp4d38=")</f>
        <v>#VALUE!</v>
      </c>
      <c r="DY4" t="e">
        <f>AND('Lean Measure Data'!K9,"AAAAAGp4d4A=")</f>
        <v>#VALUE!</v>
      </c>
      <c r="DZ4" t="e">
        <f>AND('Lean Measure Data'!L9,"AAAAAGp4d4E=")</f>
        <v>#VALUE!</v>
      </c>
      <c r="EA4" t="e">
        <f>AND('Lean Measure Data'!M9,"AAAAAGp4d4I=")</f>
        <v>#VALUE!</v>
      </c>
      <c r="EB4" t="e">
        <f>AND('Lean Measure Data'!N9,"AAAAAGp4d4M=")</f>
        <v>#VALUE!</v>
      </c>
      <c r="EC4" t="e">
        <f>AND('Lean Measure Data'!D10,"AAAAAGp4d4Q=")</f>
        <v>#VALUE!</v>
      </c>
      <c r="ED4" t="e">
        <f>AND('Lean Measure Data'!E10,"AAAAAGp4d4U=")</f>
        <v>#VALUE!</v>
      </c>
      <c r="EE4" t="e">
        <f>AND('Lean Measure Data'!F10,"AAAAAGp4d4Y=")</f>
        <v>#VALUE!</v>
      </c>
      <c r="EF4" t="e">
        <f>AND('Lean Measure Data'!G10,"AAAAAGp4d4c=")</f>
        <v>#VALUE!</v>
      </c>
      <c r="EG4" t="e">
        <f>AND('Lean Measure Data'!H10,"AAAAAGp4d4g=")</f>
        <v>#VALUE!</v>
      </c>
      <c r="EH4" t="e">
        <f>AND('Lean Measure Data'!I10,"AAAAAGp4d4k=")</f>
        <v>#VALUE!</v>
      </c>
      <c r="EI4" t="e">
        <f>AND('Lean Measure Data'!J10,"AAAAAGp4d4o=")</f>
        <v>#VALUE!</v>
      </c>
      <c r="EJ4" t="e">
        <f>AND('Lean Measure Data'!K10,"AAAAAGp4d4s=")</f>
        <v>#VALUE!</v>
      </c>
      <c r="EK4" t="e">
        <f>AND('Lean Measure Data'!L10,"AAAAAGp4d4w=")</f>
        <v>#VALUE!</v>
      </c>
      <c r="EL4" t="e">
        <f>AND('Lean Measure Data'!M10,"AAAAAGp4d40=")</f>
        <v>#VALUE!</v>
      </c>
      <c r="EM4" t="e">
        <f>AND('Lean Measure Data'!N10,"AAAAAGp4d44=")</f>
        <v>#VALUE!</v>
      </c>
      <c r="EN4" t="e">
        <f>AND('Lean Measure Data'!D11,"AAAAAGp4d48=")</f>
        <v>#VALUE!</v>
      </c>
      <c r="EO4" t="e">
        <f>AND('Lean Measure Data'!E11,"AAAAAGp4d5A=")</f>
        <v>#VALUE!</v>
      </c>
      <c r="EP4" t="e">
        <f>AND('Lean Measure Data'!F11,"AAAAAGp4d5E=")</f>
        <v>#VALUE!</v>
      </c>
      <c r="EQ4" t="e">
        <f>AND('Lean Measure Data'!G11,"AAAAAGp4d5I=")</f>
        <v>#VALUE!</v>
      </c>
      <c r="ER4" t="e">
        <f>AND('Lean Measure Data'!H11,"AAAAAGp4d5M=")</f>
        <v>#VALUE!</v>
      </c>
      <c r="ES4" t="e">
        <f>AND('Lean Measure Data'!I11,"AAAAAGp4d5Q=")</f>
        <v>#VALUE!</v>
      </c>
      <c r="ET4" t="e">
        <f>AND('Lean Measure Data'!J11,"AAAAAGp4d5U=")</f>
        <v>#VALUE!</v>
      </c>
      <c r="EU4" t="e">
        <f>AND('Lean Measure Data'!K11,"AAAAAGp4d5Y=")</f>
        <v>#VALUE!</v>
      </c>
      <c r="EV4" t="e">
        <f>AND('Lean Measure Data'!L11,"AAAAAGp4d5c=")</f>
        <v>#VALUE!</v>
      </c>
      <c r="EW4" t="e">
        <f>AND('Lean Measure Data'!M11,"AAAAAGp4d5g=")</f>
        <v>#VALUE!</v>
      </c>
      <c r="EX4" t="e">
        <f>AND('Lean Measure Data'!N11,"AAAAAGp4d5k=")</f>
        <v>#VALUE!</v>
      </c>
      <c r="EY4" t="e">
        <f>AND('Lean Measure Data'!D12,"AAAAAGp4d5o=")</f>
        <v>#VALUE!</v>
      </c>
      <c r="EZ4" t="e">
        <f>AND('Lean Measure Data'!E12,"AAAAAGp4d5s=")</f>
        <v>#VALUE!</v>
      </c>
      <c r="FA4" t="e">
        <f>AND('Lean Measure Data'!F12,"AAAAAGp4d5w=")</f>
        <v>#VALUE!</v>
      </c>
      <c r="FB4" t="e">
        <f>AND('Lean Measure Data'!G12,"AAAAAGp4d50=")</f>
        <v>#VALUE!</v>
      </c>
      <c r="FC4" t="e">
        <f>AND('Lean Measure Data'!H12,"AAAAAGp4d54=")</f>
        <v>#VALUE!</v>
      </c>
      <c r="FD4" t="e">
        <f>AND('Lean Measure Data'!I12,"AAAAAGp4d58=")</f>
        <v>#VALUE!</v>
      </c>
      <c r="FE4" t="e">
        <f>AND('Lean Measure Data'!J12,"AAAAAGp4d6A=")</f>
        <v>#VALUE!</v>
      </c>
      <c r="FF4" t="e">
        <f>AND('Lean Measure Data'!K12,"AAAAAGp4d6E=")</f>
        <v>#VALUE!</v>
      </c>
      <c r="FG4" t="e">
        <f>AND('Lean Measure Data'!L12,"AAAAAGp4d6I=")</f>
        <v>#VALUE!</v>
      </c>
      <c r="FH4" t="e">
        <f>AND('Lean Measure Data'!M12,"AAAAAGp4d6M=")</f>
        <v>#VALUE!</v>
      </c>
      <c r="FI4" t="e">
        <f>AND('Lean Measure Data'!N12,"AAAAAGp4d6Q=")</f>
        <v>#VALUE!</v>
      </c>
      <c r="FJ4" t="e">
        <f>AND('Lean Measure Data'!D13,"AAAAAGp4d6U=")</f>
        <v>#VALUE!</v>
      </c>
      <c r="FK4" t="e">
        <f>AND('Lean Measure Data'!E13,"AAAAAGp4d6Y=")</f>
        <v>#VALUE!</v>
      </c>
      <c r="FL4" t="e">
        <f>AND('Lean Measure Data'!F13,"AAAAAGp4d6c=")</f>
        <v>#VALUE!</v>
      </c>
      <c r="FM4" t="e">
        <f>AND('Lean Measure Data'!G13,"AAAAAGp4d6g=")</f>
        <v>#VALUE!</v>
      </c>
      <c r="FN4" t="e">
        <f>AND('Lean Measure Data'!H13,"AAAAAGp4d6k=")</f>
        <v>#VALUE!</v>
      </c>
      <c r="FO4" t="e">
        <f>AND('Lean Measure Data'!I13,"AAAAAGp4d6o=")</f>
        <v>#VALUE!</v>
      </c>
      <c r="FP4" t="e">
        <f>AND('Lean Measure Data'!J13,"AAAAAGp4d6s=")</f>
        <v>#VALUE!</v>
      </c>
      <c r="FQ4" t="e">
        <f>AND('Lean Measure Data'!K13,"AAAAAGp4d6w=")</f>
        <v>#VALUE!</v>
      </c>
      <c r="FR4" t="e">
        <f>AND('Lean Measure Data'!L13,"AAAAAGp4d60=")</f>
        <v>#VALUE!</v>
      </c>
      <c r="FS4" t="e">
        <f>AND('Lean Measure Data'!M13,"AAAAAGp4d64=")</f>
        <v>#VALUE!</v>
      </c>
      <c r="FT4" t="e">
        <f>AND('Lean Measure Data'!N13,"AAAAAGp4d68=")</f>
        <v>#VALUE!</v>
      </c>
      <c r="FU4" t="e">
        <f>AND('Lean Measure Data'!D14,"AAAAAGp4d7A=")</f>
        <v>#VALUE!</v>
      </c>
      <c r="FV4" t="e">
        <f>AND('Lean Measure Data'!E14,"AAAAAGp4d7E=")</f>
        <v>#VALUE!</v>
      </c>
      <c r="FW4" t="e">
        <f>AND('Lean Measure Data'!F14,"AAAAAGp4d7I=")</f>
        <v>#VALUE!</v>
      </c>
      <c r="FX4" t="e">
        <f>AND('Lean Measure Data'!G14,"AAAAAGp4d7M=")</f>
        <v>#VALUE!</v>
      </c>
      <c r="FY4" t="e">
        <f>AND('Lean Measure Data'!H14,"AAAAAGp4d7Q=")</f>
        <v>#VALUE!</v>
      </c>
      <c r="FZ4" t="e">
        <f>AND('Lean Measure Data'!I14,"AAAAAGp4d7U=")</f>
        <v>#VALUE!</v>
      </c>
      <c r="GA4" t="e">
        <f>AND('Lean Measure Data'!J14,"AAAAAGp4d7Y=")</f>
        <v>#VALUE!</v>
      </c>
      <c r="GB4" t="e">
        <f>AND('Lean Measure Data'!K14,"AAAAAGp4d7c=")</f>
        <v>#VALUE!</v>
      </c>
      <c r="GC4" t="e">
        <f>AND('Lean Measure Data'!L14,"AAAAAGp4d7g=")</f>
        <v>#VALUE!</v>
      </c>
      <c r="GD4" t="e">
        <f>AND('Lean Measure Data'!M14,"AAAAAGp4d7k=")</f>
        <v>#VALUE!</v>
      </c>
      <c r="GE4" t="e">
        <f>AND('Lean Measure Data'!N14,"AAAAAGp4d7o=")</f>
        <v>#VALUE!</v>
      </c>
      <c r="GF4" t="e">
        <f>AND('Lean Measure Data'!D15,"AAAAAGp4d7s=")</f>
        <v>#VALUE!</v>
      </c>
      <c r="GG4" t="e">
        <f>AND('Lean Measure Data'!E15,"AAAAAGp4d7w=")</f>
        <v>#VALUE!</v>
      </c>
      <c r="GH4" t="e">
        <f>AND('Lean Measure Data'!F15,"AAAAAGp4d70=")</f>
        <v>#VALUE!</v>
      </c>
      <c r="GI4" t="e">
        <f>AND('Lean Measure Data'!G15,"AAAAAGp4d74=")</f>
        <v>#VALUE!</v>
      </c>
      <c r="GJ4" t="e">
        <f>AND('Lean Measure Data'!H15,"AAAAAGp4d78=")</f>
        <v>#VALUE!</v>
      </c>
      <c r="GK4" t="e">
        <f>AND('Lean Measure Data'!I15,"AAAAAGp4d8A=")</f>
        <v>#VALUE!</v>
      </c>
      <c r="GL4" t="e">
        <f>AND('Lean Measure Data'!J15,"AAAAAGp4d8E=")</f>
        <v>#VALUE!</v>
      </c>
      <c r="GM4" t="e">
        <f>AND('Lean Measure Data'!K15,"AAAAAGp4d8I=")</f>
        <v>#VALUE!</v>
      </c>
      <c r="GN4" t="e">
        <f>AND('Lean Measure Data'!L15,"AAAAAGp4d8M=")</f>
        <v>#VALUE!</v>
      </c>
      <c r="GO4" t="e">
        <f>AND('Lean Measure Data'!M15,"AAAAAGp4d8Q=")</f>
        <v>#VALUE!</v>
      </c>
      <c r="GP4" t="e">
        <f>AND('Lean Measure Data'!N15,"AAAAAGp4d8U=")</f>
        <v>#VALUE!</v>
      </c>
      <c r="GQ4" t="e">
        <f>AND('Lean Measure Data'!D16,"AAAAAGp4d8Y=")</f>
        <v>#VALUE!</v>
      </c>
      <c r="GR4" t="e">
        <f>AND('Lean Measure Data'!E16,"AAAAAGp4d8c=")</f>
        <v>#VALUE!</v>
      </c>
      <c r="GS4" t="e">
        <f>AND('Lean Measure Data'!F16,"AAAAAGp4d8g=")</f>
        <v>#VALUE!</v>
      </c>
      <c r="GT4" t="e">
        <f>AND('Lean Measure Data'!G16,"AAAAAGp4d8k=")</f>
        <v>#VALUE!</v>
      </c>
      <c r="GU4" t="e">
        <f>AND('Lean Measure Data'!H16,"AAAAAGp4d8o=")</f>
        <v>#VALUE!</v>
      </c>
      <c r="GV4" t="e">
        <f>AND('Lean Measure Data'!I16,"AAAAAGp4d8s=")</f>
        <v>#VALUE!</v>
      </c>
      <c r="GW4" t="e">
        <f>AND('Lean Measure Data'!J16,"AAAAAGp4d8w=")</f>
        <v>#VALUE!</v>
      </c>
      <c r="GX4" t="e">
        <f>AND('Lean Measure Data'!K16,"AAAAAGp4d80=")</f>
        <v>#VALUE!</v>
      </c>
      <c r="GY4" t="e">
        <f>AND('Lean Measure Data'!L16,"AAAAAGp4d84=")</f>
        <v>#VALUE!</v>
      </c>
      <c r="GZ4" t="e">
        <f>AND('Lean Measure Data'!M16,"AAAAAGp4d88=")</f>
        <v>#VALUE!</v>
      </c>
      <c r="HA4" t="e">
        <f>AND('Lean Measure Data'!N16,"AAAAAGp4d9A=")</f>
        <v>#VALUE!</v>
      </c>
      <c r="HB4" t="e">
        <f>AND('Lean Measure Data'!D17,"AAAAAGp4d9E=")</f>
        <v>#VALUE!</v>
      </c>
      <c r="HC4" t="e">
        <f>AND('Lean Measure Data'!E17,"AAAAAGp4d9I=")</f>
        <v>#VALUE!</v>
      </c>
      <c r="HD4" t="e">
        <f>AND('Lean Measure Data'!F17,"AAAAAGp4d9M=")</f>
        <v>#VALUE!</v>
      </c>
      <c r="HE4" t="e">
        <f>AND('Lean Measure Data'!G17,"AAAAAGp4d9Q=")</f>
        <v>#VALUE!</v>
      </c>
      <c r="HF4" t="e">
        <f>AND('Lean Measure Data'!H17,"AAAAAGp4d9U=")</f>
        <v>#VALUE!</v>
      </c>
      <c r="HG4" t="e">
        <f>AND('Lean Measure Data'!I17,"AAAAAGp4d9Y=")</f>
        <v>#VALUE!</v>
      </c>
      <c r="HH4" t="e">
        <f>AND('Lean Measure Data'!J17,"AAAAAGp4d9c=")</f>
        <v>#VALUE!</v>
      </c>
      <c r="HI4" t="e">
        <f>AND('Lean Measure Data'!K17,"AAAAAGp4d9g=")</f>
        <v>#VALUE!</v>
      </c>
      <c r="HJ4" t="e">
        <f>AND('Lean Measure Data'!L17,"AAAAAGp4d9k=")</f>
        <v>#VALUE!</v>
      </c>
      <c r="HK4" t="e">
        <f>AND('Lean Measure Data'!M17,"AAAAAGp4d9o=")</f>
        <v>#VALUE!</v>
      </c>
      <c r="HL4" t="e">
        <f>AND('Lean Measure Data'!N17,"AAAAAGp4d9s=")</f>
        <v>#VALUE!</v>
      </c>
      <c r="HM4" t="e">
        <f>AND('Lean Measure Data'!D18,"AAAAAGp4d9w=")</f>
        <v>#VALUE!</v>
      </c>
      <c r="HN4" t="e">
        <f>AND('Lean Measure Data'!E18,"AAAAAGp4d90=")</f>
        <v>#VALUE!</v>
      </c>
      <c r="HO4" t="e">
        <f>AND('Lean Measure Data'!F18,"AAAAAGp4d94=")</f>
        <v>#VALUE!</v>
      </c>
      <c r="HP4" t="e">
        <f>AND('Lean Measure Data'!G18,"AAAAAGp4d98=")</f>
        <v>#VALUE!</v>
      </c>
      <c r="HQ4" t="e">
        <f>AND('Lean Measure Data'!H18,"AAAAAGp4d+A=")</f>
        <v>#VALUE!</v>
      </c>
      <c r="HR4" t="e">
        <f>AND('Lean Measure Data'!I18,"AAAAAGp4d+E=")</f>
        <v>#VALUE!</v>
      </c>
      <c r="HS4" t="e">
        <f>AND('Lean Measure Data'!J18,"AAAAAGp4d+I=")</f>
        <v>#VALUE!</v>
      </c>
      <c r="HT4" t="e">
        <f>AND('Lean Measure Data'!K18,"AAAAAGp4d+M=")</f>
        <v>#VALUE!</v>
      </c>
      <c r="HU4" t="e">
        <f>AND('Lean Measure Data'!L18,"AAAAAGp4d+Q=")</f>
        <v>#VALUE!</v>
      </c>
      <c r="HV4" t="e">
        <f>AND('Lean Measure Data'!M18,"AAAAAGp4d+U=")</f>
        <v>#VALUE!</v>
      </c>
      <c r="HW4" t="e">
        <f>AND('Lean Measure Data'!N18,"AAAAAGp4d+Y=")</f>
        <v>#VALUE!</v>
      </c>
      <c r="HX4" t="e">
        <f>AND('Lean Measure Data'!D19,"AAAAAGp4d+c=")</f>
        <v>#VALUE!</v>
      </c>
      <c r="HY4" t="e">
        <f>AND('Lean Measure Data'!E19,"AAAAAGp4d+g=")</f>
        <v>#VALUE!</v>
      </c>
      <c r="HZ4" t="e">
        <f>AND('Lean Measure Data'!F19,"AAAAAGp4d+k=")</f>
        <v>#VALUE!</v>
      </c>
      <c r="IA4" t="e">
        <f>AND('Lean Measure Data'!G19,"AAAAAGp4d+o=")</f>
        <v>#VALUE!</v>
      </c>
      <c r="IB4" t="e">
        <f>AND('Lean Measure Data'!H19,"AAAAAGp4d+s=")</f>
        <v>#VALUE!</v>
      </c>
      <c r="IC4" t="e">
        <f>AND('Lean Measure Data'!I19,"AAAAAGp4d+w=")</f>
        <v>#VALUE!</v>
      </c>
      <c r="ID4" t="e">
        <f>AND('Lean Measure Data'!J19,"AAAAAGp4d+0=")</f>
        <v>#VALUE!</v>
      </c>
      <c r="IE4" t="e">
        <f>AND('Lean Measure Data'!K19,"AAAAAGp4d+4=")</f>
        <v>#VALUE!</v>
      </c>
      <c r="IF4" t="e">
        <f>AND('Lean Measure Data'!L19,"AAAAAGp4d+8=")</f>
        <v>#VALUE!</v>
      </c>
      <c r="IG4" t="e">
        <f>AND('Lean Measure Data'!M19,"AAAAAGp4d/A=")</f>
        <v>#VALUE!</v>
      </c>
      <c r="IH4" t="e">
        <f>AND('Lean Measure Data'!N19,"AAAAAGp4d/E=")</f>
        <v>#VALUE!</v>
      </c>
      <c r="II4" t="e">
        <f>AND('Lean Measure Data'!D20,"AAAAAGp4d/I=")</f>
        <v>#VALUE!</v>
      </c>
      <c r="IJ4" t="e">
        <f>AND('Lean Measure Data'!E20,"AAAAAGp4d/M=")</f>
        <v>#VALUE!</v>
      </c>
      <c r="IK4" t="e">
        <f>AND('Lean Measure Data'!F20,"AAAAAGp4d/Q=")</f>
        <v>#VALUE!</v>
      </c>
      <c r="IL4" t="e">
        <f>AND('Lean Measure Data'!G20,"AAAAAGp4d/U=")</f>
        <v>#VALUE!</v>
      </c>
      <c r="IM4" t="e">
        <f>AND('Lean Measure Data'!H20,"AAAAAGp4d/Y=")</f>
        <v>#VALUE!</v>
      </c>
      <c r="IN4" t="e">
        <f>AND('Lean Measure Data'!I20,"AAAAAGp4d/c=")</f>
        <v>#VALUE!</v>
      </c>
      <c r="IO4" t="e">
        <f>AND('Lean Measure Data'!J20,"AAAAAGp4d/g=")</f>
        <v>#VALUE!</v>
      </c>
      <c r="IP4" t="e">
        <f>AND('Lean Measure Data'!K20,"AAAAAGp4d/k=")</f>
        <v>#VALUE!</v>
      </c>
      <c r="IQ4" t="e">
        <f>AND('Lean Measure Data'!L20,"AAAAAGp4d/o=")</f>
        <v>#VALUE!</v>
      </c>
      <c r="IR4" t="e">
        <f>AND('Lean Measure Data'!M20,"AAAAAGp4d/s=")</f>
        <v>#VALUE!</v>
      </c>
      <c r="IS4" t="e">
        <f>AND('Lean Measure Data'!N20,"AAAAAGp4d/w=")</f>
        <v>#VALUE!</v>
      </c>
      <c r="IT4" t="e">
        <f>AND('Lean Measure Data'!D21,"AAAAAGp4d/0=")</f>
        <v>#VALUE!</v>
      </c>
      <c r="IU4" t="e">
        <f>AND('Lean Measure Data'!E21,"AAAAAGp4d/4=")</f>
        <v>#VALUE!</v>
      </c>
      <c r="IV4" t="e">
        <f>AND('Lean Measure Data'!F21,"AAAAAGp4d/8=")</f>
        <v>#VALUE!</v>
      </c>
    </row>
    <row r="5" spans="1:256" x14ac:dyDescent="0.3">
      <c r="A5" t="e">
        <f>AND('Lean Measure Data'!G21,"AAAAAHP+5gA=")</f>
        <v>#VALUE!</v>
      </c>
      <c r="B5" t="e">
        <f>AND('Lean Measure Data'!H21,"AAAAAHP+5gE=")</f>
        <v>#VALUE!</v>
      </c>
      <c r="C5" t="e">
        <f>AND('Lean Measure Data'!I21,"AAAAAHP+5gI=")</f>
        <v>#VALUE!</v>
      </c>
      <c r="D5" t="e">
        <f>AND('Lean Measure Data'!J21,"AAAAAHP+5gM=")</f>
        <v>#VALUE!</v>
      </c>
      <c r="E5" t="e">
        <f>AND('Lean Measure Data'!K21,"AAAAAHP+5gQ=")</f>
        <v>#VALUE!</v>
      </c>
      <c r="F5" t="e">
        <f>AND('Lean Measure Data'!L21,"AAAAAHP+5gU=")</f>
        <v>#VALUE!</v>
      </c>
      <c r="G5" t="e">
        <f>AND('Lean Measure Data'!M21,"AAAAAHP+5gY=")</f>
        <v>#VALUE!</v>
      </c>
      <c r="H5" t="e">
        <f>AND('Lean Measure Data'!N21,"AAAAAHP+5gc=")</f>
        <v>#VALUE!</v>
      </c>
      <c r="I5" t="e">
        <f>AND('Lean Measure Data'!D22,"AAAAAHP+5gg=")</f>
        <v>#VALUE!</v>
      </c>
      <c r="J5" t="e">
        <f>AND('Lean Measure Data'!E22,"AAAAAHP+5gk=")</f>
        <v>#VALUE!</v>
      </c>
      <c r="K5" t="e">
        <f>AND('Lean Measure Data'!F22,"AAAAAHP+5go=")</f>
        <v>#VALUE!</v>
      </c>
      <c r="L5" t="e">
        <f>AND('Lean Measure Data'!G22,"AAAAAHP+5gs=")</f>
        <v>#VALUE!</v>
      </c>
      <c r="M5" t="e">
        <f>AND('Lean Measure Data'!H22,"AAAAAHP+5gw=")</f>
        <v>#VALUE!</v>
      </c>
      <c r="N5" t="e">
        <f>AND('Lean Measure Data'!I22,"AAAAAHP+5g0=")</f>
        <v>#VALUE!</v>
      </c>
      <c r="O5" t="e">
        <f>AND('Lean Measure Data'!J22,"AAAAAHP+5g4=")</f>
        <v>#VALUE!</v>
      </c>
      <c r="P5" t="e">
        <f>AND('Lean Measure Data'!K22,"AAAAAHP+5g8=")</f>
        <v>#VALUE!</v>
      </c>
      <c r="Q5" t="e">
        <f>AND('Lean Measure Data'!L22,"AAAAAHP+5hA=")</f>
        <v>#VALUE!</v>
      </c>
      <c r="R5" t="e">
        <f>AND('Lean Measure Data'!M22,"AAAAAHP+5hE=")</f>
        <v>#VALUE!</v>
      </c>
      <c r="S5" t="e">
        <f>AND('Lean Measure Data'!N22,"AAAAAHP+5hI=")</f>
        <v>#VALUE!</v>
      </c>
      <c r="T5" t="e">
        <f>AND('Lean Measure Data'!D23,"AAAAAHP+5hM=")</f>
        <v>#VALUE!</v>
      </c>
      <c r="U5" t="e">
        <f>AND('Lean Measure Data'!E23,"AAAAAHP+5hQ=")</f>
        <v>#VALUE!</v>
      </c>
      <c r="V5" t="e">
        <f>AND('Lean Measure Data'!F23,"AAAAAHP+5hU=")</f>
        <v>#VALUE!</v>
      </c>
      <c r="W5" t="e">
        <f>AND('Lean Measure Data'!G23,"AAAAAHP+5hY=")</f>
        <v>#VALUE!</v>
      </c>
      <c r="X5" t="e">
        <f>AND('Lean Measure Data'!H23,"AAAAAHP+5hc=")</f>
        <v>#VALUE!</v>
      </c>
      <c r="Y5" t="e">
        <f>AND('Lean Measure Data'!I23,"AAAAAHP+5hg=")</f>
        <v>#VALUE!</v>
      </c>
      <c r="Z5" t="e">
        <f>AND('Lean Measure Data'!J23,"AAAAAHP+5hk=")</f>
        <v>#VALUE!</v>
      </c>
      <c r="AA5" t="e">
        <f>AND('Lean Measure Data'!K23,"AAAAAHP+5ho=")</f>
        <v>#VALUE!</v>
      </c>
      <c r="AB5" t="e">
        <f>AND('Lean Measure Data'!L23,"AAAAAHP+5hs=")</f>
        <v>#VALUE!</v>
      </c>
      <c r="AC5" t="e">
        <f>AND('Lean Measure Data'!M23,"AAAAAHP+5hw=")</f>
        <v>#VALUE!</v>
      </c>
      <c r="AD5" t="e">
        <f>AND('Lean Measure Data'!N23,"AAAAAHP+5h0=")</f>
        <v>#VALUE!</v>
      </c>
      <c r="AE5" t="e">
        <f>AND('Lean Measure Data'!D24,"AAAAAHP+5h4=")</f>
        <v>#VALUE!</v>
      </c>
      <c r="AF5" t="e">
        <f>AND('Lean Measure Data'!E24,"AAAAAHP+5h8=")</f>
        <v>#VALUE!</v>
      </c>
      <c r="AG5" t="e">
        <f>AND('Lean Measure Data'!F24,"AAAAAHP+5iA=")</f>
        <v>#VALUE!</v>
      </c>
      <c r="AH5" t="e">
        <f>AND('Lean Measure Data'!G24,"AAAAAHP+5iE=")</f>
        <v>#VALUE!</v>
      </c>
      <c r="AI5" t="e">
        <f>AND('Lean Measure Data'!H24,"AAAAAHP+5iI=")</f>
        <v>#VALUE!</v>
      </c>
      <c r="AJ5" t="e">
        <f>AND('Lean Measure Data'!I24,"AAAAAHP+5iM=")</f>
        <v>#VALUE!</v>
      </c>
      <c r="AK5" t="e">
        <f>AND('Lean Measure Data'!J24,"AAAAAHP+5iQ=")</f>
        <v>#VALUE!</v>
      </c>
      <c r="AL5" t="e">
        <f>AND('Lean Measure Data'!K24,"AAAAAHP+5iU=")</f>
        <v>#VALUE!</v>
      </c>
      <c r="AM5" t="e">
        <f>AND('Lean Measure Data'!L24,"AAAAAHP+5iY=")</f>
        <v>#VALUE!</v>
      </c>
      <c r="AN5" t="e">
        <f>AND('Lean Measure Data'!M24,"AAAAAHP+5ic=")</f>
        <v>#VALUE!</v>
      </c>
      <c r="AO5" t="e">
        <f>AND('Lean Measure Data'!N24,"AAAAAHP+5ig=")</f>
        <v>#VALUE!</v>
      </c>
      <c r="AP5" t="e">
        <f>AND('Lean Measure Data'!D25,"AAAAAHP+5ik=")</f>
        <v>#VALUE!</v>
      </c>
      <c r="AQ5" t="e">
        <f>AND('Lean Measure Data'!E25,"AAAAAHP+5io=")</f>
        <v>#VALUE!</v>
      </c>
      <c r="AR5" t="e">
        <f>AND('Lean Measure Data'!F25,"AAAAAHP+5is=")</f>
        <v>#VALUE!</v>
      </c>
      <c r="AS5" t="e">
        <f>AND('Lean Measure Data'!G25,"AAAAAHP+5iw=")</f>
        <v>#VALUE!</v>
      </c>
      <c r="AT5" t="e">
        <f>AND('Lean Measure Data'!H25,"AAAAAHP+5i0=")</f>
        <v>#VALUE!</v>
      </c>
      <c r="AU5" t="e">
        <f>AND('Lean Measure Data'!I25,"AAAAAHP+5i4=")</f>
        <v>#VALUE!</v>
      </c>
      <c r="AV5" t="e">
        <f>AND('Lean Measure Data'!J25,"AAAAAHP+5i8=")</f>
        <v>#VALUE!</v>
      </c>
      <c r="AW5" t="e">
        <f>AND('Lean Measure Data'!K25,"AAAAAHP+5jA=")</f>
        <v>#VALUE!</v>
      </c>
      <c r="AX5" t="e">
        <f>AND('Lean Measure Data'!L25,"AAAAAHP+5jE=")</f>
        <v>#VALUE!</v>
      </c>
      <c r="AY5" t="e">
        <f>AND('Lean Measure Data'!M25,"AAAAAHP+5jI=")</f>
        <v>#VALUE!</v>
      </c>
      <c r="AZ5" t="e">
        <f>AND('Lean Measure Data'!N25,"AAAAAHP+5jM=")</f>
        <v>#VALUE!</v>
      </c>
      <c r="BA5" t="e">
        <f>AND('Lean Measure Data'!D26,"AAAAAHP+5jQ=")</f>
        <v>#VALUE!</v>
      </c>
      <c r="BB5" t="e">
        <f>AND('Lean Measure Data'!E26,"AAAAAHP+5jU=")</f>
        <v>#VALUE!</v>
      </c>
      <c r="BC5" t="e">
        <f>AND('Lean Measure Data'!F26,"AAAAAHP+5jY=")</f>
        <v>#VALUE!</v>
      </c>
      <c r="BD5" t="e">
        <f>AND('Lean Measure Data'!G26,"AAAAAHP+5jc=")</f>
        <v>#VALUE!</v>
      </c>
      <c r="BE5" t="e">
        <f>AND('Lean Measure Data'!H26,"AAAAAHP+5jg=")</f>
        <v>#VALUE!</v>
      </c>
      <c r="BF5" t="e">
        <f>AND('Lean Measure Data'!I26,"AAAAAHP+5jk=")</f>
        <v>#VALUE!</v>
      </c>
      <c r="BG5" t="e">
        <f>AND('Lean Measure Data'!J26,"AAAAAHP+5jo=")</f>
        <v>#VALUE!</v>
      </c>
      <c r="BH5" t="e">
        <f>AND('Lean Measure Data'!K26,"AAAAAHP+5js=")</f>
        <v>#VALUE!</v>
      </c>
      <c r="BI5" t="e">
        <f>AND('Lean Measure Data'!L26,"AAAAAHP+5jw=")</f>
        <v>#VALUE!</v>
      </c>
      <c r="BJ5" t="e">
        <f>AND('Lean Measure Data'!M26,"AAAAAHP+5j0=")</f>
        <v>#VALUE!</v>
      </c>
      <c r="BK5" t="e">
        <f>AND('Lean Measure Data'!N26,"AAAAAHP+5j4=")</f>
        <v>#VALUE!</v>
      </c>
      <c r="BL5" t="e">
        <f>AND('Lean Measure Data'!D27,"AAAAAHP+5j8=")</f>
        <v>#VALUE!</v>
      </c>
      <c r="BM5" t="e">
        <f>AND('Lean Measure Data'!E27,"AAAAAHP+5kA=")</f>
        <v>#VALUE!</v>
      </c>
      <c r="BN5" t="e">
        <f>AND('Lean Measure Data'!F27,"AAAAAHP+5kE=")</f>
        <v>#VALUE!</v>
      </c>
      <c r="BO5" t="e">
        <f>AND('Lean Measure Data'!G27,"AAAAAHP+5kI=")</f>
        <v>#VALUE!</v>
      </c>
      <c r="BP5" t="e">
        <f>AND('Lean Measure Data'!H27,"AAAAAHP+5kM=")</f>
        <v>#VALUE!</v>
      </c>
      <c r="BQ5" t="e">
        <f>AND('Lean Measure Data'!I27,"AAAAAHP+5kQ=")</f>
        <v>#VALUE!</v>
      </c>
      <c r="BR5" t="e">
        <f>AND('Lean Measure Data'!J27,"AAAAAHP+5kU=")</f>
        <v>#VALUE!</v>
      </c>
      <c r="BS5" t="e">
        <f>AND('Lean Measure Data'!K27,"AAAAAHP+5kY=")</f>
        <v>#VALUE!</v>
      </c>
      <c r="BT5" t="e">
        <f>AND('Lean Measure Data'!L27,"AAAAAHP+5kc=")</f>
        <v>#VALUE!</v>
      </c>
      <c r="BU5" t="e">
        <f>AND('Lean Measure Data'!M27,"AAAAAHP+5kg=")</f>
        <v>#VALUE!</v>
      </c>
      <c r="BV5" t="e">
        <f>AND('Lean Measure Data'!N27,"AAAAAHP+5kk=")</f>
        <v>#VALUE!</v>
      </c>
      <c r="BW5" t="e">
        <f>AND('Lean Measure Data'!C28,"AAAAAHP+5ko=")</f>
        <v>#VALUE!</v>
      </c>
      <c r="BX5" t="e">
        <f>AND('Lean Measure Data'!D28,"AAAAAHP+5ks=")</f>
        <v>#VALUE!</v>
      </c>
      <c r="BY5" t="e">
        <f>AND('Lean Measure Data'!E28,"AAAAAHP+5kw=")</f>
        <v>#VALUE!</v>
      </c>
      <c r="BZ5" t="e">
        <f>AND('Lean Measure Data'!F28,"AAAAAHP+5k0=")</f>
        <v>#VALUE!</v>
      </c>
      <c r="CA5" t="e">
        <f>AND('Lean Measure Data'!G28,"AAAAAHP+5k4=")</f>
        <v>#VALUE!</v>
      </c>
      <c r="CB5" t="e">
        <f>AND('Lean Measure Data'!H28,"AAAAAHP+5k8=")</f>
        <v>#VALUE!</v>
      </c>
      <c r="CC5" t="e">
        <f>AND('Lean Measure Data'!I28,"AAAAAHP+5lA=")</f>
        <v>#VALUE!</v>
      </c>
      <c r="CD5" t="e">
        <f>AND('Lean Measure Data'!J28,"AAAAAHP+5lE=")</f>
        <v>#VALUE!</v>
      </c>
      <c r="CE5" t="e">
        <f>AND('Lean Measure Data'!K28,"AAAAAHP+5lI=")</f>
        <v>#VALUE!</v>
      </c>
      <c r="CF5" t="e">
        <f>AND('Lean Measure Data'!L28,"AAAAAHP+5lM=")</f>
        <v>#VALUE!</v>
      </c>
      <c r="CG5" t="e">
        <f>AND('Lean Measure Data'!M28,"AAAAAHP+5lQ=")</f>
        <v>#VALUE!</v>
      </c>
      <c r="CH5" t="e">
        <f>AND('Lean Measure Data'!N28,"AAAAAHP+5lU=")</f>
        <v>#VALUE!</v>
      </c>
      <c r="CI5" t="e">
        <f>AND('Lean Measure Data'!C30,"AAAAAHP+5lY=")</f>
        <v>#VALUE!</v>
      </c>
      <c r="CJ5" t="e">
        <f>AND('Lean Measure Data'!D30,"AAAAAHP+5lc=")</f>
        <v>#VALUE!</v>
      </c>
      <c r="CK5" t="e">
        <f>AND('Lean Measure Data'!E30,"AAAAAHP+5lg=")</f>
        <v>#VALUE!</v>
      </c>
      <c r="CL5" t="e">
        <f>AND('Lean Measure Data'!F30,"AAAAAHP+5lk=")</f>
        <v>#VALUE!</v>
      </c>
      <c r="CM5" t="e">
        <f>AND('Lean Measure Data'!G30,"AAAAAHP+5lo=")</f>
        <v>#VALUE!</v>
      </c>
      <c r="CN5" t="e">
        <f>AND('Lean Measure Data'!H30,"AAAAAHP+5ls=")</f>
        <v>#VALUE!</v>
      </c>
      <c r="CO5" t="e">
        <f>AND('Lean Measure Data'!I30,"AAAAAHP+5lw=")</f>
        <v>#VALUE!</v>
      </c>
      <c r="CP5" t="e">
        <f>AND('Lean Measure Data'!J30,"AAAAAHP+5l0=")</f>
        <v>#VALUE!</v>
      </c>
      <c r="CQ5" t="e">
        <f>AND('Lean Measure Data'!K30,"AAAAAHP+5l4=")</f>
        <v>#VALUE!</v>
      </c>
      <c r="CR5" t="e">
        <f>AND('Lean Measure Data'!L30,"AAAAAHP+5l8=")</f>
        <v>#VALUE!</v>
      </c>
      <c r="CS5" t="e">
        <f>AND('Lean Measure Data'!M30,"AAAAAHP+5mA=")</f>
        <v>#VALUE!</v>
      </c>
      <c r="CT5" t="e">
        <f>AND('Lean Measure Data'!N30,"AAAAAHP+5mE=")</f>
        <v>#VALUE!</v>
      </c>
      <c r="CU5" t="e">
        <f>AND('Lean Measure Data'!C31,"AAAAAHP+5mI=")</f>
        <v>#VALUE!</v>
      </c>
      <c r="CV5" t="e">
        <f>AND('Lean Measure Data'!D31,"AAAAAHP+5mM=")</f>
        <v>#VALUE!</v>
      </c>
      <c r="CW5" t="e">
        <f>AND('Lean Measure Data'!E31,"AAAAAHP+5mQ=")</f>
        <v>#VALUE!</v>
      </c>
      <c r="CX5" t="e">
        <f>AND('Lean Measure Data'!F31,"AAAAAHP+5mU=")</f>
        <v>#VALUE!</v>
      </c>
      <c r="CY5" t="e">
        <f>AND('Lean Measure Data'!G31,"AAAAAHP+5mY=")</f>
        <v>#VALUE!</v>
      </c>
      <c r="CZ5" t="e">
        <f>AND('Lean Measure Data'!H31,"AAAAAHP+5mc=")</f>
        <v>#VALUE!</v>
      </c>
      <c r="DA5" t="e">
        <f>AND('Lean Measure Data'!I31,"AAAAAHP+5mg=")</f>
        <v>#VALUE!</v>
      </c>
      <c r="DB5" t="e">
        <f>AND('Lean Measure Data'!J31,"AAAAAHP+5mk=")</f>
        <v>#VALUE!</v>
      </c>
      <c r="DC5" t="e">
        <f>AND('Lean Measure Data'!K31,"AAAAAHP+5mo=")</f>
        <v>#VALUE!</v>
      </c>
      <c r="DD5" t="e">
        <f>AND('Lean Measure Data'!L31,"AAAAAHP+5ms=")</f>
        <v>#VALUE!</v>
      </c>
      <c r="DE5" t="e">
        <f>AND('Lean Measure Data'!M31,"AAAAAHP+5mw=")</f>
        <v>#VALUE!</v>
      </c>
      <c r="DF5" t="e">
        <f>AND('Lean Measure Data'!N31,"AAAAAHP+5m0=")</f>
        <v>#VALUE!</v>
      </c>
      <c r="DG5" t="e">
        <f>AND('Lean Measure Data'!C32,"AAAAAHP+5m4=")</f>
        <v>#VALUE!</v>
      </c>
      <c r="DH5" t="e">
        <f>AND('Lean Measure Data'!D32,"AAAAAHP+5m8=")</f>
        <v>#VALUE!</v>
      </c>
      <c r="DI5" t="e">
        <f>AND('Lean Measure Data'!E32,"AAAAAHP+5nA=")</f>
        <v>#VALUE!</v>
      </c>
      <c r="DJ5" t="e">
        <f>AND('Lean Measure Data'!F32,"AAAAAHP+5nE=")</f>
        <v>#VALUE!</v>
      </c>
      <c r="DK5" t="e">
        <f>AND('Lean Measure Data'!G32,"AAAAAHP+5nI=")</f>
        <v>#VALUE!</v>
      </c>
      <c r="DL5" t="e">
        <f>AND('Lean Measure Data'!H32,"AAAAAHP+5nM=")</f>
        <v>#VALUE!</v>
      </c>
      <c r="DM5" t="e">
        <f>AND('Lean Measure Data'!I32,"AAAAAHP+5nQ=")</f>
        <v>#VALUE!</v>
      </c>
      <c r="DN5" t="e">
        <f>AND('Lean Measure Data'!J32,"AAAAAHP+5nU=")</f>
        <v>#VALUE!</v>
      </c>
      <c r="DO5" t="e">
        <f>AND('Lean Measure Data'!K32,"AAAAAHP+5nY=")</f>
        <v>#VALUE!</v>
      </c>
      <c r="DP5" t="e">
        <f>AND('Lean Measure Data'!L32,"AAAAAHP+5nc=")</f>
        <v>#VALUE!</v>
      </c>
      <c r="DQ5" t="e">
        <f>AND('Lean Measure Data'!M32,"AAAAAHP+5ng=")</f>
        <v>#VALUE!</v>
      </c>
      <c r="DR5" t="e">
        <f>AND('Lean Measure Data'!N32,"AAAAAHP+5nk=")</f>
        <v>#VALUE!</v>
      </c>
      <c r="DS5" t="e">
        <f>AND('Lean Measure Data'!C33,"AAAAAHP+5no=")</f>
        <v>#VALUE!</v>
      </c>
      <c r="DT5" t="e">
        <f>AND('Lean Measure Data'!D33,"AAAAAHP+5ns=")</f>
        <v>#VALUE!</v>
      </c>
      <c r="DU5" t="e">
        <f>AND('Lean Measure Data'!E33,"AAAAAHP+5nw=")</f>
        <v>#VALUE!</v>
      </c>
      <c r="DV5" t="e">
        <f>AND('Lean Measure Data'!F33,"AAAAAHP+5n0=")</f>
        <v>#VALUE!</v>
      </c>
      <c r="DW5" t="e">
        <f>AND('Lean Measure Data'!G33,"AAAAAHP+5n4=")</f>
        <v>#VALUE!</v>
      </c>
      <c r="DX5" t="e">
        <f>AND('Lean Measure Data'!H33,"AAAAAHP+5n8=")</f>
        <v>#VALUE!</v>
      </c>
      <c r="DY5" t="e">
        <f>AND('Lean Measure Data'!I33,"AAAAAHP+5oA=")</f>
        <v>#VALUE!</v>
      </c>
      <c r="DZ5" t="e">
        <f>AND('Lean Measure Data'!J33,"AAAAAHP+5oE=")</f>
        <v>#VALUE!</v>
      </c>
      <c r="EA5" t="e">
        <f>AND('Lean Measure Data'!K33,"AAAAAHP+5oI=")</f>
        <v>#VALUE!</v>
      </c>
      <c r="EB5" t="e">
        <f>AND('Lean Measure Data'!L33,"AAAAAHP+5oM=")</f>
        <v>#VALUE!</v>
      </c>
      <c r="EC5" t="e">
        <f>AND('Lean Measure Data'!M33,"AAAAAHP+5oQ=")</f>
        <v>#VALUE!</v>
      </c>
      <c r="ED5" t="e">
        <f>AND('Lean Measure Data'!N33,"AAAAAHP+5oU=")</f>
        <v>#VALUE!</v>
      </c>
      <c r="EE5" t="e">
        <f>AND('Lean Measure Data'!C34,"AAAAAHP+5oY=")</f>
        <v>#VALUE!</v>
      </c>
      <c r="EF5" t="e">
        <f>AND('Lean Measure Data'!D34,"AAAAAHP+5oc=")</f>
        <v>#VALUE!</v>
      </c>
      <c r="EG5" t="e">
        <f>AND('Lean Measure Data'!E34,"AAAAAHP+5og=")</f>
        <v>#VALUE!</v>
      </c>
      <c r="EH5" t="e">
        <f>AND('Lean Measure Data'!F34,"AAAAAHP+5ok=")</f>
        <v>#VALUE!</v>
      </c>
      <c r="EI5" t="e">
        <f>AND('Lean Measure Data'!G34,"AAAAAHP+5oo=")</f>
        <v>#VALUE!</v>
      </c>
      <c r="EJ5" t="e">
        <f>AND('Lean Measure Data'!H34,"AAAAAHP+5os=")</f>
        <v>#VALUE!</v>
      </c>
      <c r="EK5" t="e">
        <f>AND('Lean Measure Data'!I34,"AAAAAHP+5ow=")</f>
        <v>#VALUE!</v>
      </c>
      <c r="EL5" t="e">
        <f>AND('Lean Measure Data'!J34,"AAAAAHP+5o0=")</f>
        <v>#VALUE!</v>
      </c>
      <c r="EM5" t="e">
        <f>AND('Lean Measure Data'!K34,"AAAAAHP+5o4=")</f>
        <v>#VALUE!</v>
      </c>
      <c r="EN5" t="e">
        <f>AND('Lean Measure Data'!L34,"AAAAAHP+5o8=")</f>
        <v>#VALUE!</v>
      </c>
      <c r="EO5" t="e">
        <f>AND('Lean Measure Data'!M34,"AAAAAHP+5pA=")</f>
        <v>#VALUE!</v>
      </c>
      <c r="EP5" t="e">
        <f>AND('Lean Measure Data'!N34,"AAAAAHP+5pE=")</f>
        <v>#VALUE!</v>
      </c>
      <c r="EQ5" t="e">
        <f>AND('Lean Measure Data'!C35,"AAAAAHP+5pI=")</f>
        <v>#VALUE!</v>
      </c>
      <c r="ER5" t="e">
        <f>AND('Lean Measure Data'!D35,"AAAAAHP+5pM=")</f>
        <v>#VALUE!</v>
      </c>
      <c r="ES5" t="e">
        <f>AND('Lean Measure Data'!E35,"AAAAAHP+5pQ=")</f>
        <v>#VALUE!</v>
      </c>
      <c r="ET5" t="e">
        <f>AND('Lean Measure Data'!F35,"AAAAAHP+5pU=")</f>
        <v>#VALUE!</v>
      </c>
      <c r="EU5" t="e">
        <f>AND('Lean Measure Data'!G35,"AAAAAHP+5pY=")</f>
        <v>#VALUE!</v>
      </c>
      <c r="EV5" t="e">
        <f>AND('Lean Measure Data'!H35,"AAAAAHP+5pc=")</f>
        <v>#VALUE!</v>
      </c>
      <c r="EW5" t="e">
        <f>AND('Lean Measure Data'!I35,"AAAAAHP+5pg=")</f>
        <v>#VALUE!</v>
      </c>
      <c r="EX5" t="e">
        <f>AND('Lean Measure Data'!J35,"AAAAAHP+5pk=")</f>
        <v>#VALUE!</v>
      </c>
      <c r="EY5" t="e">
        <f>AND('Lean Measure Data'!K35,"AAAAAHP+5po=")</f>
        <v>#VALUE!</v>
      </c>
      <c r="EZ5" t="e">
        <f>AND('Lean Measure Data'!L35,"AAAAAHP+5ps=")</f>
        <v>#VALUE!</v>
      </c>
      <c r="FA5" t="e">
        <f>AND('Lean Measure Data'!M35,"AAAAAHP+5pw=")</f>
        <v>#VALUE!</v>
      </c>
      <c r="FB5" t="e">
        <f>AND('Lean Measure Data'!N35,"AAAAAHP+5p0=")</f>
        <v>#VALUE!</v>
      </c>
      <c r="FC5" t="e">
        <f>AND('Lean Measure Data'!C36,"AAAAAHP+5p4=")</f>
        <v>#VALUE!</v>
      </c>
      <c r="FD5" t="e">
        <f>AND('Lean Measure Data'!D36,"AAAAAHP+5p8=")</f>
        <v>#VALUE!</v>
      </c>
      <c r="FE5" t="e">
        <f>AND('Lean Measure Data'!E36,"AAAAAHP+5qA=")</f>
        <v>#VALUE!</v>
      </c>
      <c r="FF5" t="e">
        <f>AND('Lean Measure Data'!F36,"AAAAAHP+5qE=")</f>
        <v>#VALUE!</v>
      </c>
      <c r="FG5" t="e">
        <f>AND('Lean Measure Data'!G36,"AAAAAHP+5qI=")</f>
        <v>#VALUE!</v>
      </c>
      <c r="FH5" t="e">
        <f>AND('Lean Measure Data'!H36,"AAAAAHP+5qM=")</f>
        <v>#VALUE!</v>
      </c>
      <c r="FI5" t="e">
        <f>AND('Lean Measure Data'!I36,"AAAAAHP+5qQ=")</f>
        <v>#VALUE!</v>
      </c>
      <c r="FJ5" t="e">
        <f>AND('Lean Measure Data'!J36,"AAAAAHP+5qU=")</f>
        <v>#VALUE!</v>
      </c>
      <c r="FK5" t="e">
        <f>AND('Lean Measure Data'!K36,"AAAAAHP+5qY=")</f>
        <v>#VALUE!</v>
      </c>
      <c r="FL5" t="e">
        <f>AND('Lean Measure Data'!L36,"AAAAAHP+5qc=")</f>
        <v>#VALUE!</v>
      </c>
      <c r="FM5" t="e">
        <f>AND('Lean Measure Data'!M36,"AAAAAHP+5qg=")</f>
        <v>#VALUE!</v>
      </c>
      <c r="FN5" t="e">
        <f>AND('Lean Measure Data'!N36,"AAAAAHP+5qk=")</f>
        <v>#VALUE!</v>
      </c>
      <c r="FO5">
        <f>IF('Lean Measure Data'!D:D,"AAAAAHP+5qo=",0)</f>
        <v>0</v>
      </c>
      <c r="FP5" t="e">
        <f>IF('Lean Measure Data'!E:E,"AAAAAHP+5qs=",0)</f>
        <v>#VALUE!</v>
      </c>
      <c r="FQ5">
        <f>IF('Lean Measure Data'!F:F,"AAAAAHP+5qw=",0)</f>
        <v>0</v>
      </c>
      <c r="FR5">
        <f>IF('Lean Measure Data'!G:G,"AAAAAHP+5q0=",0)</f>
        <v>0</v>
      </c>
      <c r="FS5">
        <f>IF('Lean Measure Data'!H:H,"AAAAAHP+5q4=",0)</f>
        <v>0</v>
      </c>
      <c r="FT5">
        <f>IF('Lean Measure Data'!I:I,"AAAAAHP+5q8=",0)</f>
        <v>0</v>
      </c>
      <c r="FU5" t="e">
        <f>IF('Lean Measure Data'!J:J,"AAAAAHP+5rA=",0)</f>
        <v>#VALUE!</v>
      </c>
      <c r="FV5">
        <f>IF('Lean Measure Data'!K:K,"AAAAAHP+5rE=",0)</f>
        <v>0</v>
      </c>
      <c r="FW5">
        <f>IF('Lean Measure Data'!L:L,"AAAAAHP+5rI=",0)</f>
        <v>0</v>
      </c>
      <c r="FX5">
        <f>IF('Lean Measure Data'!M:M,"AAAAAHP+5rM=",0)</f>
        <v>0</v>
      </c>
      <c r="FY5">
        <f>IF('Lean Measure Data'!N:N,"AAAAAHP+5rQ=",0)</f>
        <v>0</v>
      </c>
    </row>
    <row r="6" spans="1:256" x14ac:dyDescent="0.3">
      <c r="A6" t="e">
        <f>AND('Lean Measure Data'!A1,"AAAAAG/dLQA=")</f>
        <v>#VALUE!</v>
      </c>
      <c r="B6" t="e">
        <f>AND('Lean Measure Data'!A2,"AAAAAG/dLQE=")</f>
        <v>#VALUE!</v>
      </c>
      <c r="C6" t="e">
        <f>AND('Lean Measure Data'!A3,"AAAAAG/dLQI=")</f>
        <v>#VALUE!</v>
      </c>
      <c r="D6" t="e">
        <f>AND('Lean Measure Data'!A4,"AAAAAG/dLQM=")</f>
        <v>#VALUE!</v>
      </c>
      <c r="E6" t="e">
        <f>AND('Lean Measure Data'!A5,"AAAAAG/dLQQ=")</f>
        <v>#VALUE!</v>
      </c>
      <c r="F6" t="e">
        <f>AND('Lean Measure Data'!A6,"AAAAAG/dLQU=")</f>
        <v>#VALUE!</v>
      </c>
      <c r="G6" t="e">
        <f>AND('Lean Measure Data'!A7,"AAAAAG/dLQY=")</f>
        <v>#VALUE!</v>
      </c>
      <c r="H6" t="e">
        <f>AND('Lean Measure Data'!A8,"AAAAAG/dLQc=")</f>
        <v>#VALUE!</v>
      </c>
      <c r="I6" t="e">
        <f>AND('Lean Measure Data'!A9,"AAAAAG/dLQg=")</f>
        <v>#VALUE!</v>
      </c>
      <c r="J6" t="e">
        <f>AND('Lean Measure Data'!A10,"AAAAAG/dLQk=")</f>
        <v>#VALUE!</v>
      </c>
      <c r="K6" t="e">
        <f>AND('Lean Measure Data'!A11,"AAAAAG/dLQo=")</f>
        <v>#VALUE!</v>
      </c>
      <c r="L6" t="e">
        <f>AND('Lean Measure Data'!A12,"AAAAAG/dLQs=")</f>
        <v>#VALUE!</v>
      </c>
      <c r="M6" t="e">
        <f>AND('Lean Measure Data'!A13,"AAAAAG/dLQw=")</f>
        <v>#VALUE!</v>
      </c>
      <c r="N6" t="e">
        <f>AND('Lean Measure Data'!A14,"AAAAAG/dLQ0=")</f>
        <v>#VALUE!</v>
      </c>
      <c r="O6" t="e">
        <f>AND('Lean Measure Data'!A15,"AAAAAG/dLQ4=")</f>
        <v>#VALUE!</v>
      </c>
      <c r="P6" t="e">
        <f>AND('Lean Measure Data'!A16,"AAAAAG/dLQ8=")</f>
        <v>#VALUE!</v>
      </c>
      <c r="Q6" t="e">
        <f>AND('Lean Measure Data'!A17,"AAAAAG/dLRA=")</f>
        <v>#VALUE!</v>
      </c>
      <c r="R6" t="e">
        <f>AND('Lean Measure Data'!A18,"AAAAAG/dLRE=")</f>
        <v>#VALUE!</v>
      </c>
      <c r="S6" t="e">
        <f>AND('Lean Measure Data'!A19,"AAAAAG/dLRI=")</f>
        <v>#VALUE!</v>
      </c>
      <c r="T6" t="e">
        <f>AND('Lean Measure Data'!A20,"AAAAAG/dLRM=")</f>
        <v>#VALUE!</v>
      </c>
      <c r="U6" t="e">
        <f>AND('Lean Measure Data'!A21,"AAAAAG/dLRQ=")</f>
        <v>#VALUE!</v>
      </c>
      <c r="V6" t="e">
        <f>AND('Lean Measure Data'!A22,"AAAAAG/dLRU=")</f>
        <v>#VALUE!</v>
      </c>
      <c r="W6" t="e">
        <f>AND('Lean Measure Data'!A23,"AAAAAG/dLRY=")</f>
        <v>#VALUE!</v>
      </c>
      <c r="X6" t="e">
        <f>AND('Lean Measure Data'!A24,"AAAAAG/dLRc=")</f>
        <v>#VALUE!</v>
      </c>
      <c r="Y6" t="e">
        <f>AND('Lean Measure Data'!A25,"AAAAAG/dLRg=")</f>
        <v>#VALUE!</v>
      </c>
      <c r="Z6" t="e">
        <f>AND('Lean Measure Data'!A26,"AAAAAG/dLRk=")</f>
        <v>#VALUE!</v>
      </c>
      <c r="AA6" t="e">
        <f>AND('Lean Measure Data'!A27,"AAAAAG/dLRo=")</f>
        <v>#VALUE!</v>
      </c>
      <c r="AB6" t="e">
        <f>AND('Lean Measure Data'!A28,"AAAAAG/dLRs=")</f>
        <v>#VALUE!</v>
      </c>
      <c r="AC6" t="e">
        <f>AND('Lean Measure Data'!A30,"AAAAAG/dLRw=")</f>
        <v>#VALUE!</v>
      </c>
      <c r="AD6" t="e">
        <f>AND('Lean Measure Data'!A31,"AAAAAG/dLR0=")</f>
        <v>#VALUE!</v>
      </c>
      <c r="AE6" t="e">
        <f>AND('Lean Measure Data'!A32,"AAAAAG/dLR4=")</f>
        <v>#VALUE!</v>
      </c>
      <c r="AF6" t="e">
        <f>AND('Lean Measure Data'!A33,"AAAAAG/dLR8=")</f>
        <v>#VALUE!</v>
      </c>
      <c r="AG6" t="e">
        <f>AND('Lean Measure Data'!A34,"AAAAAG/dLSA=")</f>
        <v>#VALUE!</v>
      </c>
      <c r="AH6" t="e">
        <f>AND('Lean Measure Data'!A35,"AAAAAG/dLSE=")</f>
        <v>#VALUE!</v>
      </c>
      <c r="AI6" t="e">
        <f>AND('Lean Measure Data'!A36,"AAAAAG/dLSI=")</f>
        <v>#VALUE!</v>
      </c>
      <c r="AJ6" t="e">
        <f>AND(#REF!,"AAAAAG/dLSM=")</f>
        <v>#REF!</v>
      </c>
      <c r="AK6" t="e">
        <f>IF(#REF!,"AAAAAG/dLSQ=",0)</f>
        <v>#REF!</v>
      </c>
      <c r="AL6" t="e">
        <f>AND(#REF!,"AAAAAG/dLSU=")</f>
        <v>#REF!</v>
      </c>
      <c r="AM6" t="e">
        <f>IF(#REF!,"AAAAAG/dLSY=",0)</f>
        <v>#REF!</v>
      </c>
      <c r="AN6" t="e">
        <f>AND(#REF!,"AAAAAG/dLSc=")</f>
        <v>#REF!</v>
      </c>
      <c r="AO6" t="e">
        <f>IF(#REF!,"AAAAAG/dLSg=",0)</f>
        <v>#REF!</v>
      </c>
      <c r="AP6" t="e">
        <f>AND(#REF!,"AAAAAG/dLSk=")</f>
        <v>#REF!</v>
      </c>
      <c r="AQ6" t="e">
        <f>IF(#REF!,"AAAAAG/dLSo=",0)</f>
        <v>#REF!</v>
      </c>
      <c r="AR6" t="e">
        <f>AND(#REF!,"AAAAAG/dLSs=")</f>
        <v>#REF!</v>
      </c>
      <c r="AS6" t="e">
        <f>IF(#REF!,"AAAAAG/dLSw=",0)</f>
        <v>#REF!</v>
      </c>
      <c r="AT6" t="e">
        <f>AND(#REF!,"AAAAAG/dLS0=")</f>
        <v>#REF!</v>
      </c>
      <c r="AU6" t="e">
        <f>IF(#REF!,"AAAAAG/dLS4=",0)</f>
        <v>#REF!</v>
      </c>
      <c r="AV6" t="e">
        <f>AND(#REF!,"AAAAAG/dLS8=")</f>
        <v>#REF!</v>
      </c>
      <c r="AW6" t="e">
        <f>IF(#REF!,"AAAAAG/dLTA=",0)</f>
        <v>#REF!</v>
      </c>
      <c r="AX6" t="e">
        <f>AND(#REF!,"AAAAAG/dLTE=")</f>
        <v>#REF!</v>
      </c>
      <c r="AY6" t="e">
        <f>IF(#REF!,"AAAAAG/dLTI=",0)</f>
        <v>#REF!</v>
      </c>
      <c r="AZ6" t="e">
        <f>AND(#REF!,"AAAAAG/dLTM=")</f>
        <v>#REF!</v>
      </c>
      <c r="BA6" t="e">
        <f>IF(#REF!,"AAAAAG/dLTQ=",0)</f>
        <v>#REF!</v>
      </c>
      <c r="BB6" t="e">
        <f>AND(#REF!,"AAAAAG/dLTU=")</f>
        <v>#REF!</v>
      </c>
      <c r="BC6" t="e">
        <f>IF(#REF!,"AAAAAG/dLTY=",0)</f>
        <v>#REF!</v>
      </c>
      <c r="BD6" t="e">
        <f>AND(#REF!,"AAAAAG/dLTc=")</f>
        <v>#REF!</v>
      </c>
      <c r="BE6" t="e">
        <f>IF(#REF!,"AAAAAG/dLTg=",0)</f>
        <v>#REF!</v>
      </c>
      <c r="BF6" t="e">
        <f>AND(#REF!,"AAAAAG/dLTk=")</f>
        <v>#REF!</v>
      </c>
      <c r="BG6" t="e">
        <f>IF(#REF!,"AAAAAG/dLTo=",0)</f>
        <v>#REF!</v>
      </c>
      <c r="BH6" t="e">
        <f>AND(#REF!,"AAAAAG/dLTs=")</f>
        <v>#REF!</v>
      </c>
      <c r="BI6" t="e">
        <f>IF(#REF!,"AAAAAG/dLTw=",0)</f>
        <v>#REF!</v>
      </c>
      <c r="BJ6" s="2" t="s">
        <v>18</v>
      </c>
      <c r="BK6" s="3" t="s">
        <v>19</v>
      </c>
    </row>
    <row r="7" spans="1:256" x14ac:dyDescent="0.3">
      <c r="A7" t="e">
        <f>AND('Lean Measure Data'!E4,"AAAAAA//PwA=")</f>
        <v>#VALUE!</v>
      </c>
      <c r="B7" t="e">
        <f>AND('Lean Measure Data'!F4,"AAAAAA//PwE=")</f>
        <v>#VALUE!</v>
      </c>
      <c r="C7" t="e">
        <f>AND(Notes!#REF!,"AAAAAA//PwI=")</f>
        <v>#REF!</v>
      </c>
    </row>
    <row r="8" spans="1:256" x14ac:dyDescent="0.3">
      <c r="A8">
        <f>IF('Lean Measure Data'!29:29,"AAAAAHfmfwA=",0)</f>
        <v>0</v>
      </c>
      <c r="B8" t="e">
        <f>AND('Lean Measure Data'!A29,"AAAAAHfmfwE=")</f>
        <v>#VALUE!</v>
      </c>
      <c r="C8" t="e">
        <f>AND('Lean Measure Data'!B29,"AAAAAHfmfwI=")</f>
        <v>#VALUE!</v>
      </c>
      <c r="D8" t="e">
        <f>AND('Lean Measure Data'!C29,"AAAAAHfmfwM=")</f>
        <v>#VALUE!</v>
      </c>
      <c r="E8" t="e">
        <f>AND('Lean Measure Data'!D29,"AAAAAHfmfwQ=")</f>
        <v>#VALUE!</v>
      </c>
      <c r="F8" t="e">
        <f>AND('Lean Measure Data'!E29,"AAAAAHfmfwU=")</f>
        <v>#VALUE!</v>
      </c>
      <c r="G8" t="e">
        <f>AND('Lean Measure Data'!F29,"AAAAAHfmfwY=")</f>
        <v>#VALUE!</v>
      </c>
      <c r="H8" t="e">
        <f>AND('Lean Measure Data'!G29,"AAAAAHfmfwc=")</f>
        <v>#VALUE!</v>
      </c>
      <c r="I8" t="e">
        <f>AND('Lean Measure Data'!H29,"AAAAAHfmfwg=")</f>
        <v>#VALUE!</v>
      </c>
      <c r="J8" t="e">
        <f>AND('Lean Measure Data'!I29,"AAAAAHfmfwk=")</f>
        <v>#VALUE!</v>
      </c>
      <c r="K8" t="e">
        <f>AND('Lean Measure Data'!J29,"AAAAAHfmfwo=")</f>
        <v>#VALUE!</v>
      </c>
      <c r="L8" t="e">
        <f>AND('Lean Measure Data'!K29,"AAAAAHfmfws=")</f>
        <v>#VALUE!</v>
      </c>
      <c r="M8" t="e">
        <f>AND('Lean Measure Data'!L29,"AAAAAHfmfww=")</f>
        <v>#VALUE!</v>
      </c>
      <c r="N8" t="e">
        <f>AND('Lean Measure Data'!M29,"AAAAAHfmfw0=")</f>
        <v>#VALUE!</v>
      </c>
      <c r="O8" t="e">
        <f>AND('Lean Measure Data'!N29,"AAAAAHfmfw4=")</f>
        <v>#VALUE!</v>
      </c>
    </row>
    <row r="9" spans="1:256" x14ac:dyDescent="0.3">
      <c r="A9">
        <f>IF(Charts!1:1,"AAAAAF//ngA=",0)</f>
        <v>0</v>
      </c>
      <c r="B9" t="e">
        <f>AND(Charts!A1,"AAAAAF//ngE=")</f>
        <v>#VALUE!</v>
      </c>
      <c r="C9">
        <f>IF(Charts!A:A,"AAAAAF//ngI=",0)</f>
        <v>0</v>
      </c>
    </row>
    <row r="10" spans="1:256" x14ac:dyDescent="0.3">
      <c r="A10">
        <f>IF(Notes!17:17,"AAAAAH/nCwA=",0)</f>
        <v>0</v>
      </c>
      <c r="B10" t="e">
        <f>AND(Notes!B17,"AAAAAH/nCwE=")</f>
        <v>#VALUE!</v>
      </c>
      <c r="C10">
        <f>IF(Notes!18:18,"AAAAAH/nCwI=",0)</f>
        <v>0</v>
      </c>
      <c r="D10" t="e">
        <f>AND(Notes!B18,"AAAAAH/nCwM=")</f>
        <v>#VALUE!</v>
      </c>
      <c r="E10">
        <f>IF(Notes!19:19,"AAAAAH/nCwQ=",0)</f>
        <v>0</v>
      </c>
      <c r="F10" t="e">
        <f>AND(Notes!B19,"AAAAAH/nCwU=")</f>
        <v>#VALUE!</v>
      </c>
      <c r="G10">
        <f>IF(Notes!20:20,"AAAAAH/nCwY=",0)</f>
        <v>0</v>
      </c>
      <c r="H10" t="e">
        <f>AND(Notes!B20,"AAAAAH/nCwc=")</f>
        <v>#VALUE!</v>
      </c>
      <c r="I10">
        <f>IF(Notes!21:21,"AAAAAH/nCwg=",0)</f>
        <v>0</v>
      </c>
      <c r="J10" t="e">
        <f>AND(Notes!B21,"AAAAAH/nCwk=")</f>
        <v>#VALUE!</v>
      </c>
      <c r="K10">
        <f>IF(Notes!22:22,"AAAAAH/nCwo=",0)</f>
        <v>0</v>
      </c>
      <c r="L10" t="e">
        <f>AND(Notes!B22,"AAAAAH/nCws=")</f>
        <v>#VALUE!</v>
      </c>
      <c r="M10">
        <f>IF(Notes!23:23,"AAAAAH/nCww=",0)</f>
        <v>0</v>
      </c>
      <c r="N10" t="e">
        <f>AND(Notes!B23,"AAAAAH/nCw0=")</f>
        <v>#VALUE!</v>
      </c>
      <c r="O10">
        <f>IF(Notes!24:24,"AAAAAH/nCw4=",0)</f>
        <v>0</v>
      </c>
      <c r="P10" t="e">
        <f>AND(Notes!B24,"AAAAAH/nCw8=")</f>
        <v>#VALUE!</v>
      </c>
      <c r="Q10">
        <f>IF(Notes!25:25,"AAAAAH/nCxA=",0)</f>
        <v>0</v>
      </c>
      <c r="R10" t="e">
        <f>AND(Notes!B25,"AAAAAH/nCxE=")</f>
        <v>#VALUE!</v>
      </c>
      <c r="S10">
        <f>IF(Notes!C:C,"AAAAAH/nCxI=",0)</f>
        <v>0</v>
      </c>
      <c r="T10">
        <f>IF(Notes!D:D,"AAAAAH/nCxM=",0)</f>
        <v>0</v>
      </c>
    </row>
    <row r="11" spans="1:256" x14ac:dyDescent="0.3">
      <c r="A11" t="e">
        <f>IF("N",Charts!_xlnm.Print_Area,"AAAAAHcvOgA=")</f>
        <v>#VALUE!</v>
      </c>
    </row>
    <row r="12" spans="1:256" x14ac:dyDescent="0.3">
      <c r="A12" t="e">
        <f>IF("N",Notes!_xlnm.Print_Area,"AAAAAH3b7gA=")</f>
        <v>#VALUE!</v>
      </c>
      <c r="B12" t="e">
        <f>IF("N",[0]!_xlnm.Print_Area,"AAAAAH3b7gE=")</f>
        <v>#VALUE!</v>
      </c>
    </row>
    <row r="13" spans="1:256" x14ac:dyDescent="0.3">
      <c r="A13" t="e">
        <f>AND('Lean Measure Data'!O1,"AAAAAH2r/wA=")</f>
        <v>#VALUE!</v>
      </c>
      <c r="B13" t="e">
        <f>AND('Lean Measure Data'!O2,"AAAAAH2r/wE=")</f>
        <v>#VALUE!</v>
      </c>
      <c r="C13">
        <f>IF('Lean Measure Data'!O:O,"AAAAAH2r/wI=",0)</f>
        <v>0</v>
      </c>
    </row>
  </sheetData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Lean Measure Data</vt:lpstr>
      <vt:lpstr>Charts</vt:lpstr>
      <vt:lpstr>Notes</vt:lpstr>
      <vt:lpstr>Charts!Print_Area</vt:lpstr>
      <vt:lpstr>Notes!Print_Area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Coles</dc:creator>
  <cp:lastModifiedBy>Nick Morris</cp:lastModifiedBy>
  <dcterms:created xsi:type="dcterms:W3CDTF">2012-01-04T19:17:22Z</dcterms:created>
  <dcterms:modified xsi:type="dcterms:W3CDTF">2015-01-07T21:07:26Z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16evcrguipzU2JkSIMBK2sh0fuVkwOA7mze67_jlyv-k</vt:lpwstr>
  </property>
  <property fmtid="{D5CDD505-2E9C-101B-9397-08002B2CF9AE}" pid="4" name="Google.Documents.RevisionId">
    <vt:lpwstr>01158043007714768102</vt:lpwstr>
  </property>
  <property fmtid="{D5CDD505-2E9C-101B-9397-08002B2CF9AE}" pid="5" name="Google.Documents.PreviousRevisionId">
    <vt:lpwstr>15786660211910901738</vt:lpwstr>
  </property>
  <property fmtid="{D5CDD505-2E9C-101B-9397-08002B2CF9AE}" pid="6" name="Google.Documents.PluginVersion">
    <vt:lpwstr>2.0.2424.7283</vt:lpwstr>
  </property>
  <property fmtid="{D5CDD505-2E9C-101B-9397-08002B2CF9AE}" pid="7" name="Google.Documents.MergeIncapabilityFlags">
    <vt:i4>0</vt:i4>
  </property>
</Properties>
</file>