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morris\Documents\JMA\Excel Tools\Statistics\SQC\MSA\"/>
    </mc:Choice>
  </mc:AlternateContent>
  <bookViews>
    <workbookView xWindow="0" yWindow="0" windowWidth="17280" windowHeight="6672" activeTab="2"/>
  </bookViews>
  <sheets>
    <sheet name="Data Sheet" sheetId="1" r:id="rId1"/>
    <sheet name="Graphical Summary" sheetId="2" r:id="rId2"/>
    <sheet name="Numerical Summary" sheetId="3" r:id="rId3"/>
  </sheets>
  <calcPr calcId="152511"/>
  <pivotCaches>
    <pivotCache cacheId="0" r:id="rId4"/>
    <pivotCache cacheId="1" r:id="rId5"/>
    <pivotCache cacheId="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31" i="3" l="1"/>
  <c r="U31" i="3" s="1"/>
  <c r="AI31" i="3"/>
  <c r="V31" i="3" s="1"/>
  <c r="AD46" i="3" s="1"/>
  <c r="AJ31" i="3"/>
  <c r="W31" i="3" s="1"/>
  <c r="AE46" i="3" s="1"/>
  <c r="AH32" i="3"/>
  <c r="U32" i="3" s="1"/>
  <c r="AC47" i="3" s="1"/>
  <c r="AI32" i="3"/>
  <c r="V32" i="3" s="1"/>
  <c r="AD47" i="3" s="1"/>
  <c r="AJ32" i="3"/>
  <c r="W32" i="3" s="1"/>
  <c r="AE47" i="3" s="1"/>
  <c r="AH33" i="3"/>
  <c r="U33" i="3" s="1"/>
  <c r="AC48" i="3" s="1"/>
  <c r="AI33" i="3"/>
  <c r="V33" i="3" s="1"/>
  <c r="AD48" i="3" s="1"/>
  <c r="AJ33" i="3"/>
  <c r="W33" i="3" s="1"/>
  <c r="AE48" i="3" s="1"/>
  <c r="AH34" i="3"/>
  <c r="U34" i="3" s="1"/>
  <c r="AC49" i="3" s="1"/>
  <c r="AI34" i="3"/>
  <c r="V34" i="3" s="1"/>
  <c r="AD49" i="3" s="1"/>
  <c r="AJ34" i="3"/>
  <c r="W34" i="3" s="1"/>
  <c r="AE49" i="3" s="1"/>
  <c r="AH35" i="3"/>
  <c r="U35" i="3" s="1"/>
  <c r="AC50" i="3" s="1"/>
  <c r="AI35" i="3"/>
  <c r="V35" i="3" s="1"/>
  <c r="AD50" i="3" s="1"/>
  <c r="AJ35" i="3"/>
  <c r="W35" i="3" s="1"/>
  <c r="AE50" i="3" s="1"/>
  <c r="AH36" i="3"/>
  <c r="U36" i="3" s="1"/>
  <c r="AC51" i="3" s="1"/>
  <c r="AI36" i="3"/>
  <c r="V36" i="3" s="1"/>
  <c r="AD51" i="3" s="1"/>
  <c r="AJ36" i="3"/>
  <c r="W36" i="3" s="1"/>
  <c r="AE51" i="3" s="1"/>
  <c r="AH37" i="3"/>
  <c r="U37" i="3" s="1"/>
  <c r="AC52" i="3" s="1"/>
  <c r="AI37" i="3"/>
  <c r="V37" i="3" s="1"/>
  <c r="AD52" i="3" s="1"/>
  <c r="AJ37" i="3"/>
  <c r="W37" i="3" s="1"/>
  <c r="AE52" i="3" s="1"/>
  <c r="AH38" i="3"/>
  <c r="U38" i="3" s="1"/>
  <c r="AC53" i="3" s="1"/>
  <c r="AI38" i="3"/>
  <c r="V38" i="3" s="1"/>
  <c r="AD53" i="3" s="1"/>
  <c r="AJ38" i="3"/>
  <c r="W38" i="3" s="1"/>
  <c r="AE53" i="3" s="1"/>
  <c r="AH39" i="3"/>
  <c r="U39" i="3" s="1"/>
  <c r="AI39" i="3"/>
  <c r="V39" i="3" s="1"/>
  <c r="AD54" i="3" s="1"/>
  <c r="AJ39" i="3"/>
  <c r="W39" i="3" s="1"/>
  <c r="AJ30" i="3"/>
  <c r="W30" i="3" s="1"/>
  <c r="AE45" i="3" s="1"/>
  <c r="AI30" i="3"/>
  <c r="V30" i="3" s="1"/>
  <c r="AD45" i="3" s="1"/>
  <c r="AH30" i="3"/>
  <c r="U30" i="3" s="1"/>
  <c r="AH17" i="3"/>
  <c r="U17" i="3" s="1"/>
  <c r="AI17" i="3"/>
  <c r="V17" i="3" s="1"/>
  <c r="Z46" i="3" s="1"/>
  <c r="AJ17" i="3"/>
  <c r="W17" i="3" s="1"/>
  <c r="AA46" i="3" s="1"/>
  <c r="AH18" i="3"/>
  <c r="U18" i="3" s="1"/>
  <c r="Y47" i="3" s="1"/>
  <c r="AI18" i="3"/>
  <c r="V18" i="3" s="1"/>
  <c r="Z47" i="3" s="1"/>
  <c r="AJ18" i="3"/>
  <c r="W18" i="3" s="1"/>
  <c r="AA47" i="3" s="1"/>
  <c r="AH19" i="3"/>
  <c r="U19" i="3" s="1"/>
  <c r="Y48" i="3" s="1"/>
  <c r="AI19" i="3"/>
  <c r="V19" i="3" s="1"/>
  <c r="Z48" i="3" s="1"/>
  <c r="AJ19" i="3"/>
  <c r="W19" i="3" s="1"/>
  <c r="AA48" i="3" s="1"/>
  <c r="AH20" i="3"/>
  <c r="U20" i="3" s="1"/>
  <c r="Y49" i="3" s="1"/>
  <c r="AI20" i="3"/>
  <c r="V20" i="3" s="1"/>
  <c r="Z49" i="3" s="1"/>
  <c r="AJ20" i="3"/>
  <c r="W20" i="3" s="1"/>
  <c r="AA49" i="3" s="1"/>
  <c r="AH21" i="3"/>
  <c r="U21" i="3" s="1"/>
  <c r="Y50" i="3" s="1"/>
  <c r="AI21" i="3"/>
  <c r="V21" i="3" s="1"/>
  <c r="Z50" i="3" s="1"/>
  <c r="AJ21" i="3"/>
  <c r="W21" i="3" s="1"/>
  <c r="AA50" i="3" s="1"/>
  <c r="AH22" i="3"/>
  <c r="U22" i="3" s="1"/>
  <c r="Y51" i="3" s="1"/>
  <c r="AI22" i="3"/>
  <c r="V22" i="3" s="1"/>
  <c r="Z51" i="3" s="1"/>
  <c r="AJ22" i="3"/>
  <c r="W22" i="3" s="1"/>
  <c r="AA51" i="3" s="1"/>
  <c r="AH23" i="3"/>
  <c r="U23" i="3" s="1"/>
  <c r="Y52" i="3" s="1"/>
  <c r="AI23" i="3"/>
  <c r="V23" i="3" s="1"/>
  <c r="Z52" i="3" s="1"/>
  <c r="AJ23" i="3"/>
  <c r="W23" i="3" s="1"/>
  <c r="AA52" i="3" s="1"/>
  <c r="AH24" i="3"/>
  <c r="U24" i="3" s="1"/>
  <c r="Y53" i="3" s="1"/>
  <c r="AI24" i="3"/>
  <c r="V24" i="3" s="1"/>
  <c r="Z53" i="3" s="1"/>
  <c r="AJ24" i="3"/>
  <c r="W24" i="3" s="1"/>
  <c r="AA53" i="3" s="1"/>
  <c r="AH25" i="3"/>
  <c r="U25" i="3" s="1"/>
  <c r="AI25" i="3"/>
  <c r="V25" i="3" s="1"/>
  <c r="Z54" i="3" s="1"/>
  <c r="AJ25" i="3"/>
  <c r="W25" i="3" s="1"/>
  <c r="AI16" i="3"/>
  <c r="V16" i="3" s="1"/>
  <c r="AJ16" i="3"/>
  <c r="W16" i="3" s="1"/>
  <c r="AH16" i="3"/>
  <c r="U16" i="3" s="1"/>
  <c r="AI2" i="3"/>
  <c r="V2" i="3" s="1"/>
  <c r="AJ2" i="3"/>
  <c r="W2" i="3" s="1"/>
  <c r="AH2" i="3"/>
  <c r="AH5" i="3"/>
  <c r="U5" i="3" s="1"/>
  <c r="AI5" i="3"/>
  <c r="V5" i="3" s="1"/>
  <c r="V48" i="3" s="1"/>
  <c r="AJ5" i="3"/>
  <c r="W5" i="3" s="1"/>
  <c r="W48" i="3" s="1"/>
  <c r="AH6" i="3"/>
  <c r="U6" i="3" s="1"/>
  <c r="U49" i="3" s="1"/>
  <c r="AI6" i="3"/>
  <c r="V6" i="3" s="1"/>
  <c r="V49" i="3" s="1"/>
  <c r="AJ6" i="3"/>
  <c r="W6" i="3" s="1"/>
  <c r="W49" i="3" s="1"/>
  <c r="AH7" i="3"/>
  <c r="U7" i="3" s="1"/>
  <c r="U50" i="3" s="1"/>
  <c r="AI7" i="3"/>
  <c r="V7" i="3" s="1"/>
  <c r="V50" i="3" s="1"/>
  <c r="AJ7" i="3"/>
  <c r="W7" i="3" s="1"/>
  <c r="W50" i="3" s="1"/>
  <c r="AH8" i="3"/>
  <c r="U8" i="3" s="1"/>
  <c r="U51" i="3" s="1"/>
  <c r="AI8" i="3"/>
  <c r="V8" i="3" s="1"/>
  <c r="V51" i="3" s="1"/>
  <c r="AJ8" i="3"/>
  <c r="W8" i="3" s="1"/>
  <c r="W51" i="3" s="1"/>
  <c r="AH9" i="3"/>
  <c r="U9" i="3" s="1"/>
  <c r="U52" i="3" s="1"/>
  <c r="AI9" i="3"/>
  <c r="V9" i="3" s="1"/>
  <c r="V52" i="3" s="1"/>
  <c r="AJ9" i="3"/>
  <c r="W9" i="3" s="1"/>
  <c r="W52" i="3" s="1"/>
  <c r="AH10" i="3"/>
  <c r="U10" i="3" s="1"/>
  <c r="U53" i="3" s="1"/>
  <c r="AI10" i="3"/>
  <c r="V10" i="3" s="1"/>
  <c r="V53" i="3" s="1"/>
  <c r="AJ10" i="3"/>
  <c r="W10" i="3" s="1"/>
  <c r="W53" i="3" s="1"/>
  <c r="AH11" i="3"/>
  <c r="U11" i="3" s="1"/>
  <c r="AI11" i="3"/>
  <c r="V11" i="3" s="1"/>
  <c r="V54" i="3" s="1"/>
  <c r="AJ11" i="3"/>
  <c r="W11" i="3" s="1"/>
  <c r="W54" i="3" s="1"/>
  <c r="AJ4" i="3"/>
  <c r="W4" i="3" s="1"/>
  <c r="W47" i="3" s="1"/>
  <c r="AI4" i="3"/>
  <c r="V4" i="3" s="1"/>
  <c r="V47" i="3" s="1"/>
  <c r="AJ3" i="3"/>
  <c r="W3" i="3" s="1"/>
  <c r="W46" i="3" s="1"/>
  <c r="AI3" i="3"/>
  <c r="V3" i="3" s="1"/>
  <c r="AH4" i="3"/>
  <c r="U4" i="3" s="1"/>
  <c r="AH3" i="3"/>
  <c r="U3" i="3" s="1"/>
  <c r="AE54" i="3" l="1"/>
  <c r="AC54" i="3"/>
  <c r="AA39" i="3"/>
  <c r="AB39" i="3" s="1"/>
  <c r="AC46" i="3"/>
  <c r="AA31" i="3"/>
  <c r="AD31" i="3" s="1"/>
  <c r="AC45" i="3"/>
  <c r="AA30" i="3"/>
  <c r="AB30" i="3" s="1"/>
  <c r="AA54" i="3"/>
  <c r="Y54" i="3"/>
  <c r="AA25" i="3"/>
  <c r="AB25" i="3" s="1"/>
  <c r="AA17" i="3"/>
  <c r="AD17" i="3" s="1"/>
  <c r="Y46" i="3"/>
  <c r="AA45" i="3"/>
  <c r="Z45" i="3"/>
  <c r="Y45" i="3"/>
  <c r="AA16" i="3"/>
  <c r="AB16" i="3" s="1"/>
  <c r="U48" i="3"/>
  <c r="AF48" i="3" s="1"/>
  <c r="U47" i="3"/>
  <c r="AF47" i="3" s="1"/>
  <c r="V46" i="3"/>
  <c r="W45" i="3"/>
  <c r="V45" i="3"/>
  <c r="U54" i="3"/>
  <c r="AA11" i="3"/>
  <c r="AD11" i="3" s="1"/>
  <c r="U46" i="3"/>
  <c r="AA3" i="3"/>
  <c r="AD3" i="3" s="1"/>
  <c r="AF52" i="3"/>
  <c r="AF53" i="3"/>
  <c r="AF49" i="3"/>
  <c r="AF50" i="3"/>
  <c r="AF51" i="3"/>
  <c r="AA21" i="3"/>
  <c r="AB21" i="3" s="1"/>
  <c r="AA38" i="3"/>
  <c r="AC38" i="3" s="1"/>
  <c r="AA34" i="3"/>
  <c r="AC34" i="3" s="1"/>
  <c r="AA36" i="3"/>
  <c r="AC36" i="3" s="1"/>
  <c r="AA35" i="3"/>
  <c r="AD35" i="3" s="1"/>
  <c r="AA32" i="3"/>
  <c r="AB32" i="3" s="1"/>
  <c r="U40" i="3"/>
  <c r="V40" i="3"/>
  <c r="AA37" i="3"/>
  <c r="AB37" i="3" s="1"/>
  <c r="AA33" i="3"/>
  <c r="AD33" i="3" s="1"/>
  <c r="W40" i="3"/>
  <c r="V26" i="3"/>
  <c r="AA23" i="3"/>
  <c r="AC23" i="3" s="1"/>
  <c r="AA19" i="3"/>
  <c r="AB19" i="3" s="1"/>
  <c r="AA22" i="3"/>
  <c r="AD22" i="3" s="1"/>
  <c r="AA18" i="3"/>
  <c r="AD18" i="3" s="1"/>
  <c r="U26" i="3"/>
  <c r="AA24" i="3"/>
  <c r="AD24" i="3" s="1"/>
  <c r="AA20" i="3"/>
  <c r="AD20" i="3" s="1"/>
  <c r="W26" i="3"/>
  <c r="AA4" i="3"/>
  <c r="AB4" i="3" s="1"/>
  <c r="AA9" i="3"/>
  <c r="AD9" i="3" s="1"/>
  <c r="AA5" i="3"/>
  <c r="AD5" i="3" s="1"/>
  <c r="AA10" i="3"/>
  <c r="AC10" i="3" s="1"/>
  <c r="AA6" i="3"/>
  <c r="AD6" i="3" s="1"/>
  <c r="AA7" i="3"/>
  <c r="AD7" i="3" s="1"/>
  <c r="AA8" i="3"/>
  <c r="AB8" i="3" s="1"/>
  <c r="W12" i="3"/>
  <c r="V12" i="3"/>
  <c r="U2" i="3"/>
  <c r="J4" i="3"/>
  <c r="D4" i="3"/>
  <c r="J3" i="3"/>
  <c r="D3" i="3"/>
  <c r="J2" i="3"/>
  <c r="D2" i="3"/>
  <c r="AD28" i="2"/>
  <c r="AE28" i="2" s="1"/>
  <c r="AD37" i="2"/>
  <c r="AE37" i="2" s="1"/>
  <c r="W17" i="2"/>
  <c r="X17" i="2" s="1"/>
  <c r="W26" i="2"/>
  <c r="X26" i="2" s="1"/>
  <c r="W35" i="2"/>
  <c r="X35" i="2" s="1"/>
  <c r="AD24" i="2"/>
  <c r="AE24" i="2" s="1"/>
  <c r="AD33" i="2"/>
  <c r="AE33" i="2" s="1"/>
  <c r="W13" i="2"/>
  <c r="X13" i="2" s="1"/>
  <c r="W22" i="2"/>
  <c r="X22" i="2" s="1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W31" i="2"/>
  <c r="X31" i="2" s="1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D20" i="2"/>
  <c r="AE20" i="2" s="1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W9" i="2"/>
  <c r="X9" i="2" s="1"/>
  <c r="J6" i="2"/>
  <c r="D6" i="2"/>
  <c r="J5" i="2"/>
  <c r="D5" i="2"/>
  <c r="J4" i="2"/>
  <c r="D4" i="2"/>
  <c r="F74" i="1"/>
  <c r="M69" i="1"/>
  <c r="M68" i="1"/>
  <c r="C38" i="1"/>
  <c r="F37" i="1"/>
  <c r="H35" i="1"/>
  <c r="C35" i="1"/>
  <c r="M34" i="1"/>
  <c r="H34" i="1"/>
  <c r="C34" i="1"/>
  <c r="M33" i="1"/>
  <c r="H33" i="1"/>
  <c r="C33" i="1"/>
  <c r="L26" i="1"/>
  <c r="W38" i="2" s="1"/>
  <c r="X38" i="2" s="1"/>
  <c r="K26" i="1"/>
  <c r="W37" i="2" s="1"/>
  <c r="X37" i="2" s="1"/>
  <c r="J26" i="1"/>
  <c r="W36" i="2" s="1"/>
  <c r="X36" i="2" s="1"/>
  <c r="I26" i="1"/>
  <c r="H26" i="1"/>
  <c r="W34" i="2" s="1"/>
  <c r="X34" i="2" s="1"/>
  <c r="G26" i="1"/>
  <c r="W33" i="2" s="1"/>
  <c r="X33" i="2" s="1"/>
  <c r="F26" i="1"/>
  <c r="W32" i="2" s="1"/>
  <c r="X32" i="2" s="1"/>
  <c r="E26" i="1"/>
  <c r="D26" i="1"/>
  <c r="W30" i="2" s="1"/>
  <c r="X30" i="2" s="1"/>
  <c r="C26" i="1"/>
  <c r="N26" i="1" s="1"/>
  <c r="L25" i="1"/>
  <c r="AD38" i="2" s="1"/>
  <c r="AE38" i="2" s="1"/>
  <c r="K25" i="1"/>
  <c r="J25" i="1"/>
  <c r="AD36" i="2" s="1"/>
  <c r="AE36" i="2" s="1"/>
  <c r="I25" i="1"/>
  <c r="AD35" i="2" s="1"/>
  <c r="AE35" i="2" s="1"/>
  <c r="H25" i="1"/>
  <c r="AD34" i="2" s="1"/>
  <c r="AE34" i="2" s="1"/>
  <c r="G25" i="1"/>
  <c r="F25" i="1"/>
  <c r="AD32" i="2" s="1"/>
  <c r="AE32" i="2" s="1"/>
  <c r="E25" i="1"/>
  <c r="AD31" i="2" s="1"/>
  <c r="AE31" i="2" s="1"/>
  <c r="D25" i="1"/>
  <c r="AD30" i="2" s="1"/>
  <c r="AE30" i="2" s="1"/>
  <c r="C25" i="1"/>
  <c r="AD29" i="2" s="1"/>
  <c r="AE29" i="2" s="1"/>
  <c r="M24" i="1"/>
  <c r="M23" i="1"/>
  <c r="M22" i="1"/>
  <c r="L21" i="1"/>
  <c r="W28" i="2" s="1"/>
  <c r="X28" i="2" s="1"/>
  <c r="K21" i="1"/>
  <c r="W27" i="2" s="1"/>
  <c r="X27" i="2" s="1"/>
  <c r="J21" i="1"/>
  <c r="I21" i="1"/>
  <c r="W25" i="2" s="1"/>
  <c r="X25" i="2" s="1"/>
  <c r="H21" i="1"/>
  <c r="W24" i="2" s="1"/>
  <c r="X24" i="2" s="1"/>
  <c r="G21" i="1"/>
  <c r="W23" i="2" s="1"/>
  <c r="X23" i="2" s="1"/>
  <c r="F21" i="1"/>
  <c r="E21" i="1"/>
  <c r="W21" i="2" s="1"/>
  <c r="X21" i="2" s="1"/>
  <c r="D21" i="1"/>
  <c r="W20" i="2" s="1"/>
  <c r="X20" i="2" s="1"/>
  <c r="C21" i="1"/>
  <c r="N21" i="1" s="1"/>
  <c r="L20" i="1"/>
  <c r="K20" i="1"/>
  <c r="AD27" i="2" s="1"/>
  <c r="AE27" i="2" s="1"/>
  <c r="J20" i="1"/>
  <c r="AD26" i="2" s="1"/>
  <c r="AE26" i="2" s="1"/>
  <c r="I20" i="1"/>
  <c r="AD25" i="2" s="1"/>
  <c r="AE25" i="2" s="1"/>
  <c r="H20" i="1"/>
  <c r="G20" i="1"/>
  <c r="AD23" i="2" s="1"/>
  <c r="AE23" i="2" s="1"/>
  <c r="F20" i="1"/>
  <c r="AD22" i="2" s="1"/>
  <c r="AE22" i="2" s="1"/>
  <c r="E20" i="1"/>
  <c r="AD21" i="2" s="1"/>
  <c r="AE21" i="2" s="1"/>
  <c r="D20" i="1"/>
  <c r="C20" i="1"/>
  <c r="N20" i="1" s="1"/>
  <c r="BL10" i="2" s="1"/>
  <c r="M19" i="1"/>
  <c r="M18" i="1"/>
  <c r="M17" i="1"/>
  <c r="L16" i="1"/>
  <c r="W18" i="2" s="1"/>
  <c r="X18" i="2" s="1"/>
  <c r="K16" i="1"/>
  <c r="J16" i="1"/>
  <c r="W16" i="2" s="1"/>
  <c r="X16" i="2" s="1"/>
  <c r="I16" i="1"/>
  <c r="W15" i="2" s="1"/>
  <c r="X15" i="2" s="1"/>
  <c r="H16" i="1"/>
  <c r="W14" i="2" s="1"/>
  <c r="X14" i="2" s="1"/>
  <c r="G16" i="1"/>
  <c r="F16" i="1"/>
  <c r="W12" i="2" s="1"/>
  <c r="X12" i="2" s="1"/>
  <c r="E16" i="1"/>
  <c r="W11" i="2" s="1"/>
  <c r="X11" i="2" s="1"/>
  <c r="D16" i="1"/>
  <c r="W10" i="2" s="1"/>
  <c r="X10" i="2" s="1"/>
  <c r="C16" i="1"/>
  <c r="N16" i="1" s="1"/>
  <c r="L15" i="1"/>
  <c r="AD18" i="2" s="1"/>
  <c r="AE18" i="2" s="1"/>
  <c r="K15" i="1"/>
  <c r="AD17" i="2" s="1"/>
  <c r="AE17" i="2" s="1"/>
  <c r="J15" i="1"/>
  <c r="AD16" i="2" s="1"/>
  <c r="AE16" i="2" s="1"/>
  <c r="I15" i="1"/>
  <c r="AD15" i="2" s="1"/>
  <c r="AE15" i="2" s="1"/>
  <c r="H15" i="1"/>
  <c r="AD14" i="2" s="1"/>
  <c r="AE14" i="2" s="1"/>
  <c r="G15" i="1"/>
  <c r="AD13" i="2" s="1"/>
  <c r="AE13" i="2" s="1"/>
  <c r="F15" i="1"/>
  <c r="AD12" i="2" s="1"/>
  <c r="AE12" i="2" s="1"/>
  <c r="E15" i="1"/>
  <c r="AD11" i="2" s="1"/>
  <c r="AE11" i="2" s="1"/>
  <c r="D15" i="1"/>
  <c r="AD10" i="2" s="1"/>
  <c r="AE10" i="2" s="1"/>
  <c r="C15" i="1"/>
  <c r="AD9" i="2" s="1"/>
  <c r="AE9" i="2" s="1"/>
  <c r="M14" i="1"/>
  <c r="M13" i="1"/>
  <c r="M12" i="1"/>
  <c r="H8" i="1"/>
  <c r="H39" i="1" s="1"/>
  <c r="F8" i="1"/>
  <c r="F39" i="1" s="1"/>
  <c r="H7" i="1"/>
  <c r="H38" i="1" s="1"/>
  <c r="F7" i="1"/>
  <c r="F73" i="1" s="1"/>
  <c r="C7" i="1"/>
  <c r="P3" i="3" s="1"/>
  <c r="M6" i="1"/>
  <c r="M37" i="1" s="1"/>
  <c r="H6" i="1"/>
  <c r="H72" i="1" s="1"/>
  <c r="F6" i="1"/>
  <c r="F72" i="1" s="1"/>
  <c r="C6" i="1"/>
  <c r="P4" i="2" s="1"/>
  <c r="N29" i="1" l="1"/>
  <c r="C27" i="1"/>
  <c r="G27" i="1"/>
  <c r="P2" i="3"/>
  <c r="D27" i="1"/>
  <c r="H27" i="1"/>
  <c r="L27" i="1"/>
  <c r="H37" i="1"/>
  <c r="F38" i="1"/>
  <c r="C72" i="1"/>
  <c r="M72" i="1"/>
  <c r="H74" i="1"/>
  <c r="W19" i="2"/>
  <c r="X19" i="2" s="1"/>
  <c r="N25" i="1"/>
  <c r="K27" i="1"/>
  <c r="H73" i="1"/>
  <c r="C8" i="1"/>
  <c r="N15" i="1"/>
  <c r="E27" i="1"/>
  <c r="I27" i="1"/>
  <c r="C73" i="1"/>
  <c r="P5" i="2"/>
  <c r="W29" i="2"/>
  <c r="X29" i="2" s="1"/>
  <c r="AD19" i="2"/>
  <c r="AE19" i="2" s="1"/>
  <c r="F27" i="1"/>
  <c r="J27" i="1"/>
  <c r="C37" i="1"/>
  <c r="D51" i="3"/>
  <c r="D62" i="3" s="1"/>
  <c r="D52" i="3"/>
  <c r="D63" i="3" s="1"/>
  <c r="AD39" i="3"/>
  <c r="AF54" i="3"/>
  <c r="AD25" i="3"/>
  <c r="AD16" i="3"/>
  <c r="AB17" i="3"/>
  <c r="AC16" i="3"/>
  <c r="AB5" i="3"/>
  <c r="AF46" i="3"/>
  <c r="AB3" i="3"/>
  <c r="AC3" i="3"/>
  <c r="AB11" i="3"/>
  <c r="AC32" i="3"/>
  <c r="AA2" i="3"/>
  <c r="AD2" i="3" s="1"/>
  <c r="AC21" i="3"/>
  <c r="AB34" i="3"/>
  <c r="AC35" i="3"/>
  <c r="AB38" i="3"/>
  <c r="AC5" i="3"/>
  <c r="AD10" i="3"/>
  <c r="AD21" i="3"/>
  <c r="AD23" i="3"/>
  <c r="AB35" i="3"/>
  <c r="AD38" i="3"/>
  <c r="U41" i="3"/>
  <c r="AC30" i="3"/>
  <c r="AD37" i="3"/>
  <c r="AD19" i="3"/>
  <c r="AD34" i="3"/>
  <c r="AC17" i="3"/>
  <c r="AD32" i="3"/>
  <c r="AB9" i="3"/>
  <c r="AC24" i="3"/>
  <c r="AC39" i="3"/>
  <c r="AB36" i="3"/>
  <c r="AC18" i="3"/>
  <c r="AC20" i="3"/>
  <c r="AC31" i="3"/>
  <c r="U45" i="3"/>
  <c r="AF45" i="3" s="1"/>
  <c r="AB24" i="3"/>
  <c r="AC33" i="3"/>
  <c r="AC6" i="3"/>
  <c r="AC9" i="3"/>
  <c r="AD36" i="3"/>
  <c r="AC37" i="3"/>
  <c r="AC25" i="3"/>
  <c r="AB33" i="3"/>
  <c r="AC19" i="3"/>
  <c r="AB6" i="3"/>
  <c r="AB31" i="3"/>
  <c r="AC7" i="3"/>
  <c r="AB20" i="3"/>
  <c r="AB7" i="3"/>
  <c r="AD30" i="3"/>
  <c r="AB10" i="3"/>
  <c r="U27" i="3"/>
  <c r="AC22" i="3"/>
  <c r="AD4" i="3"/>
  <c r="AB22" i="3"/>
  <c r="AC4" i="3"/>
  <c r="AB18" i="3"/>
  <c r="AB23" i="3"/>
  <c r="AD8" i="3"/>
  <c r="U12" i="3"/>
  <c r="AF2" i="3" s="1"/>
  <c r="AC11" i="3"/>
  <c r="AC8" i="3"/>
  <c r="BL9" i="2" l="1"/>
  <c r="N30" i="1"/>
  <c r="K6" i="1" s="1"/>
  <c r="BL11" i="2"/>
  <c r="N27" i="1"/>
  <c r="N28" i="1"/>
  <c r="M7" i="1" s="1"/>
  <c r="C74" i="1"/>
  <c r="C100" i="1" s="1"/>
  <c r="P4" i="3"/>
  <c r="P6" i="2"/>
  <c r="C39" i="1"/>
  <c r="V9" i="2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N31" i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K7" i="1"/>
  <c r="D54" i="3"/>
  <c r="D55" i="3"/>
  <c r="D65" i="3" s="1"/>
  <c r="D53" i="3"/>
  <c r="AB2" i="3"/>
  <c r="AC2" i="3"/>
  <c r="U13" i="3"/>
  <c r="U14" i="3" s="1"/>
  <c r="Z16" i="3"/>
  <c r="X2" i="3"/>
  <c r="AG51" i="3"/>
  <c r="X38" i="3"/>
  <c r="Y37" i="3"/>
  <c r="Z23" i="3"/>
  <c r="Y16" i="3"/>
  <c r="Y36" i="3"/>
  <c r="X31" i="3"/>
  <c r="Z24" i="3"/>
  <c r="Y5" i="3"/>
  <c r="Z36" i="3"/>
  <c r="Z21" i="3"/>
  <c r="AG48" i="3"/>
  <c r="Y23" i="3"/>
  <c r="X17" i="3"/>
  <c r="X8" i="3"/>
  <c r="Z30" i="3"/>
  <c r="Y7" i="3"/>
  <c r="Y34" i="3"/>
  <c r="Y25" i="3"/>
  <c r="Z9" i="3"/>
  <c r="Y4" i="3"/>
  <c r="Y2" i="3"/>
  <c r="AG52" i="3"/>
  <c r="X39" i="3"/>
  <c r="Y31" i="3"/>
  <c r="X21" i="3"/>
  <c r="X5" i="3"/>
  <c r="X36" i="3"/>
  <c r="Y19" i="3"/>
  <c r="Z7" i="3"/>
  <c r="AG47" i="3"/>
  <c r="Z34" i="3"/>
  <c r="Y10" i="3"/>
  <c r="Z3" i="3"/>
  <c r="Z32" i="3"/>
  <c r="X9" i="3"/>
  <c r="Y33" i="3"/>
  <c r="Y24" i="3"/>
  <c r="X19" i="3"/>
  <c r="X10" i="3"/>
  <c r="Z4" i="3"/>
  <c r="X37" i="3"/>
  <c r="Z31" i="3"/>
  <c r="Z22" i="3"/>
  <c r="Y17" i="3"/>
  <c r="X7" i="3"/>
  <c r="U42" i="3"/>
  <c r="Z39" i="3"/>
  <c r="X20" i="3"/>
  <c r="AG50" i="3"/>
  <c r="Z38" i="3"/>
  <c r="X30" i="3"/>
  <c r="Z19" i="3"/>
  <c r="Z2" i="3"/>
  <c r="Y35" i="3"/>
  <c r="Y18" i="3"/>
  <c r="AG53" i="3"/>
  <c r="AG45" i="3"/>
  <c r="Z33" i="3"/>
  <c r="Y9" i="3"/>
  <c r="Y39" i="3"/>
  <c r="X25" i="3"/>
  <c r="Y6" i="3"/>
  <c r="X32" i="3"/>
  <c r="X23" i="3"/>
  <c r="Z17" i="3"/>
  <c r="Z8" i="3"/>
  <c r="Y3" i="3"/>
  <c r="Z35" i="3"/>
  <c r="Y30" i="3"/>
  <c r="Y21" i="3"/>
  <c r="X16" i="3"/>
  <c r="Z5" i="3"/>
  <c r="U28" i="3"/>
  <c r="AG54" i="3"/>
  <c r="AG46" i="3"/>
  <c r="Y32" i="3"/>
  <c r="Y22" i="3"/>
  <c r="Z11" i="3"/>
  <c r="Z37" i="3"/>
  <c r="X22" i="3"/>
  <c r="Z10" i="3"/>
  <c r="AG49" i="3"/>
  <c r="X35" i="3"/>
  <c r="X18" i="3"/>
  <c r="Z6" i="3"/>
  <c r="X34" i="3"/>
  <c r="Z20" i="3"/>
  <c r="X4" i="3"/>
  <c r="Z25" i="3"/>
  <c r="Y20" i="3"/>
  <c r="Y11" i="3"/>
  <c r="X6" i="3"/>
  <c r="Y38" i="3"/>
  <c r="X33" i="3"/>
  <c r="X24" i="3"/>
  <c r="Z18" i="3"/>
  <c r="Y8" i="3"/>
  <c r="X3" i="3"/>
  <c r="X11" i="3"/>
  <c r="D20" i="3" l="1"/>
  <c r="M18" i="3"/>
  <c r="K38" i="1"/>
  <c r="C45" i="1" s="1"/>
  <c r="K73" i="1"/>
  <c r="AA9" i="2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A33" i="2" s="1"/>
  <c r="AA34" i="2" s="1"/>
  <c r="AA35" i="2" s="1"/>
  <c r="AA36" i="2" s="1"/>
  <c r="AA37" i="2" s="1"/>
  <c r="AA38" i="2" s="1"/>
  <c r="AC9" i="2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B9" i="2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K37" i="1"/>
  <c r="K72" i="1"/>
  <c r="M73" i="1"/>
  <c r="M38" i="1"/>
  <c r="C60" i="1" s="1"/>
  <c r="E51" i="3"/>
  <c r="D64" i="3"/>
  <c r="E55" i="3"/>
  <c r="E65" i="3" s="1"/>
  <c r="E52" i="3"/>
  <c r="E54" i="3"/>
  <c r="F54" i="3" s="1"/>
  <c r="M15" i="3" l="1"/>
  <c r="O15" i="3" s="1"/>
  <c r="C95" i="1"/>
  <c r="C50" i="1"/>
  <c r="C55" i="1" s="1"/>
  <c r="M13" i="3"/>
  <c r="O13" i="3" s="1"/>
  <c r="C80" i="1"/>
  <c r="F52" i="3"/>
  <c r="E63" i="3"/>
  <c r="F51" i="3"/>
  <c r="E62" i="3"/>
  <c r="E53" i="3"/>
  <c r="E64" i="3" s="1"/>
  <c r="F64" i="3" s="1"/>
  <c r="M12" i="3" l="1"/>
  <c r="O12" i="3" s="1"/>
  <c r="C65" i="1"/>
  <c r="K65" i="1"/>
  <c r="N65" i="1" s="1"/>
  <c r="M27" i="3"/>
  <c r="K80" i="1"/>
  <c r="C90" i="1"/>
  <c r="M29" i="3"/>
  <c r="K95" i="1"/>
  <c r="M14" i="3"/>
  <c r="O14" i="3" s="1"/>
  <c r="C85" i="1"/>
  <c r="F63" i="3"/>
  <c r="G63" i="3" s="1"/>
  <c r="F62" i="3"/>
  <c r="G62" i="3" s="1"/>
  <c r="D13" i="3"/>
  <c r="F53" i="3"/>
  <c r="G53" i="3" s="1"/>
  <c r="H53" i="3" l="1"/>
  <c r="M16" i="3"/>
  <c r="K60" i="1"/>
  <c r="K45" i="1"/>
  <c r="M28" i="3"/>
  <c r="K85" i="1"/>
  <c r="K55" i="1"/>
  <c r="H63" i="3"/>
  <c r="M41" i="3"/>
  <c r="Q29" i="3"/>
  <c r="M26" i="3"/>
  <c r="K90" i="1"/>
  <c r="H62" i="3"/>
  <c r="K50" i="1"/>
  <c r="K100" i="1"/>
  <c r="N100" i="1" s="1"/>
  <c r="M39" i="3"/>
  <c r="Q27" i="3"/>
  <c r="F13" i="3"/>
  <c r="G52" i="3"/>
  <c r="H52" i="3" s="1"/>
  <c r="G51" i="3"/>
  <c r="D27" i="3"/>
  <c r="H27" i="3" s="1"/>
  <c r="D15" i="3"/>
  <c r="D16" i="3"/>
  <c r="H51" i="3" l="1"/>
  <c r="M40" i="3"/>
  <c r="Q28" i="3"/>
  <c r="Q39" i="3"/>
  <c r="Q41" i="3"/>
  <c r="M38" i="3"/>
  <c r="Q26" i="3"/>
  <c r="M30" i="3"/>
  <c r="O16" i="3"/>
  <c r="D12" i="3"/>
  <c r="D17" i="3"/>
  <c r="D39" i="3"/>
  <c r="H39" i="3" s="1"/>
  <c r="D14" i="3"/>
  <c r="D29" i="3"/>
  <c r="H29" i="3" s="1"/>
  <c r="F15" i="3"/>
  <c r="D30" i="3"/>
  <c r="F16" i="3"/>
  <c r="O30" i="3" l="1"/>
  <c r="M42" i="3"/>
  <c r="Q30" i="3"/>
  <c r="O27" i="3"/>
  <c r="O29" i="3"/>
  <c r="O28" i="3"/>
  <c r="Q16" i="3"/>
  <c r="Q15" i="3"/>
  <c r="Q13" i="3"/>
  <c r="Q14" i="3"/>
  <c r="Q12" i="3"/>
  <c r="N44" i="3"/>
  <c r="O38" i="3"/>
  <c r="Q38" i="3"/>
  <c r="O26" i="3"/>
  <c r="O40" i="3"/>
  <c r="Q40" i="3"/>
  <c r="D31" i="3"/>
  <c r="H31" i="3" s="1"/>
  <c r="D28" i="3"/>
  <c r="D40" i="3" s="1"/>
  <c r="H40" i="3" s="1"/>
  <c r="F12" i="3"/>
  <c r="F14" i="3"/>
  <c r="D26" i="3"/>
  <c r="D18" i="3"/>
  <c r="F17" i="3"/>
  <c r="D41" i="3"/>
  <c r="H41" i="3" s="1"/>
  <c r="D42" i="3"/>
  <c r="H42" i="3" s="1"/>
  <c r="H30" i="3"/>
  <c r="O42" i="3" l="1"/>
  <c r="Q42" i="3"/>
  <c r="O41" i="3"/>
  <c r="O39" i="3"/>
  <c r="D43" i="3"/>
  <c r="H43" i="3" s="1"/>
  <c r="F18" i="3"/>
  <c r="H18" i="3" s="1"/>
  <c r="H28" i="3"/>
  <c r="D38" i="3"/>
  <c r="H26" i="3"/>
  <c r="D32" i="3"/>
  <c r="D44" i="3" s="1"/>
  <c r="F40" i="3" s="1"/>
  <c r="F26" i="3" l="1"/>
  <c r="H12" i="3"/>
  <c r="E46" i="3"/>
  <c r="H13" i="3"/>
  <c r="H17" i="3"/>
  <c r="H16" i="3"/>
  <c r="H14" i="3"/>
  <c r="H15" i="3"/>
  <c r="H38" i="3"/>
  <c r="F30" i="3"/>
  <c r="F42" i="3"/>
  <c r="F29" i="3"/>
  <c r="F27" i="3"/>
  <c r="F39" i="3"/>
  <c r="F31" i="3"/>
  <c r="F41" i="3"/>
  <c r="F43" i="3"/>
  <c r="F28" i="3"/>
  <c r="F32" i="3"/>
  <c r="H32" i="3"/>
  <c r="F44" i="3"/>
  <c r="H44" i="3"/>
  <c r="F38" i="3"/>
</calcChain>
</file>

<file path=xl/sharedStrings.xml><?xml version="1.0" encoding="utf-8"?>
<sst xmlns="http://schemas.openxmlformats.org/spreadsheetml/2006/main" count="421" uniqueCount="205">
  <si>
    <t>Gage Repeatability and Reproducibility Data Collection Sheet</t>
  </si>
  <si>
    <t xml:space="preserve">Part No. &amp; Name: </t>
  </si>
  <si>
    <t xml:space="preserve">Characteristics: </t>
  </si>
  <si>
    <t xml:space="preserve">Specifications: </t>
  </si>
  <si>
    <t>Upper Spec</t>
  </si>
  <si>
    <t xml:space="preserve"># of Trials = </t>
  </si>
  <si>
    <r>
      <t xml:space="preserve">K 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 xml:space="preserve"> = </t>
    </r>
  </si>
  <si>
    <t xml:space="preserve">Xbar diff = </t>
  </si>
  <si>
    <r>
      <t xml:space="preserve">D 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= </t>
    </r>
  </si>
  <si>
    <t>Lower Spec</t>
  </si>
  <si>
    <t xml:space="preserve"># of appraisers = </t>
  </si>
  <si>
    <r>
      <t xml:space="preserve">K 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= </t>
    </r>
  </si>
  <si>
    <t xml:space="preserve">Rbarbar = </t>
  </si>
  <si>
    <r>
      <t xml:space="preserve">R 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= </t>
    </r>
  </si>
  <si>
    <t>Total Tol</t>
  </si>
  <si>
    <t xml:space="preserve"># of parts = </t>
  </si>
  <si>
    <r>
      <t xml:space="preserve">K 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 xml:space="preserve"> = </t>
    </r>
  </si>
  <si>
    <t>Appraiser/Trial #</t>
  </si>
  <si>
    <t>Part</t>
  </si>
  <si>
    <t>Average</t>
  </si>
  <si>
    <t>A</t>
  </si>
  <si>
    <r>
      <t xml:space="preserve">Xbar </t>
    </r>
    <r>
      <rPr>
        <vertAlign val="subscript"/>
        <sz val="10"/>
        <rFont val="Arial"/>
        <family val="2"/>
      </rPr>
      <t>a</t>
    </r>
    <r>
      <rPr>
        <sz val="10"/>
        <rFont val="Arial"/>
        <family val="2"/>
      </rPr>
      <t xml:space="preserve"> = </t>
    </r>
  </si>
  <si>
    <t>Range</t>
  </si>
  <si>
    <r>
      <t xml:space="preserve">Rbar </t>
    </r>
    <r>
      <rPr>
        <vertAlign val="subscript"/>
        <sz val="10"/>
        <rFont val="Arial"/>
        <family val="2"/>
      </rPr>
      <t>a</t>
    </r>
    <r>
      <rPr>
        <sz val="10"/>
        <rFont val="Arial"/>
        <family val="2"/>
      </rPr>
      <t xml:space="preserve"> = </t>
    </r>
  </si>
  <si>
    <t>B</t>
  </si>
  <si>
    <r>
      <t xml:space="preserve">Xbar </t>
    </r>
    <r>
      <rPr>
        <vertAlign val="subscript"/>
        <sz val="10"/>
        <rFont val="Arial"/>
        <family val="2"/>
      </rPr>
      <t>b</t>
    </r>
    <r>
      <rPr>
        <sz val="10"/>
        <rFont val="Arial"/>
        <family val="2"/>
      </rPr>
      <t xml:space="preserve"> = </t>
    </r>
  </si>
  <si>
    <r>
      <t xml:space="preserve">Rbar </t>
    </r>
    <r>
      <rPr>
        <vertAlign val="subscript"/>
        <sz val="10"/>
        <rFont val="Arial"/>
        <family val="2"/>
      </rPr>
      <t>b</t>
    </r>
    <r>
      <rPr>
        <sz val="10"/>
        <rFont val="Arial"/>
        <family val="2"/>
      </rPr>
      <t xml:space="preserve"> = </t>
    </r>
  </si>
  <si>
    <t>C</t>
  </si>
  <si>
    <r>
      <t xml:space="preserve">Xbar 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 xml:space="preserve"> = </t>
    </r>
  </si>
  <si>
    <r>
      <t xml:space="preserve">Rbar 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 xml:space="preserve"> = </t>
    </r>
  </si>
  <si>
    <t>Part Average</t>
  </si>
  <si>
    <t>Xbarbar =</t>
  </si>
  <si>
    <r>
      <t>R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= </t>
    </r>
  </si>
  <si>
    <t>Xbar diff  =</t>
  </si>
  <si>
    <t>UCL R    =</t>
  </si>
  <si>
    <t>Gage Repeatability and Reproducibility Report - % VARIATION</t>
  </si>
  <si>
    <t xml:space="preserve">Gage Name: </t>
  </si>
  <si>
    <t xml:space="preserve">Date: </t>
  </si>
  <si>
    <t>Gage Number:</t>
  </si>
  <si>
    <t xml:space="preserve">Performed by: </t>
  </si>
  <si>
    <t xml:space="preserve">Gage Type: </t>
  </si>
  <si>
    <r>
      <t>K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 xml:space="preserve"> = </t>
    </r>
  </si>
  <si>
    <r>
      <t>D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= </t>
    </r>
  </si>
  <si>
    <r>
      <t>K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= </t>
    </r>
  </si>
  <si>
    <r>
      <t>K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 xml:space="preserve"> = </t>
    </r>
  </si>
  <si>
    <t>Measurement Unit Analysis</t>
  </si>
  <si>
    <t>% Total Variation</t>
  </si>
  <si>
    <t>Repeatability - Equipment Variation (EV)</t>
  </si>
  <si>
    <t>Percent Equipment Variation</t>
  </si>
  <si>
    <t>EV               =</t>
  </si>
  <si>
    <r>
      <t>(Rbarbar) x (K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)</t>
    </r>
  </si>
  <si>
    <t>%EV     =</t>
  </si>
  <si>
    <t>100 [ EV / TV ]</t>
  </si>
  <si>
    <t xml:space="preserve">                   =</t>
  </si>
  <si>
    <t>Trials</t>
  </si>
  <si>
    <r>
      <t>K</t>
    </r>
    <r>
      <rPr>
        <vertAlign val="subscript"/>
        <sz val="10"/>
        <rFont val="Arial"/>
        <family val="2"/>
      </rPr>
      <t>1</t>
    </r>
  </si>
  <si>
    <t xml:space="preserve">             =</t>
  </si>
  <si>
    <t>%</t>
  </si>
  <si>
    <t>Reproducibility - Appraiser Variation (AV)</t>
  </si>
  <si>
    <t>Percent Appraiser Variation</t>
  </si>
  <si>
    <t>AV               =</t>
  </si>
  <si>
    <t>%AV     =</t>
  </si>
  <si>
    <t>100 [ AV / TV ]</t>
  </si>
  <si>
    <t>Appraisers</t>
  </si>
  <si>
    <t>K2</t>
  </si>
  <si>
    <t>Repeatability &amp; Reproducibility (GRR)</t>
  </si>
  <si>
    <t>Percent Gage Repeatability &amp; Reproducibility Variation</t>
  </si>
  <si>
    <t>GRR            =</t>
  </si>
  <si>
    <t>SQRT[ (EV^2) + (AV^2) ]</t>
  </si>
  <si>
    <t>%GRR   =</t>
  </si>
  <si>
    <t>100 [ GRR / TV ]</t>
  </si>
  <si>
    <t xml:space="preserve">                  =</t>
  </si>
  <si>
    <t>Part Variation (PV)</t>
  </si>
  <si>
    <t>Parts</t>
  </si>
  <si>
    <r>
      <t>K</t>
    </r>
    <r>
      <rPr>
        <vertAlign val="subscript"/>
        <sz val="10"/>
        <rFont val="Arial"/>
        <family val="2"/>
      </rPr>
      <t>3</t>
    </r>
  </si>
  <si>
    <t>Percent Part Variation</t>
  </si>
  <si>
    <t>PV              =</t>
  </si>
  <si>
    <r>
      <t>R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x K</t>
    </r>
    <r>
      <rPr>
        <vertAlign val="subscript"/>
        <sz val="10"/>
        <rFont val="Arial"/>
        <family val="2"/>
      </rPr>
      <t>3</t>
    </r>
  </si>
  <si>
    <t>%PV    =</t>
  </si>
  <si>
    <t>100 [ PV / TV ]</t>
  </si>
  <si>
    <t xml:space="preserve">            =</t>
  </si>
  <si>
    <t>Total Variation (TV)</t>
  </si>
  <si>
    <t>TV               =</t>
  </si>
  <si>
    <t>SQRT[ (GRR^2) + (PV^2) ]</t>
  </si>
  <si>
    <t>Number of Distinct Categories that can be Distinguished</t>
  </si>
  <si>
    <t>ndc       =</t>
  </si>
  <si>
    <t>1.41( PV / GRR )</t>
  </si>
  <si>
    <t>or approximately:</t>
  </si>
  <si>
    <t>Gage Repeatability and Reproducibility Report - % TOLERANCE (5.15 Sigma)</t>
  </si>
  <si>
    <t>% Total Tolerance</t>
  </si>
  <si>
    <r>
      <t>(Rbarbar) x (K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) x (5.1 Sigma)</t>
    </r>
  </si>
  <si>
    <t>100 [ EV / Total Tol ]</t>
  </si>
  <si>
    <t>(5.1 Sigma) x SQRT{(Xbar diff x K 2)^2 - (EV/[(# parts) x (# trials)])}</t>
  </si>
  <si>
    <t>100 [ AV / Total Tol ]</t>
  </si>
  <si>
    <t>100 [ GRR / Total Tol ]</t>
  </si>
  <si>
    <r>
      <t>(R</t>
    </r>
    <r>
      <rPr>
        <vertAlign val="subscript"/>
        <sz val="10"/>
        <rFont val="Arial"/>
        <family val="2"/>
      </rPr>
      <t>p)</t>
    </r>
    <r>
      <rPr>
        <sz val="10"/>
        <rFont val="Arial"/>
        <family val="2"/>
      </rPr>
      <t xml:space="preserve"> x (K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) x (5.1 Sigma)</t>
    </r>
  </si>
  <si>
    <t>100 [ PV / Total Tol ]</t>
  </si>
  <si>
    <t>Total Tolerance (Total Tol)</t>
  </si>
  <si>
    <t>Upper Spec - Lower Spec</t>
  </si>
  <si>
    <t>Gage R&amp;R for Outside Diameter</t>
  </si>
  <si>
    <t>Upper Tolerance:</t>
  </si>
  <si>
    <t>Lower Tolerance:</t>
  </si>
  <si>
    <t>Total Tolerance:</t>
  </si>
  <si>
    <t>Gage R&amp;R Study - ANOVA Method</t>
  </si>
  <si>
    <t>Gage R&amp;R Study - Xbar/Range Method</t>
  </si>
  <si>
    <t>Variance and Standard Deviation Components</t>
  </si>
  <si>
    <t>% of Variance</t>
  </si>
  <si>
    <t>Source</t>
  </si>
  <si>
    <t>St. Dev.</t>
  </si>
  <si>
    <t>Variance</t>
  </si>
  <si>
    <t>Total Gage R&amp;R</t>
  </si>
  <si>
    <t xml:space="preserve">   Repeatability</t>
  </si>
  <si>
    <t xml:space="preserve">   Reproducibility</t>
  </si>
  <si>
    <t>Operator</t>
  </si>
  <si>
    <t>Part to Part</t>
  </si>
  <si>
    <t>Operator*Part</t>
  </si>
  <si>
    <t>Total Variation</t>
  </si>
  <si>
    <t>Process Tolerance =</t>
  </si>
  <si>
    <t>Gage R&amp;R Using 5.15 Standard Deviations (99%)</t>
  </si>
  <si>
    <t>Study Variation</t>
  </si>
  <si>
    <t>% Study Variation</t>
  </si>
  <si>
    <t>% of Tolerance</t>
  </si>
  <si>
    <t>Gage R&amp;R Using 6.0 Standard Deviations (99.7%)</t>
  </si>
  <si>
    <t>Number of Distinct Categories =</t>
  </si>
  <si>
    <t>DF</t>
  </si>
  <si>
    <t>SS</t>
  </si>
  <si>
    <t>MS</t>
  </si>
  <si>
    <t>F</t>
  </si>
  <si>
    <t>p</t>
  </si>
  <si>
    <t xml:space="preserve">Part </t>
  </si>
  <si>
    <t>Op.x Part Interaction</t>
  </si>
  <si>
    <t xml:space="preserve">Total </t>
  </si>
  <si>
    <t>p value for Op. x Part Interaction as error term = 0.25</t>
  </si>
  <si>
    <t>[(Rbar a + Rbar b + Rbar c) / # of appraisers] = Rbarbar</t>
  </si>
  <si>
    <t>Max Xbar - Min Xbar = Xbar diff</t>
  </si>
  <si>
    <t>Rbarbar x D4 = UCL R</t>
  </si>
  <si>
    <t/>
  </si>
  <si>
    <t>SQRT{(Xbar diff x K 2)^2 - (EV^2/[(# parts) x (# trials)])}</t>
  </si>
  <si>
    <t>TT</t>
  </si>
  <si>
    <t>Operator Range Chart</t>
  </si>
  <si>
    <t>Operator X Bar Chart</t>
  </si>
  <si>
    <t>UCL R</t>
  </si>
  <si>
    <t>UCL X</t>
  </si>
  <si>
    <t>LCL X</t>
  </si>
  <si>
    <t>X Bar</t>
  </si>
  <si>
    <t>Operator Chart</t>
  </si>
  <si>
    <t xml:space="preserve">Average </t>
  </si>
  <si>
    <t xml:space="preserve">UCL R </t>
  </si>
  <si>
    <t>Row Labels</t>
  </si>
  <si>
    <t>Grand Total</t>
  </si>
  <si>
    <t>Sum of 1</t>
  </si>
  <si>
    <t>Sum of 2</t>
  </si>
  <si>
    <t>Sum of 3</t>
  </si>
  <si>
    <t>Sum of 4</t>
  </si>
  <si>
    <t>Sum of 5</t>
  </si>
  <si>
    <t>Sum of 6</t>
  </si>
  <si>
    <t>Sum of 7</t>
  </si>
  <si>
    <t>Sum of 8</t>
  </si>
  <si>
    <t>Sum of 9</t>
  </si>
  <si>
    <t>Sum of 10</t>
  </si>
  <si>
    <t>Sum of 11</t>
  </si>
  <si>
    <t>Sum of 12</t>
  </si>
  <si>
    <t>Sum of 13</t>
  </si>
  <si>
    <t>Sum of 14</t>
  </si>
  <si>
    <t>Sum of 15</t>
  </si>
  <si>
    <t>Sum of 16</t>
  </si>
  <si>
    <t>Sum of 17</t>
  </si>
  <si>
    <t>Sum of 18</t>
  </si>
  <si>
    <t>Sum of 19</t>
  </si>
  <si>
    <t>Sum of 20</t>
  </si>
  <si>
    <t>Sum of 21</t>
  </si>
  <si>
    <t>Sum of 22</t>
  </si>
  <si>
    <t>Sum of 23</t>
  </si>
  <si>
    <t>Sum of 24</t>
  </si>
  <si>
    <t>Sum of 25</t>
  </si>
  <si>
    <t>Sum of 26</t>
  </si>
  <si>
    <t>Sum of 27</t>
  </si>
  <si>
    <t>Sum of 28</t>
  </si>
  <si>
    <t>Sum of 29</t>
  </si>
  <si>
    <t>Sum of 30</t>
  </si>
  <si>
    <t>Sum of X Bar</t>
  </si>
  <si>
    <t xml:space="preserve">UCL X </t>
  </si>
  <si>
    <t xml:space="preserve">LCL X </t>
  </si>
  <si>
    <t>Xbb</t>
  </si>
  <si>
    <t>x</t>
  </si>
  <si>
    <t>sso1</t>
  </si>
  <si>
    <t>sso3</t>
  </si>
  <si>
    <t>sso2</t>
  </si>
  <si>
    <t>xb1</t>
  </si>
  <si>
    <t>xb2</t>
  </si>
  <si>
    <t>xb3</t>
  </si>
  <si>
    <t>ssp(i)</t>
  </si>
  <si>
    <t>sse(ij)</t>
  </si>
  <si>
    <t>Repeatability</t>
  </si>
  <si>
    <t>Two-Way ANOVA Table With Interaction</t>
  </si>
  <si>
    <t>Two-Way ANOVA Table Without Interaction</t>
  </si>
  <si>
    <t>Gage R&amp;R</t>
  </si>
  <si>
    <t>Repeat.</t>
  </si>
  <si>
    <t>Reprod.</t>
  </si>
  <si>
    <t>Part-Part</t>
  </si>
  <si>
    <t>Data</t>
  </si>
  <si>
    <t xml:space="preserve">Data </t>
  </si>
  <si>
    <t>Conclusion</t>
  </si>
  <si>
    <t>Note:</t>
  </si>
  <si>
    <r>
      <t xml:space="preserve">PivotCharts must be </t>
    </r>
    <r>
      <rPr>
        <b/>
        <sz val="12"/>
        <color theme="1"/>
        <rFont val="Arial"/>
        <family val="2"/>
      </rPr>
      <t>Refreshed</t>
    </r>
    <r>
      <rPr>
        <sz val="12"/>
        <color theme="1"/>
        <rFont val="Arial"/>
        <family val="2"/>
      </rPr>
      <t xml:space="preserve"> in the </t>
    </r>
    <r>
      <rPr>
        <b/>
        <sz val="12"/>
        <color theme="1"/>
        <rFont val="Arial"/>
        <family val="2"/>
      </rPr>
      <t>Analyze</t>
    </r>
    <r>
      <rPr>
        <sz val="12"/>
        <color theme="1"/>
        <rFont val="Arial"/>
        <family val="2"/>
      </rPr>
      <t xml:space="preserve"> tab after entering data.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</si>
</sst>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/d/yy;@"/>
    <numFmt numFmtId="165" formatCode="0.000"/>
    <numFmt numFmtId="166" formatCode="0.0000"/>
    <numFmt numFmtId="167" formatCode="0.00000"/>
    <numFmt numFmtId="168" formatCode="0.000000"/>
  </numFmts>
  <fonts count="13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vertAlign val="subscript"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 tint="-0.249977111117893"/>
      <name val="Arial"/>
      <family val="2"/>
    </font>
    <font>
      <b/>
      <sz val="12"/>
      <color theme="1"/>
      <name val="Arial"/>
      <family val="2"/>
    </font>
    <font>
      <u/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9FFF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55">
    <xf numFmtId="0" fontId="0" fillId="0" borderId="0" xfId="0"/>
    <xf numFmtId="0" fontId="0" fillId="2" borderId="0" xfId="0" applyFill="1" applyBorder="1" applyAlignment="1" applyProtection="1">
      <alignment vertical="center"/>
      <protection hidden="1"/>
    </xf>
    <xf numFmtId="0" fontId="0" fillId="2" borderId="0" xfId="0" applyFill="1" applyBorder="1" applyAlignment="1" applyProtection="1">
      <alignment horizontal="right" vertical="center"/>
      <protection hidden="1"/>
    </xf>
    <xf numFmtId="0" fontId="0" fillId="2" borderId="5" xfId="0" applyFill="1" applyBorder="1" applyAlignment="1" applyProtection="1">
      <alignment vertical="center"/>
      <protection hidden="1"/>
    </xf>
    <xf numFmtId="0" fontId="0" fillId="2" borderId="6" xfId="0" applyFill="1" applyBorder="1" applyAlignment="1" applyProtection="1">
      <alignment vertical="center"/>
      <protection hidden="1"/>
    </xf>
    <xf numFmtId="0" fontId="0" fillId="0" borderId="4" xfId="0" applyFill="1" applyBorder="1" applyAlignment="1" applyProtection="1">
      <alignment vertical="center"/>
      <protection locked="0"/>
    </xf>
    <xf numFmtId="0" fontId="0" fillId="4" borderId="4" xfId="0" applyFill="1" applyBorder="1" applyAlignment="1" applyProtection="1">
      <alignment horizontal="center" vertical="center"/>
      <protection hidden="1"/>
    </xf>
    <xf numFmtId="0" fontId="0" fillId="4" borderId="4" xfId="0" applyFill="1" applyBorder="1" applyAlignment="1" applyProtection="1">
      <alignment vertical="center"/>
      <protection hidden="1"/>
    </xf>
    <xf numFmtId="0" fontId="0" fillId="2" borderId="7" xfId="0" applyFill="1" applyBorder="1" applyAlignment="1" applyProtection="1">
      <alignment vertical="center"/>
      <protection hidden="1"/>
    </xf>
    <xf numFmtId="0" fontId="0" fillId="2" borderId="8" xfId="0" applyFill="1" applyBorder="1" applyAlignment="1" applyProtection="1">
      <alignment vertical="center"/>
      <protection hidden="1"/>
    </xf>
    <xf numFmtId="0" fontId="0" fillId="2" borderId="9" xfId="0" applyFill="1" applyBorder="1" applyAlignment="1" applyProtection="1">
      <alignment vertical="center"/>
      <protection hidden="1"/>
    </xf>
    <xf numFmtId="0" fontId="0" fillId="5" borderId="4" xfId="0" applyFill="1" applyBorder="1" applyAlignment="1" applyProtection="1">
      <alignment horizontal="center" vertical="center"/>
      <protection hidden="1"/>
    </xf>
    <xf numFmtId="0" fontId="0" fillId="0" borderId="11" xfId="0" applyFill="1" applyBorder="1" applyAlignment="1" applyProtection="1">
      <alignment vertical="center"/>
      <protection locked="0"/>
    </xf>
    <xf numFmtId="0" fontId="0" fillId="5" borderId="4" xfId="0" applyFill="1" applyBorder="1" applyAlignment="1" applyProtection="1">
      <alignment horizontal="right" vertical="center"/>
      <protection hidden="1"/>
    </xf>
    <xf numFmtId="0" fontId="0" fillId="5" borderId="11" xfId="0" applyFill="1" applyBorder="1" applyAlignment="1" applyProtection="1">
      <alignment vertical="center"/>
      <protection hidden="1"/>
    </xf>
    <xf numFmtId="0" fontId="0" fillId="5" borderId="12" xfId="0" applyFill="1" applyBorder="1" applyAlignment="1" applyProtection="1">
      <alignment horizontal="right" vertical="center"/>
      <protection hidden="1"/>
    </xf>
    <xf numFmtId="0" fontId="0" fillId="4" borderId="11" xfId="0" applyFill="1" applyBorder="1" applyAlignment="1" applyProtection="1">
      <alignment horizontal="right" vertical="center"/>
      <protection hidden="1"/>
    </xf>
    <xf numFmtId="0" fontId="0" fillId="4" borderId="12" xfId="0" applyFill="1" applyBorder="1" applyAlignment="1" applyProtection="1">
      <alignment horizontal="left" vertical="center"/>
      <protection hidden="1"/>
    </xf>
    <xf numFmtId="0" fontId="0" fillId="4" borderId="4" xfId="0" applyFill="1" applyBorder="1" applyAlignment="1" applyProtection="1">
      <alignment horizontal="center" vertical="center"/>
      <protection hidden="1"/>
    </xf>
    <xf numFmtId="0" fontId="0" fillId="4" borderId="1" xfId="0" applyFill="1" applyBorder="1" applyAlignment="1" applyProtection="1">
      <alignment horizontal="right" vertical="center"/>
      <protection hidden="1"/>
    </xf>
    <xf numFmtId="0" fontId="0" fillId="4" borderId="3" xfId="0" applyFill="1" applyBorder="1" applyAlignment="1" applyProtection="1">
      <alignment horizontal="left" vertical="center"/>
      <protection hidden="1"/>
    </xf>
    <xf numFmtId="0" fontId="0" fillId="4" borderId="7" xfId="0" applyFill="1" applyBorder="1" applyAlignment="1" applyProtection="1">
      <alignment horizontal="right" vertical="center"/>
      <protection hidden="1"/>
    </xf>
    <xf numFmtId="0" fontId="0" fillId="5" borderId="13" xfId="0" applyFill="1" applyBorder="1" applyAlignment="1" applyProtection="1">
      <alignment vertical="center"/>
      <protection hidden="1"/>
    </xf>
    <xf numFmtId="0" fontId="0" fillId="5" borderId="12" xfId="0" applyFill="1" applyBorder="1" applyAlignment="1" applyProtection="1">
      <alignment vertical="center"/>
      <protection hidden="1"/>
    </xf>
    <xf numFmtId="0" fontId="0" fillId="4" borderId="11" xfId="0" applyFill="1" applyBorder="1" applyAlignment="1" applyProtection="1">
      <alignment vertical="center"/>
      <protection hidden="1"/>
    </xf>
    <xf numFmtId="0" fontId="0" fillId="4" borderId="1" xfId="0" applyFill="1" applyBorder="1" applyAlignment="1" applyProtection="1">
      <alignment vertical="center"/>
      <protection hidden="1"/>
    </xf>
    <xf numFmtId="0" fontId="0" fillId="4" borderId="2" xfId="0" applyFill="1" applyBorder="1" applyAlignment="1" applyProtection="1">
      <alignment vertical="center"/>
      <protection hidden="1"/>
    </xf>
    <xf numFmtId="0" fontId="0" fillId="4" borderId="3" xfId="0" applyFill="1" applyBorder="1" applyAlignment="1" applyProtection="1">
      <alignment vertical="center"/>
      <protection hidden="1"/>
    </xf>
    <xf numFmtId="0" fontId="0" fillId="4" borderId="6" xfId="0" applyFill="1" applyBorder="1" applyAlignment="1" applyProtection="1">
      <alignment vertical="center"/>
      <protection hidden="1"/>
    </xf>
    <xf numFmtId="0" fontId="0" fillId="4" borderId="0" xfId="0" applyFill="1" applyBorder="1" applyAlignment="1" applyProtection="1">
      <alignment horizontal="right" vertical="center"/>
      <protection hidden="1"/>
    </xf>
    <xf numFmtId="0" fontId="0" fillId="4" borderId="0" xfId="0" applyFill="1" applyBorder="1" applyAlignment="1" applyProtection="1">
      <alignment vertical="center"/>
      <protection hidden="1"/>
    </xf>
    <xf numFmtId="0" fontId="0" fillId="4" borderId="5" xfId="0" applyFill="1" applyBorder="1" applyAlignment="1" applyProtection="1">
      <alignment vertical="center"/>
      <protection hidden="1"/>
    </xf>
    <xf numFmtId="0" fontId="0" fillId="4" borderId="0" xfId="0" applyFill="1" applyBorder="1" applyAlignment="1" applyProtection="1">
      <alignment horizontal="center" vertical="center"/>
      <protection hidden="1"/>
    </xf>
    <xf numFmtId="0" fontId="0" fillId="4" borderId="0" xfId="0" applyFill="1" applyBorder="1" applyAlignment="1" applyProtection="1">
      <alignment horizontal="left" vertical="center"/>
      <protection hidden="1"/>
    </xf>
    <xf numFmtId="0" fontId="0" fillId="5" borderId="14" xfId="0" applyFill="1" applyBorder="1" applyAlignment="1" applyProtection="1">
      <alignment horizontal="center" vertical="center"/>
      <protection hidden="1"/>
    </xf>
    <xf numFmtId="0" fontId="0" fillId="5" borderId="15" xfId="0" applyFill="1" applyBorder="1" applyAlignment="1" applyProtection="1">
      <alignment horizontal="center" vertical="center"/>
      <protection hidden="1"/>
    </xf>
    <xf numFmtId="0" fontId="3" fillId="4" borderId="0" xfId="0" applyFont="1" applyFill="1" applyBorder="1" applyAlignment="1" applyProtection="1">
      <alignment horizontal="left" vertical="center"/>
      <protection hidden="1"/>
    </xf>
    <xf numFmtId="0" fontId="0" fillId="5" borderId="16" xfId="0" applyFill="1" applyBorder="1" applyAlignment="1" applyProtection="1">
      <alignment horizontal="center" vertical="center"/>
      <protection hidden="1"/>
    </xf>
    <xf numFmtId="0" fontId="0" fillId="4" borderId="17" xfId="0" applyFill="1" applyBorder="1" applyAlignment="1" applyProtection="1">
      <alignment horizontal="center" vertical="center"/>
      <protection hidden="1"/>
    </xf>
    <xf numFmtId="165" fontId="0" fillId="4" borderId="0" xfId="0" applyNumberFormat="1" applyFill="1" applyBorder="1" applyAlignment="1" applyProtection="1">
      <alignment horizontal="left" vertical="center"/>
      <protection hidden="1"/>
    </xf>
    <xf numFmtId="0" fontId="0" fillId="5" borderId="18" xfId="0" applyFill="1" applyBorder="1" applyAlignment="1" applyProtection="1">
      <alignment horizontal="center" vertical="center"/>
      <protection hidden="1"/>
    </xf>
    <xf numFmtId="0" fontId="0" fillId="4" borderId="19" xfId="0" applyFill="1" applyBorder="1" applyAlignment="1" applyProtection="1">
      <alignment horizontal="center" vertical="center"/>
      <protection hidden="1"/>
    </xf>
    <xf numFmtId="0" fontId="0" fillId="4" borderId="8" xfId="0" applyFill="1" applyBorder="1" applyAlignment="1" applyProtection="1">
      <alignment vertical="center"/>
      <protection hidden="1"/>
    </xf>
    <xf numFmtId="0" fontId="0" fillId="4" borderId="9" xfId="0" applyFill="1" applyBorder="1" applyAlignment="1" applyProtection="1">
      <alignment vertical="center"/>
      <protection hidden="1"/>
    </xf>
    <xf numFmtId="0" fontId="0" fillId="4" borderId="0" xfId="0" quotePrefix="1" applyFill="1" applyBorder="1" applyAlignment="1" applyProtection="1">
      <alignment vertical="center"/>
      <protection hidden="1"/>
    </xf>
    <xf numFmtId="0" fontId="0" fillId="4" borderId="5" xfId="0" applyFill="1" applyBorder="1" applyAlignment="1" applyProtection="1">
      <alignment horizontal="center" vertical="center"/>
      <protection hidden="1"/>
    </xf>
    <xf numFmtId="0" fontId="3" fillId="4" borderId="0" xfId="0" quotePrefix="1" applyFont="1" applyFill="1" applyBorder="1" applyAlignment="1" applyProtection="1">
      <alignment horizontal="left" vertical="center"/>
      <protection hidden="1"/>
    </xf>
    <xf numFmtId="0" fontId="0" fillId="5" borderId="20" xfId="0" applyFill="1" applyBorder="1" applyAlignment="1" applyProtection="1">
      <alignment horizontal="center" vertical="center"/>
      <protection hidden="1"/>
    </xf>
    <xf numFmtId="0" fontId="0" fillId="4" borderId="21" xfId="0" applyFill="1" applyBorder="1" applyAlignment="1" applyProtection="1">
      <alignment horizontal="center" vertical="center"/>
      <protection hidden="1"/>
    </xf>
    <xf numFmtId="0" fontId="0" fillId="4" borderId="7" xfId="0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left"/>
      <protection hidden="1"/>
    </xf>
    <xf numFmtId="0" fontId="5" fillId="2" borderId="0" xfId="0" applyFont="1" applyFill="1" applyProtection="1">
      <protection hidden="1"/>
    </xf>
    <xf numFmtId="0" fontId="4" fillId="2" borderId="0" xfId="0" applyFont="1" applyFill="1" applyBorder="1" applyAlignment="1" applyProtection="1">
      <protection hidden="1"/>
    </xf>
    <xf numFmtId="0" fontId="5" fillId="2" borderId="0" xfId="0" applyFont="1" applyFill="1" applyBorder="1" applyProtection="1">
      <protection hidden="1"/>
    </xf>
    <xf numFmtId="0" fontId="0" fillId="2" borderId="0" xfId="0" applyFill="1" applyBorder="1" applyProtection="1">
      <protection hidden="1"/>
    </xf>
    <xf numFmtId="0" fontId="0" fillId="2" borderId="0" xfId="0" applyFill="1" applyProtection="1">
      <protection hidden="1"/>
    </xf>
    <xf numFmtId="0" fontId="5" fillId="2" borderId="0" xfId="0" applyFont="1" applyFill="1" applyBorder="1" applyAlignment="1" applyProtection="1">
      <alignment horizontal="left"/>
      <protection hidden="1"/>
    </xf>
    <xf numFmtId="0" fontId="5" fillId="4" borderId="6" xfId="0" applyFont="1" applyFill="1" applyBorder="1" applyProtection="1">
      <protection hidden="1"/>
    </xf>
    <xf numFmtId="0" fontId="5" fillId="4" borderId="0" xfId="0" applyFont="1" applyFill="1" applyBorder="1" applyProtection="1">
      <protection hidden="1"/>
    </xf>
    <xf numFmtId="0" fontId="6" fillId="4" borderId="0" xfId="0" applyFont="1" applyFill="1" applyBorder="1" applyAlignment="1" applyProtection="1">
      <alignment horizontal="center"/>
      <protection hidden="1"/>
    </xf>
    <xf numFmtId="0" fontId="5" fillId="4" borderId="0" xfId="0" applyFont="1" applyFill="1" applyBorder="1" applyAlignment="1" applyProtection="1">
      <alignment horizontal="center"/>
      <protection hidden="1"/>
    </xf>
    <xf numFmtId="10" fontId="5" fillId="4" borderId="5" xfId="0" applyNumberFormat="1" applyFont="1" applyFill="1" applyBorder="1" applyAlignment="1" applyProtection="1">
      <alignment horizontal="right"/>
      <protection hidden="1"/>
    </xf>
    <xf numFmtId="0" fontId="5" fillId="4" borderId="0" xfId="0" applyFont="1" applyFill="1" applyBorder="1" applyAlignment="1" applyProtection="1">
      <alignment horizontal="right"/>
      <protection hidden="1"/>
    </xf>
    <xf numFmtId="0" fontId="5" fillId="4" borderId="8" xfId="0" applyFont="1" applyFill="1" applyBorder="1" applyProtection="1">
      <protection hidden="1"/>
    </xf>
    <xf numFmtId="10" fontId="5" fillId="4" borderId="9" xfId="0" applyNumberFormat="1" applyFont="1" applyFill="1" applyBorder="1" applyAlignment="1" applyProtection="1">
      <alignment horizontal="right"/>
      <protection hidden="1"/>
    </xf>
    <xf numFmtId="0" fontId="5" fillId="4" borderId="13" xfId="0" applyFont="1" applyFill="1" applyBorder="1" applyAlignment="1" applyProtection="1">
      <alignment horizontal="left"/>
      <protection hidden="1"/>
    </xf>
    <xf numFmtId="0" fontId="5" fillId="4" borderId="13" xfId="0" applyFont="1" applyFill="1" applyBorder="1" applyProtection="1">
      <protection hidden="1"/>
    </xf>
    <xf numFmtId="0" fontId="5" fillId="4" borderId="12" xfId="0" applyFont="1" applyFill="1" applyBorder="1" applyProtection="1">
      <protection hidden="1"/>
    </xf>
    <xf numFmtId="0" fontId="5" fillId="2" borderId="0" xfId="0" applyFont="1" applyFill="1" applyBorder="1" applyAlignment="1" applyProtection="1">
      <alignment horizontal="right"/>
      <protection hidden="1"/>
    </xf>
    <xf numFmtId="0" fontId="5" fillId="4" borderId="5" xfId="0" applyFont="1" applyFill="1" applyBorder="1" applyProtection="1">
      <protection hidden="1"/>
    </xf>
    <xf numFmtId="10" fontId="5" fillId="4" borderId="0" xfId="0" applyNumberFormat="1" applyFont="1" applyFill="1" applyBorder="1" applyAlignment="1" applyProtection="1">
      <alignment horizontal="right"/>
      <protection hidden="1"/>
    </xf>
    <xf numFmtId="10" fontId="5" fillId="4" borderId="8" xfId="0" applyNumberFormat="1" applyFont="1" applyFill="1" applyBorder="1" applyAlignment="1" applyProtection="1">
      <alignment horizontal="right"/>
      <protection hidden="1"/>
    </xf>
    <xf numFmtId="0" fontId="5" fillId="4" borderId="8" xfId="0" applyFont="1" applyFill="1" applyBorder="1" applyAlignment="1" applyProtection="1">
      <alignment horizontal="right"/>
      <protection hidden="1"/>
    </xf>
    <xf numFmtId="0" fontId="6" fillId="4" borderId="5" xfId="0" applyFont="1" applyFill="1" applyBorder="1" applyAlignment="1" applyProtection="1">
      <alignment horizontal="center"/>
      <protection hidden="1"/>
    </xf>
    <xf numFmtId="0" fontId="5" fillId="4" borderId="5" xfId="0" applyFont="1" applyFill="1" applyBorder="1" applyAlignment="1" applyProtection="1">
      <alignment horizontal="center"/>
      <protection hidden="1"/>
    </xf>
    <xf numFmtId="0" fontId="5" fillId="4" borderId="7" xfId="0" applyFont="1" applyFill="1" applyBorder="1" applyProtection="1">
      <protection hidden="1"/>
    </xf>
    <xf numFmtId="0" fontId="5" fillId="4" borderId="9" xfId="0" applyFont="1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0" fillId="0" borderId="0" xfId="0" applyFill="1" applyProtection="1">
      <protection hidden="1"/>
    </xf>
    <xf numFmtId="165" fontId="0" fillId="0" borderId="4" xfId="0" applyNumberFormat="1" applyFill="1" applyBorder="1" applyAlignment="1" applyProtection="1">
      <alignment vertical="center"/>
      <protection locked="0"/>
    </xf>
    <xf numFmtId="165" fontId="0" fillId="0" borderId="11" xfId="0" applyNumberFormat="1" applyFill="1" applyBorder="1" applyAlignment="1" applyProtection="1">
      <alignment vertical="center"/>
      <protection locked="0"/>
    </xf>
    <xf numFmtId="165" fontId="0" fillId="4" borderId="4" xfId="0" applyNumberFormat="1" applyFill="1" applyBorder="1" applyAlignment="1" applyProtection="1">
      <alignment vertical="center"/>
      <protection hidden="1"/>
    </xf>
    <xf numFmtId="166" fontId="0" fillId="4" borderId="12" xfId="0" applyNumberFormat="1" applyFill="1" applyBorder="1" applyAlignment="1" applyProtection="1">
      <alignment horizontal="left" vertical="center"/>
      <protection hidden="1"/>
    </xf>
    <xf numFmtId="168" fontId="0" fillId="0" borderId="0" xfId="0" applyNumberFormat="1"/>
    <xf numFmtId="167" fontId="0" fillId="4" borderId="4" xfId="0" applyNumberFormat="1" applyFill="1" applyBorder="1" applyAlignment="1" applyProtection="1">
      <alignment horizontal="center" vertical="center"/>
      <protection hidden="1"/>
    </xf>
    <xf numFmtId="165" fontId="0" fillId="4" borderId="9" xfId="0" applyNumberFormat="1" applyFill="1" applyBorder="1" applyAlignment="1" applyProtection="1">
      <alignment horizontal="left" vertical="center"/>
      <protection hidden="1"/>
    </xf>
    <xf numFmtId="165" fontId="0" fillId="4" borderId="4" xfId="0" applyNumberFormat="1" applyFill="1" applyBorder="1" applyAlignment="1" applyProtection="1">
      <alignment horizontal="center" vertical="center"/>
      <protection hidden="1"/>
    </xf>
    <xf numFmtId="168" fontId="0" fillId="4" borderId="0" xfId="0" applyNumberFormat="1" applyFill="1" applyBorder="1" applyAlignment="1" applyProtection="1">
      <alignment vertical="center"/>
      <protection hidden="1"/>
    </xf>
    <xf numFmtId="2" fontId="0" fillId="4" borderId="0" xfId="0" applyNumberFormat="1" applyFill="1" applyBorder="1" applyAlignment="1" applyProtection="1">
      <alignment horizontal="left" vertical="center"/>
      <protection hidden="1"/>
    </xf>
    <xf numFmtId="1" fontId="0" fillId="4" borderId="5" xfId="0" applyNumberFormat="1" applyFill="1" applyBorder="1" applyAlignment="1" applyProtection="1">
      <alignment horizontal="left" vertical="center"/>
      <protection hidden="1"/>
    </xf>
    <xf numFmtId="0" fontId="0" fillId="4" borderId="6" xfId="0" applyFill="1" applyBorder="1" applyAlignment="1" applyProtection="1">
      <alignment horizontal="center" vertical="center"/>
      <protection hidden="1"/>
    </xf>
    <xf numFmtId="0" fontId="5" fillId="0" borderId="0" xfId="0" applyFont="1" applyFill="1" applyProtection="1">
      <protection hidden="1"/>
    </xf>
    <xf numFmtId="0" fontId="0" fillId="0" borderId="4" xfId="0" applyFill="1" applyBorder="1" applyAlignment="1" applyProtection="1">
      <alignment horizontal="center" vertical="center"/>
      <protection hidden="1"/>
    </xf>
    <xf numFmtId="165" fontId="0" fillId="0" borderId="0" xfId="0" applyNumberFormat="1" applyFill="1" applyProtection="1">
      <protection hidden="1"/>
    </xf>
    <xf numFmtId="0" fontId="7" fillId="0" borderId="0" xfId="0" applyFont="1" applyFill="1" applyProtection="1">
      <protection hidden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22" xfId="0" applyFill="1" applyBorder="1" applyProtection="1">
      <protection hidden="1"/>
    </xf>
    <xf numFmtId="0" fontId="0" fillId="0" borderId="11" xfId="0" applyFill="1" applyBorder="1" applyProtection="1">
      <protection hidden="1"/>
    </xf>
    <xf numFmtId="0" fontId="0" fillId="0" borderId="1" xfId="0" applyFill="1" applyBorder="1" applyProtection="1">
      <protection hidden="1"/>
    </xf>
    <xf numFmtId="0" fontId="0" fillId="0" borderId="5" xfId="0" applyFill="1" applyBorder="1" applyProtection="1">
      <protection hidden="1"/>
    </xf>
    <xf numFmtId="0" fontId="0" fillId="0" borderId="8" xfId="0" applyFill="1" applyBorder="1" applyProtection="1">
      <protection hidden="1"/>
    </xf>
    <xf numFmtId="0" fontId="0" fillId="0" borderId="9" xfId="0" applyFill="1" applyBorder="1" applyProtection="1">
      <protection hidden="1"/>
    </xf>
    <xf numFmtId="0" fontId="0" fillId="0" borderId="23" xfId="0" applyFill="1" applyBorder="1" applyProtection="1">
      <protection hidden="1"/>
    </xf>
    <xf numFmtId="0" fontId="0" fillId="0" borderId="13" xfId="0" applyFill="1" applyBorder="1" applyProtection="1">
      <protection hidden="1"/>
    </xf>
    <xf numFmtId="0" fontId="0" fillId="0" borderId="12" xfId="0" applyFill="1" applyBorder="1" applyProtection="1">
      <protection hidden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0" borderId="0" xfId="0" applyAlignment="1">
      <alignment horizontal="center"/>
    </xf>
    <xf numFmtId="165" fontId="0" fillId="0" borderId="0" xfId="0" applyNumberFormat="1" applyFill="1" applyBorder="1" applyAlignment="1" applyProtection="1">
      <alignment vertical="center"/>
      <protection locked="0"/>
    </xf>
    <xf numFmtId="0" fontId="0" fillId="0" borderId="0" xfId="0" applyFill="1"/>
    <xf numFmtId="0" fontId="4" fillId="4" borderId="1" xfId="0" applyFont="1" applyFill="1" applyBorder="1" applyAlignment="1" applyProtection="1">
      <protection hidden="1"/>
    </xf>
    <xf numFmtId="0" fontId="4" fillId="4" borderId="2" xfId="0" applyFont="1" applyFill="1" applyBorder="1" applyAlignment="1" applyProtection="1">
      <protection hidden="1"/>
    </xf>
    <xf numFmtId="0" fontId="4" fillId="4" borderId="3" xfId="0" applyFont="1" applyFill="1" applyBorder="1" applyAlignment="1" applyProtection="1">
      <protection hidden="1"/>
    </xf>
    <xf numFmtId="0" fontId="9" fillId="6" borderId="0" xfId="0" applyFont="1" applyFill="1" applyBorder="1"/>
    <xf numFmtId="0" fontId="5" fillId="6" borderId="0" xfId="0" applyFont="1" applyFill="1" applyBorder="1" applyProtection="1">
      <protection hidden="1"/>
    </xf>
    <xf numFmtId="0" fontId="5" fillId="6" borderId="5" xfId="0" applyFont="1" applyFill="1" applyBorder="1" applyProtection="1">
      <protection hidden="1"/>
    </xf>
    <xf numFmtId="0" fontId="0" fillId="6" borderId="0" xfId="0" applyFill="1" applyBorder="1" applyProtection="1">
      <protection hidden="1"/>
    </xf>
    <xf numFmtId="0" fontId="5" fillId="4" borderId="1" xfId="0" applyFont="1" applyFill="1" applyBorder="1" applyProtection="1">
      <protection hidden="1"/>
    </xf>
    <xf numFmtId="0" fontId="5" fillId="4" borderId="2" xfId="0" applyFont="1" applyFill="1" applyBorder="1" applyProtection="1">
      <protection hidden="1"/>
    </xf>
    <xf numFmtId="0" fontId="0" fillId="6" borderId="8" xfId="0" applyFill="1" applyBorder="1" applyProtection="1">
      <protection hidden="1"/>
    </xf>
    <xf numFmtId="0" fontId="5" fillId="6" borderId="6" xfId="0" applyFont="1" applyFill="1" applyBorder="1" applyProtection="1">
      <protection hidden="1"/>
    </xf>
    <xf numFmtId="0" fontId="5" fillId="6" borderId="8" xfId="0" applyFont="1" applyFill="1" applyBorder="1" applyProtection="1">
      <protection hidden="1"/>
    </xf>
    <xf numFmtId="0" fontId="4" fillId="6" borderId="1" xfId="0" applyFont="1" applyFill="1" applyBorder="1" applyAlignment="1" applyProtection="1">
      <protection hidden="1"/>
    </xf>
    <xf numFmtId="0" fontId="5" fillId="6" borderId="2" xfId="0" applyFont="1" applyFill="1" applyBorder="1" applyProtection="1">
      <protection hidden="1"/>
    </xf>
    <xf numFmtId="0" fontId="5" fillId="6" borderId="3" xfId="0" applyFont="1" applyFill="1" applyBorder="1" applyProtection="1">
      <protection hidden="1"/>
    </xf>
    <xf numFmtId="10" fontId="5" fillId="6" borderId="0" xfId="1" applyNumberFormat="1" applyFont="1" applyFill="1" applyBorder="1" applyAlignment="1" applyProtection="1">
      <alignment horizontal="right"/>
      <protection hidden="1"/>
    </xf>
    <xf numFmtId="10" fontId="5" fillId="6" borderId="8" xfId="1" applyNumberFormat="1" applyFont="1" applyFill="1" applyBorder="1" applyAlignment="1" applyProtection="1">
      <alignment horizontal="right"/>
      <protection hidden="1"/>
    </xf>
    <xf numFmtId="10" fontId="5" fillId="6" borderId="5" xfId="1" applyNumberFormat="1" applyFont="1" applyFill="1" applyBorder="1" applyProtection="1">
      <protection hidden="1"/>
    </xf>
    <xf numFmtId="10" fontId="5" fillId="6" borderId="9" xfId="1" applyNumberFormat="1" applyFont="1" applyFill="1" applyBorder="1" applyProtection="1">
      <protection hidden="1"/>
    </xf>
    <xf numFmtId="11" fontId="5" fillId="4" borderId="0" xfId="0" applyNumberFormat="1" applyFont="1" applyFill="1" applyBorder="1" applyAlignment="1" applyProtection="1">
      <alignment horizontal="center"/>
      <protection hidden="1"/>
    </xf>
    <xf numFmtId="0" fontId="5" fillId="6" borderId="0" xfId="0" applyFont="1" applyFill="1" applyBorder="1" applyAlignment="1" applyProtection="1">
      <alignment horizontal="center" vertical="center"/>
      <protection hidden="1"/>
    </xf>
    <xf numFmtId="10" fontId="5" fillId="4" borderId="5" xfId="1" applyNumberFormat="1" applyFont="1" applyFill="1" applyBorder="1" applyProtection="1">
      <protection hidden="1"/>
    </xf>
    <xf numFmtId="11" fontId="5" fillId="4" borderId="8" xfId="0" applyNumberFormat="1" applyFont="1" applyFill="1" applyBorder="1" applyAlignment="1" applyProtection="1">
      <alignment horizontal="center"/>
      <protection hidden="1"/>
    </xf>
    <xf numFmtId="10" fontId="5" fillId="4" borderId="9" xfId="1" applyNumberFormat="1" applyFont="1" applyFill="1" applyBorder="1" applyProtection="1">
      <protection hidden="1"/>
    </xf>
    <xf numFmtId="1" fontId="5" fillId="4" borderId="13" xfId="0" applyNumberFormat="1" applyFont="1" applyFill="1" applyBorder="1" applyAlignment="1" applyProtection="1">
      <alignment horizontal="left"/>
      <protection hidden="1"/>
    </xf>
    <xf numFmtId="0" fontId="5" fillId="4" borderId="13" xfId="0" applyFont="1" applyFill="1" applyBorder="1" applyAlignment="1" applyProtection="1">
      <alignment horizontal="left"/>
      <protection hidden="1"/>
    </xf>
    <xf numFmtId="0" fontId="4" fillId="2" borderId="0" xfId="0" applyFont="1" applyFill="1" applyBorder="1" applyAlignment="1" applyProtection="1">
      <alignment horizontal="left"/>
      <protection hidden="1"/>
    </xf>
    <xf numFmtId="0" fontId="5" fillId="4" borderId="6" xfId="0" applyFont="1" applyFill="1" applyBorder="1" applyAlignment="1" applyProtection="1">
      <alignment horizontal="left"/>
      <protection hidden="1"/>
    </xf>
    <xf numFmtId="168" fontId="0" fillId="0" borderId="0" xfId="0" applyNumberFormat="1" applyFill="1" applyBorder="1" applyAlignment="1" applyProtection="1">
      <alignment vertical="center"/>
      <protection locked="0"/>
    </xf>
    <xf numFmtId="168" fontId="0" fillId="0" borderId="0" xfId="0" applyNumberFormat="1" applyBorder="1"/>
    <xf numFmtId="0" fontId="0" fillId="0" borderId="4" xfId="0" applyFill="1" applyBorder="1" applyAlignment="1" applyProtection="1">
      <alignment horizontal="center" vertical="center"/>
      <protection hidden="1"/>
    </xf>
    <xf numFmtId="167" fontId="9" fillId="6" borderId="0" xfId="0" applyNumberFormat="1" applyFont="1" applyFill="1" applyBorder="1"/>
    <xf numFmtId="167" fontId="5" fillId="4" borderId="0" xfId="0" applyNumberFormat="1" applyFont="1" applyFill="1" applyBorder="1" applyProtection="1">
      <protection hidden="1"/>
    </xf>
    <xf numFmtId="0" fontId="4" fillId="4" borderId="0" xfId="0" applyFont="1" applyFill="1" applyBorder="1" applyAlignment="1" applyProtection="1">
      <protection hidden="1"/>
    </xf>
    <xf numFmtId="0" fontId="4" fillId="4" borderId="6" xfId="0" applyFont="1" applyFill="1" applyBorder="1" applyAlignment="1" applyProtection="1">
      <protection hidden="1"/>
    </xf>
    <xf numFmtId="0" fontId="10" fillId="2" borderId="0" xfId="0" applyFont="1" applyFill="1" applyProtection="1">
      <protection hidden="1"/>
    </xf>
    <xf numFmtId="0" fontId="10" fillId="2" borderId="0" xfId="0" applyFont="1" applyFill="1" applyBorder="1" applyProtection="1">
      <protection hidden="1"/>
    </xf>
    <xf numFmtId="167" fontId="5" fillId="6" borderId="0" xfId="0" applyNumberFormat="1" applyFont="1" applyFill="1" applyBorder="1" applyProtection="1">
      <protection hidden="1"/>
    </xf>
    <xf numFmtId="11" fontId="5" fillId="6" borderId="0" xfId="0" applyNumberFormat="1" applyFont="1" applyFill="1" applyBorder="1" applyProtection="1">
      <protection hidden="1"/>
    </xf>
    <xf numFmtId="11" fontId="9" fillId="6" borderId="0" xfId="0" applyNumberFormat="1" applyFont="1" applyFill="1" applyBorder="1"/>
    <xf numFmtId="167" fontId="9" fillId="6" borderId="8" xfId="0" applyNumberFormat="1" applyFont="1" applyFill="1" applyBorder="1"/>
    <xf numFmtId="167" fontId="5" fillId="4" borderId="0" xfId="0" applyNumberFormat="1" applyFont="1" applyFill="1" applyBorder="1" applyAlignment="1" applyProtection="1">
      <alignment horizontal="center"/>
      <protection hidden="1"/>
    </xf>
    <xf numFmtId="167" fontId="5" fillId="4" borderId="8" xfId="0" applyNumberFormat="1" applyFont="1" applyFill="1" applyBorder="1" applyAlignment="1" applyProtection="1">
      <alignment horizontal="center"/>
      <protection hidden="1"/>
    </xf>
    <xf numFmtId="167" fontId="5" fillId="4" borderId="0" xfId="0" applyNumberFormat="1" applyFont="1" applyFill="1" applyBorder="1" applyAlignment="1" applyProtection="1">
      <alignment horizontal="right"/>
      <protection hidden="1"/>
    </xf>
    <xf numFmtId="166" fontId="5" fillId="6" borderId="0" xfId="0" applyNumberFormat="1" applyFont="1" applyFill="1" applyBorder="1" applyProtection="1">
      <protection hidden="1"/>
    </xf>
    <xf numFmtId="11" fontId="5" fillId="6" borderId="5" xfId="0" applyNumberFormat="1" applyFont="1" applyFill="1" applyBorder="1" applyProtection="1">
      <protection hidden="1"/>
    </xf>
    <xf numFmtId="168" fontId="5" fillId="6" borderId="5" xfId="0" applyNumberFormat="1" applyFont="1" applyFill="1" applyBorder="1" applyProtection="1">
      <protection hidden="1"/>
    </xf>
    <xf numFmtId="167" fontId="5" fillId="6" borderId="8" xfId="0" applyNumberFormat="1" applyFont="1" applyFill="1" applyBorder="1" applyProtection="1">
      <protection hidden="1"/>
    </xf>
    <xf numFmtId="167" fontId="5" fillId="4" borderId="8" xfId="0" applyNumberFormat="1" applyFont="1" applyFill="1" applyBorder="1" applyProtection="1">
      <protection hidden="1"/>
    </xf>
    <xf numFmtId="11" fontId="5" fillId="4" borderId="0" xfId="0" applyNumberFormat="1" applyFont="1" applyFill="1" applyBorder="1" applyProtection="1">
      <protection hidden="1"/>
    </xf>
    <xf numFmtId="0" fontId="5" fillId="0" borderId="0" xfId="0" applyFont="1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0" borderId="0" xfId="0" applyAlignment="1">
      <alignment horizontal="left" indent="1"/>
    </xf>
    <xf numFmtId="0" fontId="5" fillId="7" borderId="6" xfId="0" applyFont="1" applyFill="1" applyBorder="1" applyProtection="1">
      <protection hidden="1"/>
    </xf>
    <xf numFmtId="0" fontId="5" fillId="7" borderId="0" xfId="0" applyFont="1" applyFill="1" applyBorder="1" applyProtection="1">
      <protection hidden="1"/>
    </xf>
    <xf numFmtId="0" fontId="5" fillId="7" borderId="5" xfId="0" applyFont="1" applyFill="1" applyBorder="1" applyProtection="1">
      <protection hidden="1"/>
    </xf>
    <xf numFmtId="0" fontId="0" fillId="7" borderId="6" xfId="0" applyFill="1" applyBorder="1" applyProtection="1">
      <protection hidden="1"/>
    </xf>
    <xf numFmtId="0" fontId="0" fillId="7" borderId="0" xfId="0" applyFill="1" applyBorder="1" applyProtection="1">
      <protection hidden="1"/>
    </xf>
    <xf numFmtId="0" fontId="0" fillId="7" borderId="5" xfId="0" applyFill="1" applyBorder="1" applyProtection="1">
      <protection hidden="1"/>
    </xf>
    <xf numFmtId="0" fontId="0" fillId="7" borderId="7" xfId="0" applyFill="1" applyBorder="1" applyProtection="1">
      <protection hidden="1"/>
    </xf>
    <xf numFmtId="0" fontId="0" fillId="7" borderId="8" xfId="0" applyFill="1" applyBorder="1" applyProtection="1">
      <protection hidden="1"/>
    </xf>
    <xf numFmtId="0" fontId="0" fillId="7" borderId="9" xfId="0" applyFill="1" applyBorder="1" applyProtection="1">
      <protection hidden="1"/>
    </xf>
    <xf numFmtId="0" fontId="4" fillId="9" borderId="3" xfId="0" applyFont="1" applyFill="1" applyBorder="1" applyAlignment="1" applyProtection="1">
      <protection hidden="1"/>
    </xf>
    <xf numFmtId="0" fontId="4" fillId="9" borderId="11" xfId="0" applyFont="1" applyFill="1" applyBorder="1" applyProtection="1">
      <protection hidden="1"/>
    </xf>
    <xf numFmtId="0" fontId="5" fillId="9" borderId="13" xfId="0" applyFont="1" applyFill="1" applyBorder="1" applyProtection="1">
      <protection hidden="1"/>
    </xf>
    <xf numFmtId="0" fontId="5" fillId="9" borderId="12" xfId="0" applyFont="1" applyFill="1" applyBorder="1" applyProtection="1">
      <protection hidden="1"/>
    </xf>
    <xf numFmtId="0" fontId="4" fillId="9" borderId="11" xfId="0" applyFont="1" applyFill="1" applyBorder="1" applyAlignment="1" applyProtection="1">
      <protection hidden="1"/>
    </xf>
    <xf numFmtId="0" fontId="4" fillId="9" borderId="13" xfId="0" applyFont="1" applyFill="1" applyBorder="1" applyAlignment="1" applyProtection="1">
      <protection hidden="1"/>
    </xf>
    <xf numFmtId="0" fontId="4" fillId="9" borderId="1" xfId="0" applyFont="1" applyFill="1" applyBorder="1" applyAlignment="1" applyProtection="1">
      <protection hidden="1"/>
    </xf>
    <xf numFmtId="0" fontId="4" fillId="9" borderId="2" xfId="0" applyFont="1" applyFill="1" applyBorder="1" applyAlignment="1" applyProtection="1">
      <protection hidden="1"/>
    </xf>
    <xf numFmtId="0" fontId="12" fillId="8" borderId="0" xfId="0" applyFont="1" applyFill="1" applyBorder="1" applyAlignment="1" applyProtection="1">
      <alignment horizontal="right"/>
      <protection hidden="1"/>
    </xf>
    <xf numFmtId="0" fontId="0" fillId="2" borderId="6" xfId="0" applyFill="1" applyBorder="1" applyAlignment="1" applyProtection="1">
      <alignment horizontal="center" vertical="center"/>
      <protection hidden="1"/>
    </xf>
    <xf numFmtId="0" fontId="0" fillId="2" borderId="5" xfId="0" applyFill="1" applyBorder="1" applyAlignment="1" applyProtection="1">
      <alignment horizontal="center" vertical="center"/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0" fillId="3" borderId="4" xfId="0" applyFill="1" applyBorder="1" applyAlignment="1" applyProtection="1">
      <alignment horizontal="center" vertical="center"/>
      <protection hidden="1"/>
    </xf>
    <xf numFmtId="0" fontId="0" fillId="0" borderId="4" xfId="0" applyFill="1" applyBorder="1" applyAlignment="1" applyProtection="1">
      <alignment horizontal="center" vertical="center"/>
      <protection locked="0"/>
    </xf>
    <xf numFmtId="164" fontId="0" fillId="0" borderId="4" xfId="0" applyNumberFormat="1" applyFill="1" applyBorder="1" applyAlignment="1" applyProtection="1">
      <alignment horizontal="center" vertical="center"/>
      <protection locked="0"/>
    </xf>
    <xf numFmtId="0" fontId="0" fillId="4" borderId="11" xfId="0" applyFill="1" applyBorder="1" applyAlignment="1" applyProtection="1">
      <alignment horizontal="center" vertical="center"/>
      <protection hidden="1"/>
    </xf>
    <xf numFmtId="0" fontId="0" fillId="4" borderId="12" xfId="0" applyFill="1" applyBorder="1" applyAlignment="1" applyProtection="1">
      <alignment horizontal="center" vertical="center"/>
      <protection hidden="1"/>
    </xf>
    <xf numFmtId="0" fontId="0" fillId="3" borderId="1" xfId="0" applyFill="1" applyBorder="1" applyAlignment="1" applyProtection="1">
      <alignment horizontal="center" vertical="center" wrapText="1"/>
      <protection hidden="1"/>
    </xf>
    <xf numFmtId="0" fontId="0" fillId="3" borderId="3" xfId="0" applyFill="1" applyBorder="1" applyAlignment="1" applyProtection="1">
      <alignment horizontal="center" vertical="center" wrapText="1"/>
      <protection hidden="1"/>
    </xf>
    <xf numFmtId="0" fontId="0" fillId="3" borderId="7" xfId="0" applyFill="1" applyBorder="1" applyAlignment="1" applyProtection="1">
      <alignment horizontal="center" vertical="center" wrapText="1"/>
      <protection hidden="1"/>
    </xf>
    <xf numFmtId="0" fontId="0" fillId="3" borderId="9" xfId="0" applyFill="1" applyBorder="1" applyAlignment="1" applyProtection="1">
      <alignment horizontal="center" vertical="center" wrapText="1"/>
      <protection hidden="1"/>
    </xf>
    <xf numFmtId="0" fontId="0" fillId="5" borderId="4" xfId="0" applyFill="1" applyBorder="1" applyAlignment="1" applyProtection="1">
      <alignment horizontal="center" vertical="center"/>
      <protection hidden="1"/>
    </xf>
    <xf numFmtId="0" fontId="0" fillId="5" borderId="4" xfId="0" applyFill="1" applyBorder="1" applyAlignment="1" applyProtection="1">
      <alignment horizontal="center" vertical="center" wrapText="1"/>
      <protection hidden="1"/>
    </xf>
    <xf numFmtId="0" fontId="0" fillId="5" borderId="10" xfId="0" applyFill="1" applyBorder="1" applyAlignment="1" applyProtection="1">
      <alignment horizontal="center" vertical="center" wrapText="1"/>
      <protection hidden="1"/>
    </xf>
    <xf numFmtId="0" fontId="0" fillId="5" borderId="1" xfId="0" applyFill="1" applyBorder="1" applyAlignment="1" applyProtection="1">
      <alignment horizontal="center" vertical="center"/>
      <protection hidden="1"/>
    </xf>
    <xf numFmtId="0" fontId="0" fillId="5" borderId="3" xfId="0" applyFill="1" applyBorder="1" applyAlignment="1" applyProtection="1">
      <alignment horizontal="center" vertical="center"/>
      <protection hidden="1"/>
    </xf>
    <xf numFmtId="0" fontId="0" fillId="5" borderId="7" xfId="0" applyFill="1" applyBorder="1" applyAlignment="1" applyProtection="1">
      <alignment horizontal="center" vertical="center"/>
      <protection hidden="1"/>
    </xf>
    <xf numFmtId="0" fontId="0" fillId="5" borderId="9" xfId="0" applyFill="1" applyBorder="1" applyAlignment="1" applyProtection="1">
      <alignment horizontal="center" vertical="center"/>
      <protection hidden="1"/>
    </xf>
    <xf numFmtId="165" fontId="0" fillId="4" borderId="4" xfId="0" applyNumberFormat="1" applyFill="1" applyBorder="1" applyAlignment="1" applyProtection="1">
      <alignment horizontal="center" vertical="center"/>
      <protection hidden="1"/>
    </xf>
    <xf numFmtId="0" fontId="0" fillId="4" borderId="4" xfId="0" applyFill="1" applyBorder="1" applyAlignment="1" applyProtection="1">
      <alignment horizontal="center" vertical="center"/>
      <protection hidden="1"/>
    </xf>
    <xf numFmtId="14" fontId="0" fillId="4" borderId="4" xfId="0" applyNumberFormat="1" applyFill="1" applyBorder="1" applyAlignment="1" applyProtection="1">
      <alignment horizontal="center" vertical="center"/>
      <protection hidden="1"/>
    </xf>
    <xf numFmtId="0" fontId="0" fillId="5" borderId="11" xfId="0" applyFill="1" applyBorder="1" applyAlignment="1" applyProtection="1">
      <alignment horizontal="center" vertical="center"/>
      <protection hidden="1"/>
    </xf>
    <xf numFmtId="0" fontId="0" fillId="5" borderId="13" xfId="0" applyFill="1" applyBorder="1" applyAlignment="1" applyProtection="1">
      <alignment horizontal="center" vertical="center"/>
      <protection hidden="1"/>
    </xf>
    <xf numFmtId="0" fontId="0" fillId="5" borderId="12" xfId="0" applyFill="1" applyBorder="1" applyAlignment="1" applyProtection="1">
      <alignment horizontal="center" vertical="center"/>
      <protection hidden="1"/>
    </xf>
    <xf numFmtId="0" fontId="0" fillId="5" borderId="2" xfId="0" applyFill="1" applyBorder="1" applyAlignment="1" applyProtection="1">
      <alignment horizontal="center" vertical="center"/>
      <protection hidden="1"/>
    </xf>
    <xf numFmtId="0" fontId="9" fillId="8" borderId="0" xfId="0" applyFont="1" applyFill="1" applyBorder="1" applyAlignment="1" applyProtection="1">
      <alignment horizontal="left"/>
      <protection hidden="1"/>
    </xf>
    <xf numFmtId="0" fontId="4" fillId="2" borderId="0" xfId="0" applyFont="1" applyFill="1" applyBorder="1" applyAlignment="1" applyProtection="1">
      <alignment horizontal="left"/>
      <protection hidden="1"/>
    </xf>
    <xf numFmtId="0" fontId="5" fillId="4" borderId="11" xfId="0" applyFont="1" applyFill="1" applyBorder="1" applyAlignment="1" applyProtection="1">
      <alignment horizontal="left"/>
      <protection hidden="1"/>
    </xf>
    <xf numFmtId="0" fontId="5" fillId="4" borderId="13" xfId="0" applyFont="1" applyFill="1" applyBorder="1" applyAlignment="1" applyProtection="1">
      <alignment horizontal="left"/>
      <protection hidden="1"/>
    </xf>
    <xf numFmtId="0" fontId="5" fillId="4" borderId="12" xfId="0" applyFont="1" applyFill="1" applyBorder="1" applyAlignment="1" applyProtection="1">
      <alignment horizontal="left"/>
      <protection hidden="1"/>
    </xf>
    <xf numFmtId="0" fontId="5" fillId="6" borderId="11" xfId="0" applyFont="1" applyFill="1" applyBorder="1" applyAlignment="1" applyProtection="1">
      <alignment horizontal="left"/>
      <protection hidden="1"/>
    </xf>
    <xf numFmtId="0" fontId="5" fillId="6" borderId="13" xfId="0" applyFont="1" applyFill="1" applyBorder="1" applyAlignment="1" applyProtection="1">
      <alignment horizontal="left"/>
      <protection hidden="1"/>
    </xf>
    <xf numFmtId="0" fontId="5" fillId="6" borderId="12" xfId="0" applyFont="1" applyFill="1" applyBorder="1" applyAlignment="1" applyProtection="1">
      <alignment horizontal="left"/>
      <protection hidden="1"/>
    </xf>
    <xf numFmtId="0" fontId="5" fillId="4" borderId="4" xfId="0" applyNumberFormat="1" applyFont="1" applyFill="1" applyBorder="1" applyAlignment="1" applyProtection="1">
      <alignment horizontal="center"/>
      <protection hidden="1"/>
    </xf>
    <xf numFmtId="0" fontId="5" fillId="4" borderId="4" xfId="0" applyFont="1" applyFill="1" applyBorder="1" applyAlignment="1" applyProtection="1">
      <alignment horizontal="center"/>
      <protection hidden="1"/>
    </xf>
    <xf numFmtId="0" fontId="0" fillId="0" borderId="4" xfId="0" applyFill="1" applyBorder="1" applyAlignment="1" applyProtection="1">
      <alignment horizontal="center" vertical="center"/>
      <protection hidden="1"/>
    </xf>
    <xf numFmtId="0" fontId="0" fillId="0" borderId="11" xfId="0" applyFill="1" applyBorder="1" applyAlignment="1" applyProtection="1">
      <alignment horizontal="center"/>
      <protection hidden="1"/>
    </xf>
    <xf numFmtId="0" fontId="0" fillId="0" borderId="13" xfId="0" applyFill="1" applyBorder="1" applyAlignment="1" applyProtection="1">
      <alignment horizontal="center"/>
      <protection hidden="1"/>
    </xf>
    <xf numFmtId="0" fontId="0" fillId="0" borderId="12" xfId="0" applyFill="1" applyBorder="1" applyAlignment="1" applyProtection="1">
      <alignment horizontal="center"/>
      <protection hidden="1"/>
    </xf>
    <xf numFmtId="0" fontId="4" fillId="9" borderId="11" xfId="0" applyFont="1" applyFill="1" applyBorder="1" applyAlignment="1" applyProtection="1">
      <alignment horizontal="center"/>
      <protection hidden="1"/>
    </xf>
    <xf numFmtId="0" fontId="4" fillId="9" borderId="13" xfId="0" applyFont="1" applyFill="1" applyBorder="1" applyAlignment="1" applyProtection="1">
      <alignment horizontal="center"/>
      <protection hidden="1"/>
    </xf>
    <xf numFmtId="0" fontId="4" fillId="9" borderId="12" xfId="0" applyFont="1" applyFill="1" applyBorder="1" applyAlignment="1" applyProtection="1">
      <alignment horizontal="center"/>
      <protection hidden="1"/>
    </xf>
    <xf numFmtId="0" fontId="6" fillId="4" borderId="5" xfId="0" applyFont="1" applyFill="1" applyBorder="1" applyAlignment="1" applyProtection="1">
      <alignment horizontal="center" wrapText="1"/>
      <protection hidden="1"/>
    </xf>
    <xf numFmtId="0" fontId="6" fillId="4" borderId="3" xfId="0" applyFont="1" applyFill="1" applyBorder="1" applyAlignment="1" applyProtection="1">
      <alignment horizontal="center" wrapText="1"/>
      <protection hidden="1"/>
    </xf>
    <xf numFmtId="0" fontId="6" fillId="4" borderId="6" xfId="0" applyFont="1" applyFill="1" applyBorder="1" applyAlignment="1" applyProtection="1">
      <alignment horizontal="left"/>
      <protection hidden="1"/>
    </xf>
    <xf numFmtId="0" fontId="6" fillId="4" borderId="0" xfId="0" applyFont="1" applyFill="1" applyBorder="1" applyAlignment="1" applyProtection="1">
      <alignment horizontal="left"/>
      <protection hidden="1"/>
    </xf>
    <xf numFmtId="0" fontId="5" fillId="4" borderId="6" xfId="0" applyFont="1" applyFill="1" applyBorder="1" applyAlignment="1" applyProtection="1">
      <alignment horizontal="left"/>
      <protection hidden="1"/>
    </xf>
    <xf numFmtId="0" fontId="5" fillId="4" borderId="0" xfId="0" applyFont="1" applyFill="1" applyBorder="1" applyAlignment="1" applyProtection="1">
      <alignment horizontal="left"/>
      <protection hidden="1"/>
    </xf>
    <xf numFmtId="0" fontId="5" fillId="4" borderId="7" xfId="0" applyFont="1" applyFill="1" applyBorder="1" applyAlignment="1" applyProtection="1">
      <alignment horizontal="left"/>
      <protection hidden="1"/>
    </xf>
    <xf numFmtId="0" fontId="5" fillId="4" borderId="8" xfId="0" applyFont="1" applyFill="1" applyBorder="1" applyAlignment="1" applyProtection="1">
      <alignment horizontal="left"/>
      <protection hidden="1"/>
    </xf>
    <xf numFmtId="0" fontId="5" fillId="4" borderId="11" xfId="0" applyFont="1" applyFill="1" applyBorder="1" applyAlignment="1" applyProtection="1">
      <alignment horizontal="right"/>
      <protection hidden="1"/>
    </xf>
    <xf numFmtId="0" fontId="5" fillId="4" borderId="13" xfId="0" applyFont="1" applyFill="1" applyBorder="1" applyAlignment="1" applyProtection="1">
      <alignment horizontal="right"/>
      <protection hidden="1"/>
    </xf>
    <xf numFmtId="0" fontId="6" fillId="6" borderId="0" xfId="0" applyFont="1" applyFill="1" applyBorder="1" applyAlignment="1" applyProtection="1">
      <alignment horizontal="center" wrapText="1"/>
      <protection hidden="1"/>
    </xf>
    <xf numFmtId="0" fontId="6" fillId="6" borderId="5" xfId="0" applyFont="1" applyFill="1" applyBorder="1" applyAlignment="1" applyProtection="1">
      <alignment horizontal="center" wrapText="1"/>
      <protection hidden="1"/>
    </xf>
    <xf numFmtId="0" fontId="6" fillId="6" borderId="6" xfId="0" applyFont="1" applyFill="1" applyBorder="1" applyAlignment="1" applyProtection="1">
      <alignment horizontal="left"/>
      <protection hidden="1"/>
    </xf>
    <xf numFmtId="0" fontId="6" fillId="6" borderId="0" xfId="0" applyFont="1" applyFill="1" applyBorder="1" applyAlignment="1" applyProtection="1">
      <alignment horizontal="left"/>
      <protection hidden="1"/>
    </xf>
    <xf numFmtId="0" fontId="5" fillId="6" borderId="6" xfId="0" applyFont="1" applyFill="1" applyBorder="1" applyAlignment="1" applyProtection="1">
      <alignment horizontal="left"/>
      <protection hidden="1"/>
    </xf>
    <xf numFmtId="0" fontId="5" fillId="6" borderId="0" xfId="0" applyFont="1" applyFill="1" applyBorder="1" applyAlignment="1" applyProtection="1">
      <alignment horizontal="left"/>
      <protection hidden="1"/>
    </xf>
    <xf numFmtId="0" fontId="6" fillId="4" borderId="0" xfId="0" applyFont="1" applyFill="1" applyBorder="1" applyAlignment="1" applyProtection="1">
      <alignment horizontal="center" wrapText="1"/>
      <protection hidden="1"/>
    </xf>
    <xf numFmtId="0" fontId="5" fillId="6" borderId="7" xfId="0" applyFont="1" applyFill="1" applyBorder="1" applyAlignment="1" applyProtection="1">
      <alignment horizontal="left"/>
      <protection hidden="1"/>
    </xf>
    <xf numFmtId="0" fontId="5" fillId="6" borderId="8" xfId="0" applyFont="1" applyFill="1" applyBorder="1" applyAlignment="1" applyProtection="1">
      <alignment horizontal="left"/>
      <protection hidden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9FFF9"/>
      <color rgb="FF00F4F0"/>
      <color rgb="FFFF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Components of Variation, ANOVA</a:t>
            </a:r>
          </a:p>
        </c:rich>
      </c:tx>
      <c:layout>
        <c:manualLayout>
          <c:xMode val="edge"/>
          <c:yMode val="edge"/>
          <c:x val="0.22250346959495906"/>
          <c:y val="3.1531722252067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174576839047372E-2"/>
          <c:y val="0.18018127001181669"/>
          <c:w val="0.69405911822518496"/>
          <c:h val="0.72522961179756229"/>
        </c:manualLayout>
      </c:layout>
      <c:barChart>
        <c:barDir val="col"/>
        <c:grouping val="clustered"/>
        <c:varyColors val="0"/>
        <c:ser>
          <c:idx val="0"/>
          <c:order val="0"/>
          <c:tx>
            <c:v>% Contribution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('Numerical Summary'!$H$12:$H$14,'Numerical Summary'!$H$17)</c:f>
              <c:numCache>
                <c:formatCode>0.00%</c:formatCode>
                <c:ptCount val="4"/>
                <c:pt idx="0">
                  <c:v>0.30927059295673864</c:v>
                </c:pt>
                <c:pt idx="1">
                  <c:v>0.2993378147887753</c:v>
                </c:pt>
                <c:pt idx="2">
                  <c:v>9.9327781679633305E-3</c:v>
                </c:pt>
                <c:pt idx="3">
                  <c:v>0.69072940704326125</c:v>
                </c:pt>
              </c:numCache>
            </c:numRef>
          </c:val>
        </c:ser>
        <c:ser>
          <c:idx val="1"/>
          <c:order val="1"/>
          <c:tx>
            <c:v>% Study Variation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('Numerical Summary'!$F$26:$F$28,'Numerical Summary'!$F$31)</c:f>
              <c:numCache>
                <c:formatCode>0.00%</c:formatCode>
                <c:ptCount val="4"/>
                <c:pt idx="0">
                  <c:v>0.55612102366008309</c:v>
                </c:pt>
                <c:pt idx="1">
                  <c:v>0.5471177339373815</c:v>
                </c:pt>
                <c:pt idx="2">
                  <c:v>9.9663324086462876E-2</c:v>
                </c:pt>
                <c:pt idx="3">
                  <c:v>0.83110132176724472</c:v>
                </c:pt>
              </c:numCache>
            </c:numRef>
          </c:val>
        </c:ser>
        <c:ser>
          <c:idx val="2"/>
          <c:order val="2"/>
          <c:tx>
            <c:v> % Tol (5.15 SD)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('Numerical Summary'!$H$26:$H$28,'Numerical Summary'!$H$31)</c:f>
              <c:numCache>
                <c:formatCode>0.00%</c:formatCode>
                <c:ptCount val="4"/>
                <c:pt idx="0">
                  <c:v>0.12817126147947891</c:v>
                </c:pt>
                <c:pt idx="1">
                  <c:v>0.12609624012238449</c:v>
                </c:pt>
                <c:pt idx="2">
                  <c:v>2.2969773534776302E-2</c:v>
                </c:pt>
                <c:pt idx="3">
                  <c:v>0.19154698401274631</c:v>
                </c:pt>
              </c:numCache>
            </c:numRef>
          </c:val>
        </c:ser>
        <c:ser>
          <c:idx val="3"/>
          <c:order val="3"/>
          <c:tx>
            <c:v>% Tol (6.0 SD)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('Numerical Summary'!$H$38:$H$40,'Numerical Summary'!$H$43)</c:f>
              <c:numCache>
                <c:formatCode>0.00%</c:formatCode>
                <c:ptCount val="4"/>
                <c:pt idx="0">
                  <c:v>0.14932574152948999</c:v>
                </c:pt>
                <c:pt idx="1">
                  <c:v>0.1469082409192829</c:v>
                </c:pt>
                <c:pt idx="2">
                  <c:v>2.6760901205564621E-2</c:v>
                </c:pt>
                <c:pt idx="3">
                  <c:v>0.2231615347721316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155352"/>
        <c:axId val="170155744"/>
      </c:barChart>
      <c:catAx>
        <c:axId val="170155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C0C0C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155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0155744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155352"/>
        <c:crosses val="autoZero"/>
        <c:crossBetween val="between"/>
      </c:valAx>
      <c:spPr>
        <a:solidFill>
          <a:srgbClr val="FFFFFF"/>
        </a:solidFill>
        <a:ln w="12700">
          <a:solidFill>
            <a:sysClr val="windowText" lastClr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887593765485486"/>
          <c:y val="0.30180362726979304"/>
          <c:w val="0.2010116571909005"/>
          <c:h val="0.454957706779837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FFCC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Operator - Part Interaction</a:t>
            </a:r>
          </a:p>
        </c:rich>
      </c:tx>
      <c:layout>
        <c:manualLayout>
          <c:xMode val="edge"/>
          <c:yMode val="edge"/>
          <c:x val="0.32929301049878923"/>
          <c:y val="1.5151559188552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51516421913576E-2"/>
          <c:y val="9.5238372042329503E-2"/>
          <c:w val="0.81919212121017848"/>
          <c:h val="0.7770585355271884"/>
        </c:manualLayout>
      </c:layout>
      <c:lineChart>
        <c:grouping val="standard"/>
        <c:varyColors val="0"/>
        <c:ser>
          <c:idx val="3"/>
          <c:order val="3"/>
          <c:tx>
            <c:strRef>
              <c:f>'Data Sheet'!$A$12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ap="rnd">
                <a:solidFill>
                  <a:schemeClr val="accent1"/>
                </a:solidFill>
              </a:ln>
            </c:spPr>
          </c:marker>
          <c:val>
            <c:numRef>
              <c:f>'Data Sheet'!$C$15:$L$15</c:f>
              <c:numCache>
                <c:formatCode>0.000</c:formatCode>
                <c:ptCount val="10"/>
                <c:pt idx="0">
                  <c:v>1.3003333333333333</c:v>
                </c:pt>
                <c:pt idx="1">
                  <c:v>1.3026666666666666</c:v>
                </c:pt>
                <c:pt idx="2">
                  <c:v>1.3056666666666665</c:v>
                </c:pt>
                <c:pt idx="3">
                  <c:v>1.3049999999999999</c:v>
                </c:pt>
                <c:pt idx="4">
                  <c:v>1.3003333333333333</c:v>
                </c:pt>
                <c:pt idx="5">
                  <c:v>1.3</c:v>
                </c:pt>
                <c:pt idx="6">
                  <c:v>1.2990000000000002</c:v>
                </c:pt>
                <c:pt idx="7">
                  <c:v>1.3016666666666665</c:v>
                </c:pt>
                <c:pt idx="8">
                  <c:v>1.306</c:v>
                </c:pt>
                <c:pt idx="9">
                  <c:v>1.3056666666666665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'Data Sheet'!$A$17</c:f>
              <c:strCache>
                <c:ptCount val="1"/>
                <c:pt idx="0">
                  <c:v>B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val>
            <c:numRef>
              <c:f>'Data Sheet'!$C$20:$L$20</c:f>
              <c:numCache>
                <c:formatCode>0.000</c:formatCode>
                <c:ptCount val="10"/>
                <c:pt idx="0">
                  <c:v>1.3003333333333333</c:v>
                </c:pt>
                <c:pt idx="1">
                  <c:v>1.3026666666666666</c:v>
                </c:pt>
                <c:pt idx="2">
                  <c:v>1.3056666666666665</c:v>
                </c:pt>
                <c:pt idx="3">
                  <c:v>1.3049999999999999</c:v>
                </c:pt>
                <c:pt idx="4">
                  <c:v>1.3003333333333333</c:v>
                </c:pt>
                <c:pt idx="5">
                  <c:v>1.3</c:v>
                </c:pt>
                <c:pt idx="6">
                  <c:v>1.2990000000000002</c:v>
                </c:pt>
                <c:pt idx="7">
                  <c:v>1.3016666666666665</c:v>
                </c:pt>
                <c:pt idx="8">
                  <c:v>1.306</c:v>
                </c:pt>
                <c:pt idx="9">
                  <c:v>1.3056666666666665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'Data Sheet'!$A$22</c:f>
              <c:strCache>
                <c:ptCount val="1"/>
                <c:pt idx="0">
                  <c:v>C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val>
            <c:numRef>
              <c:f>'Data Sheet'!$C$25:$L$25</c:f>
              <c:numCache>
                <c:formatCode>0.000</c:formatCode>
                <c:ptCount val="10"/>
                <c:pt idx="0">
                  <c:v>1.3016666666666667</c:v>
                </c:pt>
                <c:pt idx="1">
                  <c:v>1.3029999999999999</c:v>
                </c:pt>
                <c:pt idx="2">
                  <c:v>1.3056666666666665</c:v>
                </c:pt>
                <c:pt idx="3">
                  <c:v>1.3049999999999999</c:v>
                </c:pt>
                <c:pt idx="4">
                  <c:v>1.3023333333333333</c:v>
                </c:pt>
                <c:pt idx="5">
                  <c:v>1.3016666666666667</c:v>
                </c:pt>
                <c:pt idx="6">
                  <c:v>1.3016666666666667</c:v>
                </c:pt>
                <c:pt idx="7">
                  <c:v>1.3009999999999999</c:v>
                </c:pt>
                <c:pt idx="8">
                  <c:v>1.3056666666666665</c:v>
                </c:pt>
                <c:pt idx="9">
                  <c:v>1.3056666666666665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156528"/>
        <c:axId val="170156920"/>
      </c:lineChart>
      <c:scatterChart>
        <c:scatterStyle val="lineMarker"/>
        <c:varyColors val="0"/>
        <c:ser>
          <c:idx val="0"/>
          <c:order val="0"/>
          <c:tx>
            <c:v>Trail 1a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Ref>
              <c:f>'Data Sheet'!$C$12:$L$12</c:f>
              <c:numCache>
                <c:formatCode>0.000</c:formatCode>
                <c:ptCount val="10"/>
                <c:pt idx="0">
                  <c:v>1.3</c:v>
                </c:pt>
                <c:pt idx="1">
                  <c:v>1.3029999999999999</c:v>
                </c:pt>
                <c:pt idx="2">
                  <c:v>1.306</c:v>
                </c:pt>
                <c:pt idx="3">
                  <c:v>1.3049999999999999</c:v>
                </c:pt>
                <c:pt idx="4">
                  <c:v>1.3</c:v>
                </c:pt>
                <c:pt idx="5">
                  <c:v>1.3</c:v>
                </c:pt>
                <c:pt idx="6">
                  <c:v>1.2969999999999999</c:v>
                </c:pt>
                <c:pt idx="7">
                  <c:v>1.3</c:v>
                </c:pt>
                <c:pt idx="8">
                  <c:v>1.306</c:v>
                </c:pt>
                <c:pt idx="9">
                  <c:v>1.3049999999999999</c:v>
                </c:pt>
              </c:numCache>
            </c:numRef>
          </c:yVal>
          <c:smooth val="0"/>
        </c:ser>
        <c:ser>
          <c:idx val="1"/>
          <c:order val="1"/>
          <c:tx>
            <c:v>Trial 2a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Ref>
              <c:f>'Data Sheet'!$C$13:$L$13</c:f>
              <c:numCache>
                <c:formatCode>0.000</c:formatCode>
                <c:ptCount val="10"/>
                <c:pt idx="0">
                  <c:v>1.3009999999999999</c:v>
                </c:pt>
                <c:pt idx="1">
                  <c:v>1.3029999999999999</c:v>
                </c:pt>
                <c:pt idx="2">
                  <c:v>1.3049999999999999</c:v>
                </c:pt>
                <c:pt idx="3">
                  <c:v>1.3049999999999999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1.306</c:v>
                </c:pt>
                <c:pt idx="8">
                  <c:v>1.306</c:v>
                </c:pt>
                <c:pt idx="9">
                  <c:v>1.306</c:v>
                </c:pt>
              </c:numCache>
            </c:numRef>
          </c:yVal>
          <c:smooth val="0"/>
        </c:ser>
        <c:ser>
          <c:idx val="2"/>
          <c:order val="2"/>
          <c:tx>
            <c:v>Trial 3a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Ref>
              <c:f>'Data Sheet'!$C$14:$L$14</c:f>
              <c:numCache>
                <c:formatCode>0.000</c:formatCode>
                <c:ptCount val="10"/>
                <c:pt idx="0">
                  <c:v>1.3</c:v>
                </c:pt>
                <c:pt idx="1">
                  <c:v>1.302</c:v>
                </c:pt>
                <c:pt idx="2">
                  <c:v>1.306</c:v>
                </c:pt>
                <c:pt idx="3">
                  <c:v>1.3049999999999999</c:v>
                </c:pt>
                <c:pt idx="4">
                  <c:v>1.3009999999999999</c:v>
                </c:pt>
                <c:pt idx="5">
                  <c:v>1.3</c:v>
                </c:pt>
                <c:pt idx="6">
                  <c:v>1.3</c:v>
                </c:pt>
                <c:pt idx="7">
                  <c:v>1.2989999999999999</c:v>
                </c:pt>
                <c:pt idx="8">
                  <c:v>1.306</c:v>
                </c:pt>
                <c:pt idx="9">
                  <c:v>1.306</c:v>
                </c:pt>
              </c:numCache>
            </c:numRef>
          </c:yVal>
          <c:smooth val="0"/>
        </c:ser>
        <c:ser>
          <c:idx val="4"/>
          <c:order val="4"/>
          <c:tx>
            <c:v>Trial 1b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002060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Ref>
              <c:f>'Data Sheet'!$C$17:$L$17</c:f>
              <c:numCache>
                <c:formatCode>General</c:formatCode>
                <c:ptCount val="10"/>
                <c:pt idx="0">
                  <c:v>1.3</c:v>
                </c:pt>
                <c:pt idx="1">
                  <c:v>1.3029999999999999</c:v>
                </c:pt>
                <c:pt idx="2">
                  <c:v>1.306</c:v>
                </c:pt>
                <c:pt idx="3">
                  <c:v>1.3049999999999999</c:v>
                </c:pt>
                <c:pt idx="4">
                  <c:v>1.3</c:v>
                </c:pt>
                <c:pt idx="5">
                  <c:v>1.3</c:v>
                </c:pt>
                <c:pt idx="6">
                  <c:v>1.2969999999999999</c:v>
                </c:pt>
                <c:pt idx="7">
                  <c:v>1.3</c:v>
                </c:pt>
                <c:pt idx="8">
                  <c:v>1.306</c:v>
                </c:pt>
                <c:pt idx="9">
                  <c:v>1.3049999999999999</c:v>
                </c:pt>
              </c:numCache>
            </c:numRef>
          </c:yVal>
          <c:smooth val="0"/>
        </c:ser>
        <c:ser>
          <c:idx val="5"/>
          <c:order val="5"/>
          <c:tx>
            <c:v>Trial 2b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002060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Ref>
              <c:f>'Data Sheet'!$C$18:$L$18</c:f>
              <c:numCache>
                <c:formatCode>General</c:formatCode>
                <c:ptCount val="10"/>
                <c:pt idx="0">
                  <c:v>1.3009999999999999</c:v>
                </c:pt>
                <c:pt idx="1">
                  <c:v>1.3029999999999999</c:v>
                </c:pt>
                <c:pt idx="2">
                  <c:v>1.3049999999999999</c:v>
                </c:pt>
                <c:pt idx="3">
                  <c:v>1.3049999999999999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1.306</c:v>
                </c:pt>
                <c:pt idx="8">
                  <c:v>1.306</c:v>
                </c:pt>
                <c:pt idx="9">
                  <c:v>1.306</c:v>
                </c:pt>
              </c:numCache>
            </c:numRef>
          </c:yVal>
          <c:smooth val="0"/>
        </c:ser>
        <c:ser>
          <c:idx val="6"/>
          <c:order val="6"/>
          <c:tx>
            <c:v>Trial 3b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Ref>
              <c:f>'Data Sheet'!$C$19:$L$19</c:f>
              <c:numCache>
                <c:formatCode>General</c:formatCode>
                <c:ptCount val="10"/>
                <c:pt idx="0">
                  <c:v>1.3</c:v>
                </c:pt>
                <c:pt idx="1">
                  <c:v>1.302</c:v>
                </c:pt>
                <c:pt idx="2">
                  <c:v>1.306</c:v>
                </c:pt>
                <c:pt idx="3">
                  <c:v>1.3049999999999999</c:v>
                </c:pt>
                <c:pt idx="4">
                  <c:v>1.3009999999999999</c:v>
                </c:pt>
                <c:pt idx="5">
                  <c:v>1.3</c:v>
                </c:pt>
                <c:pt idx="6">
                  <c:v>1.3</c:v>
                </c:pt>
                <c:pt idx="7">
                  <c:v>1.2989999999999999</c:v>
                </c:pt>
                <c:pt idx="8">
                  <c:v>1.306</c:v>
                </c:pt>
                <c:pt idx="9">
                  <c:v>1.306</c:v>
                </c:pt>
              </c:numCache>
            </c:numRef>
          </c:yVal>
          <c:smooth val="0"/>
        </c:ser>
        <c:ser>
          <c:idx val="8"/>
          <c:order val="8"/>
          <c:tx>
            <c:v>Trial 1c</c:v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yVal>
            <c:numRef>
              <c:f>'Data Sheet'!$C$22:$L$22</c:f>
              <c:numCache>
                <c:formatCode>General</c:formatCode>
                <c:ptCount val="10"/>
                <c:pt idx="0">
                  <c:v>1.3</c:v>
                </c:pt>
                <c:pt idx="1">
                  <c:v>1.302</c:v>
                </c:pt>
                <c:pt idx="2">
                  <c:v>1.306</c:v>
                </c:pt>
                <c:pt idx="3">
                  <c:v>1.3049999999999999</c:v>
                </c:pt>
                <c:pt idx="4">
                  <c:v>1.3009999999999999</c:v>
                </c:pt>
                <c:pt idx="5">
                  <c:v>1.3</c:v>
                </c:pt>
                <c:pt idx="6">
                  <c:v>1.3</c:v>
                </c:pt>
                <c:pt idx="7">
                  <c:v>1.2989999999999999</c:v>
                </c:pt>
                <c:pt idx="8">
                  <c:v>1.306</c:v>
                </c:pt>
                <c:pt idx="9">
                  <c:v>1.306</c:v>
                </c:pt>
              </c:numCache>
            </c:numRef>
          </c:yVal>
          <c:smooth val="0"/>
        </c:ser>
        <c:ser>
          <c:idx val="9"/>
          <c:order val="9"/>
          <c:tx>
            <c:v>Trial 2c</c:v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00206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yVal>
            <c:numRef>
              <c:f>'Data Sheet'!$C$23:$L$23</c:f>
              <c:numCache>
                <c:formatCode>General</c:formatCode>
                <c:ptCount val="10"/>
                <c:pt idx="0">
                  <c:v>1.3</c:v>
                </c:pt>
                <c:pt idx="1">
                  <c:v>1.302</c:v>
                </c:pt>
                <c:pt idx="2">
                  <c:v>1.306</c:v>
                </c:pt>
                <c:pt idx="3">
                  <c:v>1.3049999999999999</c:v>
                </c:pt>
                <c:pt idx="4">
                  <c:v>1.3009999999999999</c:v>
                </c:pt>
                <c:pt idx="5">
                  <c:v>1.3</c:v>
                </c:pt>
                <c:pt idx="6">
                  <c:v>1.3</c:v>
                </c:pt>
                <c:pt idx="7">
                  <c:v>1.2989999999999999</c:v>
                </c:pt>
                <c:pt idx="8">
                  <c:v>1.306</c:v>
                </c:pt>
                <c:pt idx="9">
                  <c:v>1.306</c:v>
                </c:pt>
              </c:numCache>
            </c:numRef>
          </c:yVal>
          <c:smooth val="0"/>
        </c:ser>
        <c:ser>
          <c:idx val="10"/>
          <c:order val="10"/>
          <c:tx>
            <c:v>Trial 3c</c:v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00206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yVal>
            <c:numRef>
              <c:f>'Data Sheet'!$C$24:$L$24</c:f>
              <c:numCache>
                <c:formatCode>General</c:formatCode>
                <c:ptCount val="10"/>
                <c:pt idx="0">
                  <c:v>1.3049999999999999</c:v>
                </c:pt>
                <c:pt idx="1">
                  <c:v>1.3049999999999999</c:v>
                </c:pt>
                <c:pt idx="2">
                  <c:v>1.3049999999999999</c:v>
                </c:pt>
                <c:pt idx="3">
                  <c:v>1.3049999999999999</c:v>
                </c:pt>
                <c:pt idx="4">
                  <c:v>1.3049999999999999</c:v>
                </c:pt>
                <c:pt idx="5">
                  <c:v>1.3049999999999999</c:v>
                </c:pt>
                <c:pt idx="6">
                  <c:v>1.3049999999999999</c:v>
                </c:pt>
                <c:pt idx="7">
                  <c:v>1.3049999999999999</c:v>
                </c:pt>
                <c:pt idx="8">
                  <c:v>1.3049999999999999</c:v>
                </c:pt>
                <c:pt idx="9">
                  <c:v>1.3049999999999999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56528"/>
        <c:axId val="170156920"/>
      </c:scatterChart>
      <c:catAx>
        <c:axId val="17015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156920"/>
        <c:crosses val="autoZero"/>
        <c:auto val="1"/>
        <c:lblAlgn val="ctr"/>
        <c:lblOffset val="100"/>
        <c:noMultiLvlLbl val="0"/>
      </c:catAx>
      <c:valAx>
        <c:axId val="170156920"/>
        <c:scaling>
          <c:orientation val="minMax"/>
        </c:scaling>
        <c:delete val="0"/>
        <c:axPos val="l"/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156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88989920935409039"/>
          <c:y val="0.48052087712266245"/>
          <c:w val="6.1936026936026962E-2"/>
          <c:h val="0.243972628421447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FFCC"/>
    </a:solidFill>
    <a:ln w="6350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Part</a:t>
            </a:r>
          </a:p>
        </c:rich>
      </c:tx>
      <c:layout>
        <c:manualLayout>
          <c:xMode val="edge"/>
          <c:yMode val="edge"/>
          <c:x val="0.47222302283905515"/>
          <c:y val="1.6317039531772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444562182213995E-2"/>
          <c:y val="0.10489525413282577"/>
          <c:w val="0.90909245038534681"/>
          <c:h val="0.75757683540374188"/>
        </c:manualLayout>
      </c:layout>
      <c:lineChart>
        <c:grouping val="standard"/>
        <c:varyColors val="0"/>
        <c:ser>
          <c:idx val="9"/>
          <c:order val="9"/>
          <c:tx>
            <c:strRef>
              <c:f>'Data Sheet'!$A$27</c:f>
              <c:strCache>
                <c:ptCount val="1"/>
                <c:pt idx="0">
                  <c:v>Part Average</c:v>
                </c:pt>
              </c:strCache>
            </c:strRef>
          </c:tx>
          <c:val>
            <c:numRef>
              <c:f>'Data Sheet'!$C$27:$L$27</c:f>
              <c:numCache>
                <c:formatCode>0.000</c:formatCode>
                <c:ptCount val="10"/>
                <c:pt idx="0">
                  <c:v>1.300777777777778</c:v>
                </c:pt>
                <c:pt idx="1">
                  <c:v>1.3027777777777778</c:v>
                </c:pt>
                <c:pt idx="2">
                  <c:v>1.3056666666666665</c:v>
                </c:pt>
                <c:pt idx="3">
                  <c:v>1.3049999999999999</c:v>
                </c:pt>
                <c:pt idx="4">
                  <c:v>1.3010000000000002</c:v>
                </c:pt>
                <c:pt idx="5">
                  <c:v>1.3005555555555555</c:v>
                </c:pt>
                <c:pt idx="6">
                  <c:v>1.2998888888888891</c:v>
                </c:pt>
                <c:pt idx="7">
                  <c:v>1.3014444444444442</c:v>
                </c:pt>
                <c:pt idx="8">
                  <c:v>1.3058888888888889</c:v>
                </c:pt>
                <c:pt idx="9">
                  <c:v>1.3056666666666665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157704"/>
        <c:axId val="170158096"/>
      </c:lineChart>
      <c:scatterChart>
        <c:scatterStyle val="lineMarker"/>
        <c:varyColors val="0"/>
        <c:ser>
          <c:idx val="0"/>
          <c:order val="0"/>
          <c:tx>
            <c:v>Trial 1a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Ref>
              <c:f>'Data Sheet'!$C$12:$L$12</c:f>
              <c:numCache>
                <c:formatCode>0.000</c:formatCode>
                <c:ptCount val="10"/>
                <c:pt idx="0">
                  <c:v>1.3</c:v>
                </c:pt>
                <c:pt idx="1">
                  <c:v>1.3029999999999999</c:v>
                </c:pt>
                <c:pt idx="2">
                  <c:v>1.306</c:v>
                </c:pt>
                <c:pt idx="3">
                  <c:v>1.3049999999999999</c:v>
                </c:pt>
                <c:pt idx="4">
                  <c:v>1.3</c:v>
                </c:pt>
                <c:pt idx="5">
                  <c:v>1.3</c:v>
                </c:pt>
                <c:pt idx="6">
                  <c:v>1.2969999999999999</c:v>
                </c:pt>
                <c:pt idx="7">
                  <c:v>1.3</c:v>
                </c:pt>
                <c:pt idx="8">
                  <c:v>1.306</c:v>
                </c:pt>
                <c:pt idx="9">
                  <c:v>1.3049999999999999</c:v>
                </c:pt>
              </c:numCache>
            </c:numRef>
          </c:yVal>
          <c:smooth val="0"/>
        </c:ser>
        <c:ser>
          <c:idx val="1"/>
          <c:order val="1"/>
          <c:tx>
            <c:v>Trial 2a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Ref>
              <c:f>'Data Sheet'!$C$13:$L$13</c:f>
              <c:numCache>
                <c:formatCode>0.000</c:formatCode>
                <c:ptCount val="10"/>
                <c:pt idx="0">
                  <c:v>1.3009999999999999</c:v>
                </c:pt>
                <c:pt idx="1">
                  <c:v>1.3029999999999999</c:v>
                </c:pt>
                <c:pt idx="2">
                  <c:v>1.3049999999999999</c:v>
                </c:pt>
                <c:pt idx="3">
                  <c:v>1.3049999999999999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1.306</c:v>
                </c:pt>
                <c:pt idx="8">
                  <c:v>1.306</c:v>
                </c:pt>
                <c:pt idx="9">
                  <c:v>1.306</c:v>
                </c:pt>
              </c:numCache>
            </c:numRef>
          </c:yVal>
          <c:smooth val="0"/>
        </c:ser>
        <c:ser>
          <c:idx val="2"/>
          <c:order val="2"/>
          <c:tx>
            <c:v>Trial 3a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Ref>
              <c:f>'Data Sheet'!$C$14:$L$14</c:f>
              <c:numCache>
                <c:formatCode>0.000</c:formatCode>
                <c:ptCount val="10"/>
                <c:pt idx="0">
                  <c:v>1.3</c:v>
                </c:pt>
                <c:pt idx="1">
                  <c:v>1.302</c:v>
                </c:pt>
                <c:pt idx="2">
                  <c:v>1.306</c:v>
                </c:pt>
                <c:pt idx="3">
                  <c:v>1.3049999999999999</c:v>
                </c:pt>
                <c:pt idx="4">
                  <c:v>1.3009999999999999</c:v>
                </c:pt>
                <c:pt idx="5">
                  <c:v>1.3</c:v>
                </c:pt>
                <c:pt idx="6">
                  <c:v>1.3</c:v>
                </c:pt>
                <c:pt idx="7">
                  <c:v>1.2989999999999999</c:v>
                </c:pt>
                <c:pt idx="8">
                  <c:v>1.306</c:v>
                </c:pt>
                <c:pt idx="9">
                  <c:v>1.306</c:v>
                </c:pt>
              </c:numCache>
            </c:numRef>
          </c:yVal>
          <c:smooth val="0"/>
        </c:ser>
        <c:ser>
          <c:idx val="3"/>
          <c:order val="3"/>
          <c:tx>
            <c:v>Trial 1b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Ref>
              <c:f>'Data Sheet'!$C$17:$L$17</c:f>
              <c:numCache>
                <c:formatCode>General</c:formatCode>
                <c:ptCount val="10"/>
                <c:pt idx="0">
                  <c:v>1.3</c:v>
                </c:pt>
                <c:pt idx="1">
                  <c:v>1.3029999999999999</c:v>
                </c:pt>
                <c:pt idx="2">
                  <c:v>1.306</c:v>
                </c:pt>
                <c:pt idx="3">
                  <c:v>1.3049999999999999</c:v>
                </c:pt>
                <c:pt idx="4">
                  <c:v>1.3</c:v>
                </c:pt>
                <c:pt idx="5">
                  <c:v>1.3</c:v>
                </c:pt>
                <c:pt idx="6">
                  <c:v>1.2969999999999999</c:v>
                </c:pt>
                <c:pt idx="7">
                  <c:v>1.3</c:v>
                </c:pt>
                <c:pt idx="8">
                  <c:v>1.306</c:v>
                </c:pt>
                <c:pt idx="9">
                  <c:v>1.3049999999999999</c:v>
                </c:pt>
              </c:numCache>
            </c:numRef>
          </c:yVal>
          <c:smooth val="0"/>
        </c:ser>
        <c:ser>
          <c:idx val="4"/>
          <c:order val="4"/>
          <c:tx>
            <c:v>Trial 2b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Ref>
              <c:f>'Data Sheet'!$C$18:$L$18</c:f>
              <c:numCache>
                <c:formatCode>General</c:formatCode>
                <c:ptCount val="10"/>
                <c:pt idx="0">
                  <c:v>1.3009999999999999</c:v>
                </c:pt>
                <c:pt idx="1">
                  <c:v>1.3029999999999999</c:v>
                </c:pt>
                <c:pt idx="2">
                  <c:v>1.3049999999999999</c:v>
                </c:pt>
                <c:pt idx="3">
                  <c:v>1.3049999999999999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1.306</c:v>
                </c:pt>
                <c:pt idx="8">
                  <c:v>1.306</c:v>
                </c:pt>
                <c:pt idx="9">
                  <c:v>1.306</c:v>
                </c:pt>
              </c:numCache>
            </c:numRef>
          </c:yVal>
          <c:smooth val="0"/>
        </c:ser>
        <c:ser>
          <c:idx val="5"/>
          <c:order val="5"/>
          <c:tx>
            <c:v>Trial 3b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Ref>
              <c:f>'Data Sheet'!$C$19:$L$19</c:f>
              <c:numCache>
                <c:formatCode>General</c:formatCode>
                <c:ptCount val="10"/>
                <c:pt idx="0">
                  <c:v>1.3</c:v>
                </c:pt>
                <c:pt idx="1">
                  <c:v>1.302</c:v>
                </c:pt>
                <c:pt idx="2">
                  <c:v>1.306</c:v>
                </c:pt>
                <c:pt idx="3">
                  <c:v>1.3049999999999999</c:v>
                </c:pt>
                <c:pt idx="4">
                  <c:v>1.3009999999999999</c:v>
                </c:pt>
                <c:pt idx="5">
                  <c:v>1.3</c:v>
                </c:pt>
                <c:pt idx="6">
                  <c:v>1.3</c:v>
                </c:pt>
                <c:pt idx="7">
                  <c:v>1.2989999999999999</c:v>
                </c:pt>
                <c:pt idx="8">
                  <c:v>1.306</c:v>
                </c:pt>
                <c:pt idx="9">
                  <c:v>1.306</c:v>
                </c:pt>
              </c:numCache>
            </c:numRef>
          </c:yVal>
          <c:smooth val="0"/>
        </c:ser>
        <c:ser>
          <c:idx val="6"/>
          <c:order val="6"/>
          <c:tx>
            <c:v>Trial 1c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Ref>
              <c:f>'Data Sheet'!$C$22:$L$22</c:f>
              <c:numCache>
                <c:formatCode>General</c:formatCode>
                <c:ptCount val="10"/>
                <c:pt idx="0">
                  <c:v>1.3</c:v>
                </c:pt>
                <c:pt idx="1">
                  <c:v>1.302</c:v>
                </c:pt>
                <c:pt idx="2">
                  <c:v>1.306</c:v>
                </c:pt>
                <c:pt idx="3">
                  <c:v>1.3049999999999999</c:v>
                </c:pt>
                <c:pt idx="4">
                  <c:v>1.3009999999999999</c:v>
                </c:pt>
                <c:pt idx="5">
                  <c:v>1.3</c:v>
                </c:pt>
                <c:pt idx="6">
                  <c:v>1.3</c:v>
                </c:pt>
                <c:pt idx="7">
                  <c:v>1.2989999999999999</c:v>
                </c:pt>
                <c:pt idx="8">
                  <c:v>1.306</c:v>
                </c:pt>
                <c:pt idx="9">
                  <c:v>1.306</c:v>
                </c:pt>
              </c:numCache>
            </c:numRef>
          </c:yVal>
          <c:smooth val="0"/>
        </c:ser>
        <c:ser>
          <c:idx val="7"/>
          <c:order val="7"/>
          <c:tx>
            <c:v>Trial 2c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yVal>
            <c:numRef>
              <c:f>'Data Sheet'!$C$23:$L$23</c:f>
              <c:numCache>
                <c:formatCode>General</c:formatCode>
                <c:ptCount val="10"/>
                <c:pt idx="0">
                  <c:v>1.3</c:v>
                </c:pt>
                <c:pt idx="1">
                  <c:v>1.302</c:v>
                </c:pt>
                <c:pt idx="2">
                  <c:v>1.306</c:v>
                </c:pt>
                <c:pt idx="3">
                  <c:v>1.3049999999999999</c:v>
                </c:pt>
                <c:pt idx="4">
                  <c:v>1.3009999999999999</c:v>
                </c:pt>
                <c:pt idx="5">
                  <c:v>1.3</c:v>
                </c:pt>
                <c:pt idx="6">
                  <c:v>1.3</c:v>
                </c:pt>
                <c:pt idx="7">
                  <c:v>1.2989999999999999</c:v>
                </c:pt>
                <c:pt idx="8">
                  <c:v>1.306</c:v>
                </c:pt>
                <c:pt idx="9">
                  <c:v>1.306</c:v>
                </c:pt>
              </c:numCache>
            </c:numRef>
          </c:yVal>
          <c:smooth val="0"/>
        </c:ser>
        <c:ser>
          <c:idx val="8"/>
          <c:order val="8"/>
          <c:tx>
            <c:v>Trial 3c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Ref>
              <c:f>'Data Sheet'!$C$24:$L$24</c:f>
              <c:numCache>
                <c:formatCode>General</c:formatCode>
                <c:ptCount val="10"/>
                <c:pt idx="0">
                  <c:v>1.3049999999999999</c:v>
                </c:pt>
                <c:pt idx="1">
                  <c:v>1.3049999999999999</c:v>
                </c:pt>
                <c:pt idx="2">
                  <c:v>1.3049999999999999</c:v>
                </c:pt>
                <c:pt idx="3">
                  <c:v>1.3049999999999999</c:v>
                </c:pt>
                <c:pt idx="4">
                  <c:v>1.3049999999999999</c:v>
                </c:pt>
                <c:pt idx="5">
                  <c:v>1.3049999999999999</c:v>
                </c:pt>
                <c:pt idx="6">
                  <c:v>1.3049999999999999</c:v>
                </c:pt>
                <c:pt idx="7">
                  <c:v>1.3049999999999999</c:v>
                </c:pt>
                <c:pt idx="8">
                  <c:v>1.3049999999999999</c:v>
                </c:pt>
                <c:pt idx="9">
                  <c:v>1.3049999999999999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57704"/>
        <c:axId val="170158096"/>
      </c:scatterChart>
      <c:catAx>
        <c:axId val="170157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158096"/>
        <c:crosses val="autoZero"/>
        <c:auto val="1"/>
        <c:lblAlgn val="ctr"/>
        <c:lblOffset val="100"/>
        <c:noMultiLvlLbl val="0"/>
      </c:catAx>
      <c:valAx>
        <c:axId val="170158096"/>
        <c:scaling>
          <c:orientation val="minMax"/>
        </c:scaling>
        <c:delete val="0"/>
        <c:axPos val="l"/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157704"/>
        <c:crosses val="autoZero"/>
        <c:crossBetween val="between"/>
      </c:valAx>
      <c:spPr>
        <a:solidFill>
          <a:srgbClr val="FFFFFF"/>
        </a:solidFill>
        <a:ln w="9525">
          <a:solidFill>
            <a:sysClr val="windowText" lastClr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CCFFCC"/>
    </a:solidFill>
    <a:ln w="6350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Components of Variation, Xbar/Range</a:t>
            </a:r>
          </a:p>
        </c:rich>
      </c:tx>
      <c:layout>
        <c:manualLayout>
          <c:xMode val="edge"/>
          <c:yMode val="edge"/>
          <c:x val="0.21043804183567968"/>
          <c:y val="9.303930939268432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808217812030819E-2"/>
          <c:y val="0.13877633994144578"/>
          <c:w val="0.69697087862876594"/>
          <c:h val="0.65714678619331679"/>
        </c:manualLayout>
      </c:layout>
      <c:barChart>
        <c:barDir val="col"/>
        <c:grouping val="clustered"/>
        <c:varyColors val="0"/>
        <c:ser>
          <c:idx val="0"/>
          <c:order val="0"/>
          <c:tx>
            <c:v>% Contribution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'Graphical Summary'!$N$3:$Q$3</c:f>
              <c:strCache>
                <c:ptCount val="4"/>
                <c:pt idx="0">
                  <c:v>Gage R&amp;R</c:v>
                </c:pt>
                <c:pt idx="1">
                  <c:v>Repeat.</c:v>
                </c:pt>
                <c:pt idx="2">
                  <c:v>Reprod.</c:v>
                </c:pt>
                <c:pt idx="3">
                  <c:v>Part-Part</c:v>
                </c:pt>
              </c:strCache>
            </c:strRef>
          </c:cat>
          <c:val>
            <c:numRef>
              <c:f>'Numerical Summary'!$Q$12:$Q$15</c:f>
              <c:numCache>
                <c:formatCode>0.00%</c:formatCode>
                <c:ptCount val="4"/>
                <c:pt idx="0">
                  <c:v>0.30028430328834671</c:v>
                </c:pt>
                <c:pt idx="1">
                  <c:v>0.28339997856480398</c:v>
                </c:pt>
                <c:pt idx="2">
                  <c:v>1.6884324723542815E-2</c:v>
                </c:pt>
                <c:pt idx="3">
                  <c:v>0.69971569671165346</c:v>
                </c:pt>
              </c:numCache>
            </c:numRef>
          </c:val>
        </c:ser>
        <c:ser>
          <c:idx val="1"/>
          <c:order val="1"/>
          <c:tx>
            <c:v>% Study Variation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'Graphical Summary'!$N$3:$Q$3</c:f>
              <c:strCache>
                <c:ptCount val="4"/>
                <c:pt idx="0">
                  <c:v>Gage R&amp;R</c:v>
                </c:pt>
                <c:pt idx="1">
                  <c:v>Repeat.</c:v>
                </c:pt>
                <c:pt idx="2">
                  <c:v>Reprod.</c:v>
                </c:pt>
                <c:pt idx="3">
                  <c:v>Part-Part</c:v>
                </c:pt>
              </c:strCache>
            </c:strRef>
          </c:cat>
          <c:val>
            <c:numRef>
              <c:f>'Numerical Summary'!$O$26:$O$29</c:f>
              <c:numCache>
                <c:formatCode>0.00%</c:formatCode>
                <c:ptCount val="4"/>
                <c:pt idx="0">
                  <c:v>0.54798202825306852</c:v>
                </c:pt>
                <c:pt idx="1">
                  <c:v>0.53235324603575396</c:v>
                </c:pt>
                <c:pt idx="2">
                  <c:v>0.12993969648857431</c:v>
                </c:pt>
                <c:pt idx="3">
                  <c:v>0.83649010556709713</c:v>
                </c:pt>
              </c:numCache>
            </c:numRef>
          </c:val>
        </c:ser>
        <c:ser>
          <c:idx val="2"/>
          <c:order val="2"/>
          <c:tx>
            <c:v>% Tol (5.15 SD)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'Graphical Summary'!$N$3:$Q$3</c:f>
              <c:strCache>
                <c:ptCount val="4"/>
                <c:pt idx="0">
                  <c:v>Gage R&amp;R</c:v>
                </c:pt>
                <c:pt idx="1">
                  <c:v>Repeat.</c:v>
                </c:pt>
                <c:pt idx="2">
                  <c:v>Reprod.</c:v>
                </c:pt>
                <c:pt idx="3">
                  <c:v>Part-Part</c:v>
                </c:pt>
              </c:strCache>
            </c:strRef>
          </c:cat>
          <c:val>
            <c:numRef>
              <c:f>'Numerical Summary'!$Q$26:$Q$29</c:f>
              <c:numCache>
                <c:formatCode>0.00%</c:formatCode>
                <c:ptCount val="4"/>
                <c:pt idx="0">
                  <c:v>9.9504502105713766E-2</c:v>
                </c:pt>
                <c:pt idx="1">
                  <c:v>9.6666572916666846E-2</c:v>
                </c:pt>
                <c:pt idx="2">
                  <c:v>2.3594906650646622E-2</c:v>
                </c:pt>
                <c:pt idx="3">
                  <c:v>0.1518928124999944</c:v>
                </c:pt>
              </c:numCache>
            </c:numRef>
          </c:val>
        </c:ser>
        <c:ser>
          <c:idx val="3"/>
          <c:order val="3"/>
          <c:tx>
            <c:v>% Tol (6.0 SD)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'Graphical Summary'!$N$3:$Q$3</c:f>
              <c:strCache>
                <c:ptCount val="4"/>
                <c:pt idx="0">
                  <c:v>Gage R&amp;R</c:v>
                </c:pt>
                <c:pt idx="1">
                  <c:v>Repeat.</c:v>
                </c:pt>
                <c:pt idx="2">
                  <c:v>Reprod.</c:v>
                </c:pt>
                <c:pt idx="3">
                  <c:v>Part-Part</c:v>
                </c:pt>
              </c:strCache>
            </c:strRef>
          </c:cat>
          <c:val>
            <c:numRef>
              <c:f>'Numerical Summary'!$Q$38:$Q$41</c:f>
              <c:numCache>
                <c:formatCode>0.00%</c:formatCode>
                <c:ptCount val="4"/>
                <c:pt idx="0">
                  <c:v>0.11592757526879273</c:v>
                </c:pt>
                <c:pt idx="1">
                  <c:v>0.1126212500000002</c:v>
                </c:pt>
                <c:pt idx="2">
                  <c:v>2.7489211631821307E-2</c:v>
                </c:pt>
                <c:pt idx="3">
                  <c:v>0.17696249999999344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160448"/>
        <c:axId val="170160840"/>
      </c:barChart>
      <c:catAx>
        <c:axId val="17016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160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0160840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160448"/>
        <c:crosses val="autoZero"/>
        <c:crossBetween val="between"/>
      </c:valAx>
      <c:spPr>
        <a:solidFill>
          <a:srgbClr val="FFFFFF"/>
        </a:solidFill>
        <a:ln w="12700">
          <a:solidFill>
            <a:sysClr val="windowText" lastClr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CCFFCC"/>
    </a:solidFill>
    <a:ln w="6350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[Gage R&amp;R Template (Crossed) (ANOVA+Xbar-R).xlsx]Graphical Summary!PivotTable1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8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8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Range Chart By Operator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19050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ln w="19050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19050">
              <a:solidFill>
                <a:schemeClr val="accent2"/>
              </a:solidFill>
            </a:ln>
            <a:effectLst/>
          </c:spPr>
        </c:marker>
      </c:pivotFmt>
      <c:pivotFmt>
        <c:idx val="12"/>
        <c:spPr>
          <a:ln w="19050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19050">
              <a:solidFill>
                <a:schemeClr val="accent3"/>
              </a:solidFill>
            </a:ln>
            <a:effectLst/>
          </c:spPr>
        </c:marker>
      </c:pivotFmt>
      <c:pivotFmt>
        <c:idx val="13"/>
        <c:spPr>
          <a:ln w="12700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12700" cap="rnd">
            <a:solidFill>
              <a:srgbClr val="00B050"/>
            </a:solidFill>
            <a:round/>
          </a:ln>
          <a:effectLst/>
        </c:spPr>
        <c:marker>
          <c:symbol val="none"/>
        </c:marker>
      </c:pivotFmt>
      <c:pivotFmt>
        <c:idx val="15"/>
        <c:marker>
          <c:symbol val="circle"/>
          <c:size val="5"/>
        </c:marker>
      </c:pivotFmt>
      <c:pivotFmt>
        <c:idx val="16"/>
        <c:spPr>
          <a:ln>
            <a:noFill/>
          </a:ln>
        </c:spPr>
        <c:marker>
          <c:spPr>
            <a:solidFill>
              <a:schemeClr val="accent2"/>
            </a:solidFill>
            <a:ln>
              <a:noFill/>
            </a:ln>
          </c:spPr>
        </c:marker>
      </c:pivotFmt>
      <c:pivotFmt>
        <c:idx val="17"/>
        <c:spPr>
          <a:ln>
            <a:noFill/>
          </a:ln>
        </c:spPr>
        <c:marker>
          <c:spPr>
            <a:ln>
              <a:noFill/>
            </a:ln>
          </c:spPr>
        </c:marker>
      </c:pivotFmt>
      <c:pivotFmt>
        <c:idx val="18"/>
        <c:spPr>
          <a:ln>
            <a:solidFill>
              <a:schemeClr val="accent5"/>
            </a:solidFill>
          </a:ln>
        </c:spPr>
        <c:marker>
          <c:spPr>
            <a:solidFill>
              <a:srgbClr val="0070C0"/>
            </a:solidFill>
            <a:ln>
              <a:solidFill>
                <a:schemeClr val="accent5"/>
              </a:solidFill>
            </a:ln>
          </c:spPr>
        </c:marker>
      </c:pivotFmt>
      <c:pivotFmt>
        <c:idx val="19"/>
        <c:spPr>
          <a:ln>
            <a:solidFill>
              <a:schemeClr val="accent5"/>
            </a:solidFill>
          </a:ln>
        </c:spPr>
        <c:marker>
          <c:spPr>
            <a:solidFill>
              <a:srgbClr val="0070C0"/>
            </a:solidFill>
            <a:ln>
              <a:solidFill>
                <a:schemeClr val="accent5"/>
              </a:solidFill>
            </a:ln>
          </c:spPr>
        </c:marker>
      </c:pivotFmt>
      <c:pivotFmt>
        <c:idx val="20"/>
        <c:spPr>
          <a:ln>
            <a:solidFill>
              <a:schemeClr val="accent5"/>
            </a:solidFill>
          </a:ln>
        </c:spPr>
        <c:marker>
          <c:spPr>
            <a:solidFill>
              <a:srgbClr val="0070C0"/>
            </a:solidFill>
            <a:ln>
              <a:solidFill>
                <a:schemeClr val="accent5"/>
              </a:solidFill>
            </a:ln>
          </c:spPr>
        </c:marker>
      </c:pivotFmt>
      <c:pivotFmt>
        <c:idx val="21"/>
        <c:spPr>
          <a:ln>
            <a:solidFill>
              <a:schemeClr val="accent5"/>
            </a:solidFill>
          </a:ln>
        </c:spPr>
        <c:marker>
          <c:spPr>
            <a:solidFill>
              <a:srgbClr val="0070C0"/>
            </a:solidFill>
            <a:ln>
              <a:solidFill>
                <a:schemeClr val="accent5"/>
              </a:solidFill>
            </a:ln>
          </c:spPr>
        </c:marker>
      </c:pivotFmt>
      <c:pivotFmt>
        <c:idx val="22"/>
        <c:spPr>
          <a:ln>
            <a:solidFill>
              <a:schemeClr val="accent5"/>
            </a:solidFill>
          </a:ln>
        </c:spPr>
        <c:marker>
          <c:spPr>
            <a:solidFill>
              <a:srgbClr val="0070C0"/>
            </a:solidFill>
            <a:ln>
              <a:solidFill>
                <a:schemeClr val="accent5"/>
              </a:solidFill>
            </a:ln>
          </c:spPr>
        </c:marker>
      </c:pivotFmt>
      <c:pivotFmt>
        <c:idx val="23"/>
        <c:spPr>
          <a:ln>
            <a:solidFill>
              <a:schemeClr val="accent5"/>
            </a:solidFill>
          </a:ln>
        </c:spPr>
        <c:marker>
          <c:spPr>
            <a:solidFill>
              <a:srgbClr val="0070C0"/>
            </a:solidFill>
            <a:ln>
              <a:solidFill>
                <a:schemeClr val="accent5"/>
              </a:solidFill>
            </a:ln>
          </c:spPr>
        </c:marker>
      </c:pivotFmt>
      <c:pivotFmt>
        <c:idx val="24"/>
        <c:spPr>
          <a:ln>
            <a:solidFill>
              <a:schemeClr val="accent5"/>
            </a:solidFill>
          </a:ln>
        </c:spPr>
        <c:marker>
          <c:spPr>
            <a:solidFill>
              <a:srgbClr val="0070C0"/>
            </a:solidFill>
            <a:ln>
              <a:solidFill>
                <a:schemeClr val="accent5"/>
              </a:solidFill>
            </a:ln>
          </c:spPr>
        </c:marker>
      </c:pivotFmt>
      <c:pivotFmt>
        <c:idx val="25"/>
        <c:spPr>
          <a:ln>
            <a:solidFill>
              <a:schemeClr val="accent5"/>
            </a:solidFill>
          </a:ln>
        </c:spPr>
        <c:marker>
          <c:spPr>
            <a:solidFill>
              <a:srgbClr val="0070C0"/>
            </a:solidFill>
            <a:ln>
              <a:solidFill>
                <a:schemeClr val="accent5"/>
              </a:solidFill>
            </a:ln>
          </c:spPr>
        </c:marker>
      </c:pivotFmt>
      <c:pivotFmt>
        <c:idx val="26"/>
        <c:spPr>
          <a:ln>
            <a:solidFill>
              <a:schemeClr val="accent5"/>
            </a:solidFill>
          </a:ln>
        </c:spPr>
        <c:marker>
          <c:spPr>
            <a:solidFill>
              <a:srgbClr val="0070C0"/>
            </a:solidFill>
            <a:ln>
              <a:solidFill>
                <a:schemeClr val="accent5"/>
              </a:solidFill>
            </a:ln>
          </c:spPr>
        </c:marker>
      </c:pivotFmt>
      <c:pivotFmt>
        <c:idx val="27"/>
        <c:marker>
          <c:spPr>
            <a:solidFill>
              <a:srgbClr val="0070C0"/>
            </a:solidFill>
          </c:spPr>
        </c:marker>
      </c:pivotFmt>
      <c:pivotFmt>
        <c:idx val="28"/>
        <c:spPr>
          <a:ln>
            <a:solidFill>
              <a:schemeClr val="accent2"/>
            </a:solidFill>
          </a:ln>
        </c:spPr>
        <c:marker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</c:marker>
      </c:pivotFmt>
      <c:pivotFmt>
        <c:idx val="29"/>
        <c:spPr>
          <a:ln>
            <a:solidFill>
              <a:schemeClr val="accent2"/>
            </a:solidFill>
          </a:ln>
        </c:spPr>
        <c:marker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</c:marker>
      </c:pivotFmt>
      <c:pivotFmt>
        <c:idx val="30"/>
        <c:spPr>
          <a:ln>
            <a:solidFill>
              <a:schemeClr val="accent2"/>
            </a:solidFill>
          </a:ln>
        </c:spPr>
        <c:marker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</c:marker>
      </c:pivotFmt>
      <c:pivotFmt>
        <c:idx val="31"/>
        <c:spPr>
          <a:ln>
            <a:solidFill>
              <a:schemeClr val="accent2"/>
            </a:solidFill>
          </a:ln>
        </c:spPr>
        <c:marker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</c:marker>
      </c:pivotFmt>
      <c:pivotFmt>
        <c:idx val="32"/>
        <c:spPr>
          <a:ln>
            <a:solidFill>
              <a:schemeClr val="accent2"/>
            </a:solidFill>
          </a:ln>
        </c:spPr>
        <c:marker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</c:marker>
      </c:pivotFmt>
      <c:pivotFmt>
        <c:idx val="33"/>
        <c:spPr>
          <a:ln>
            <a:solidFill>
              <a:schemeClr val="accent2"/>
            </a:solidFill>
          </a:ln>
        </c:spPr>
        <c:marker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</c:marker>
      </c:pivotFmt>
      <c:pivotFmt>
        <c:idx val="34"/>
        <c:spPr>
          <a:ln>
            <a:solidFill>
              <a:schemeClr val="accent2"/>
            </a:solidFill>
          </a:ln>
        </c:spPr>
        <c:marker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</c:marker>
      </c:pivotFmt>
      <c:pivotFmt>
        <c:idx val="35"/>
        <c:spPr>
          <a:ln>
            <a:solidFill>
              <a:schemeClr val="accent2"/>
            </a:solidFill>
          </a:ln>
        </c:spPr>
        <c:marker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</c:marker>
      </c:pivotFmt>
      <c:pivotFmt>
        <c:idx val="36"/>
        <c:spPr>
          <a:ln>
            <a:solidFill>
              <a:schemeClr val="accent2"/>
            </a:solidFill>
          </a:ln>
        </c:spPr>
        <c:marker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'Graphical Summary'!$U$40</c:f>
              <c:strCache>
                <c:ptCount val="1"/>
                <c:pt idx="0">
                  <c:v>Average 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'Graphical Summary'!$T$41:$T$74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</c:lvl>
                <c:lvl>
                  <c:pt idx="0">
                    <c:v>A</c:v>
                  </c:pt>
                  <c:pt idx="10">
                    <c:v>B</c:v>
                  </c:pt>
                  <c:pt idx="20">
                    <c:v>C</c:v>
                  </c:pt>
                </c:lvl>
              </c:multiLvlStrCache>
            </c:multiLvlStrRef>
          </c:cat>
          <c:val>
            <c:numRef>
              <c:f>'Graphical Summary'!$U$41:$U$74</c:f>
              <c:numCache>
                <c:formatCode>General</c:formatCode>
                <c:ptCount val="30"/>
                <c:pt idx="0">
                  <c:v>2.0333333333333388E-3</c:v>
                </c:pt>
                <c:pt idx="1">
                  <c:v>2.0333333333333388E-3</c:v>
                </c:pt>
                <c:pt idx="2">
                  <c:v>2.0333333333333388E-3</c:v>
                </c:pt>
                <c:pt idx="3">
                  <c:v>2.0333333333333388E-3</c:v>
                </c:pt>
                <c:pt idx="4">
                  <c:v>2.0333333333333388E-3</c:v>
                </c:pt>
                <c:pt idx="5">
                  <c:v>2.0333333333333388E-3</c:v>
                </c:pt>
                <c:pt idx="6">
                  <c:v>2.0333333333333388E-3</c:v>
                </c:pt>
                <c:pt idx="7">
                  <c:v>2.0333333333333388E-3</c:v>
                </c:pt>
                <c:pt idx="8">
                  <c:v>2.0333333333333388E-3</c:v>
                </c:pt>
                <c:pt idx="9">
                  <c:v>2.0333333333333388E-3</c:v>
                </c:pt>
                <c:pt idx="10">
                  <c:v>2.0333333333333388E-3</c:v>
                </c:pt>
                <c:pt idx="11">
                  <c:v>2.0333333333333388E-3</c:v>
                </c:pt>
                <c:pt idx="12">
                  <c:v>2.0333333333333388E-3</c:v>
                </c:pt>
                <c:pt idx="13">
                  <c:v>2.0333333333333388E-3</c:v>
                </c:pt>
                <c:pt idx="14">
                  <c:v>2.0333333333333388E-3</c:v>
                </c:pt>
                <c:pt idx="15">
                  <c:v>2.0333333333333388E-3</c:v>
                </c:pt>
                <c:pt idx="16">
                  <c:v>2.0333333333333388E-3</c:v>
                </c:pt>
                <c:pt idx="17">
                  <c:v>2.0333333333333388E-3</c:v>
                </c:pt>
                <c:pt idx="18">
                  <c:v>2.0333333333333388E-3</c:v>
                </c:pt>
                <c:pt idx="19">
                  <c:v>2.0333333333333388E-3</c:v>
                </c:pt>
                <c:pt idx="20">
                  <c:v>2.0333333333333388E-3</c:v>
                </c:pt>
                <c:pt idx="21">
                  <c:v>2.0333333333333388E-3</c:v>
                </c:pt>
                <c:pt idx="22">
                  <c:v>2.0333333333333388E-3</c:v>
                </c:pt>
                <c:pt idx="23">
                  <c:v>2.0333333333333388E-3</c:v>
                </c:pt>
                <c:pt idx="24">
                  <c:v>2.0333333333333388E-3</c:v>
                </c:pt>
                <c:pt idx="25">
                  <c:v>2.0333333333333388E-3</c:v>
                </c:pt>
                <c:pt idx="26">
                  <c:v>2.0333333333333388E-3</c:v>
                </c:pt>
                <c:pt idx="27">
                  <c:v>2.0333333333333388E-3</c:v>
                </c:pt>
                <c:pt idx="28">
                  <c:v>2.0333333333333388E-3</c:v>
                </c:pt>
                <c:pt idx="29">
                  <c:v>2.0333333333333388E-3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'Graphical Summary'!$V$40</c:f>
              <c:strCache>
                <c:ptCount val="1"/>
                <c:pt idx="0">
                  <c:v>UCL R 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'Graphical Summary'!$T$41:$T$74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</c:lvl>
                <c:lvl>
                  <c:pt idx="0">
                    <c:v>A</c:v>
                  </c:pt>
                  <c:pt idx="10">
                    <c:v>B</c:v>
                  </c:pt>
                  <c:pt idx="20">
                    <c:v>C</c:v>
                  </c:pt>
                </c:lvl>
              </c:multiLvlStrCache>
            </c:multiLvlStrRef>
          </c:cat>
          <c:val>
            <c:numRef>
              <c:f>'Graphical Summary'!$V$41:$V$74</c:f>
              <c:numCache>
                <c:formatCode>General</c:formatCode>
                <c:ptCount val="30"/>
                <c:pt idx="0">
                  <c:v>5.2338000000000141E-3</c:v>
                </c:pt>
                <c:pt idx="1">
                  <c:v>5.2338000000000141E-3</c:v>
                </c:pt>
                <c:pt idx="2">
                  <c:v>5.2338000000000141E-3</c:v>
                </c:pt>
                <c:pt idx="3">
                  <c:v>5.2338000000000141E-3</c:v>
                </c:pt>
                <c:pt idx="4">
                  <c:v>5.2338000000000141E-3</c:v>
                </c:pt>
                <c:pt idx="5">
                  <c:v>5.2338000000000141E-3</c:v>
                </c:pt>
                <c:pt idx="6">
                  <c:v>5.2338000000000141E-3</c:v>
                </c:pt>
                <c:pt idx="7">
                  <c:v>5.2338000000000141E-3</c:v>
                </c:pt>
                <c:pt idx="8">
                  <c:v>5.2338000000000141E-3</c:v>
                </c:pt>
                <c:pt idx="9">
                  <c:v>5.2338000000000141E-3</c:v>
                </c:pt>
                <c:pt idx="10">
                  <c:v>5.2338000000000141E-3</c:v>
                </c:pt>
                <c:pt idx="11">
                  <c:v>5.2338000000000141E-3</c:v>
                </c:pt>
                <c:pt idx="12">
                  <c:v>5.2338000000000141E-3</c:v>
                </c:pt>
                <c:pt idx="13">
                  <c:v>5.2338000000000141E-3</c:v>
                </c:pt>
                <c:pt idx="14">
                  <c:v>5.2338000000000141E-3</c:v>
                </c:pt>
                <c:pt idx="15">
                  <c:v>5.2338000000000141E-3</c:v>
                </c:pt>
                <c:pt idx="16">
                  <c:v>5.2338000000000141E-3</c:v>
                </c:pt>
                <c:pt idx="17">
                  <c:v>5.2338000000000141E-3</c:v>
                </c:pt>
                <c:pt idx="18">
                  <c:v>5.2338000000000141E-3</c:v>
                </c:pt>
                <c:pt idx="19">
                  <c:v>5.2338000000000141E-3</c:v>
                </c:pt>
                <c:pt idx="20">
                  <c:v>5.2338000000000141E-3</c:v>
                </c:pt>
                <c:pt idx="21">
                  <c:v>5.2338000000000141E-3</c:v>
                </c:pt>
                <c:pt idx="22">
                  <c:v>5.2338000000000141E-3</c:v>
                </c:pt>
                <c:pt idx="23">
                  <c:v>5.2338000000000141E-3</c:v>
                </c:pt>
                <c:pt idx="24">
                  <c:v>5.2338000000000141E-3</c:v>
                </c:pt>
                <c:pt idx="25">
                  <c:v>5.2338000000000141E-3</c:v>
                </c:pt>
                <c:pt idx="26">
                  <c:v>5.2338000000000141E-3</c:v>
                </c:pt>
                <c:pt idx="27">
                  <c:v>5.2338000000000141E-3</c:v>
                </c:pt>
                <c:pt idx="28">
                  <c:v>5.2338000000000141E-3</c:v>
                </c:pt>
                <c:pt idx="29">
                  <c:v>5.2338000000000141E-3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'Graphical Summary'!$W$40</c:f>
              <c:strCache>
                <c:ptCount val="1"/>
                <c:pt idx="0">
                  <c:v>Data </c:v>
                </c:pt>
              </c:strCache>
            </c:strRef>
          </c:tx>
          <c:marker>
            <c:symbol val="circle"/>
            <c:size val="5"/>
          </c:marker>
          <c:dPt>
            <c:idx val="0"/>
            <c:marker>
              <c:spPr>
                <a:solidFill>
                  <a:srgbClr val="0070C0"/>
                </a:solidFill>
              </c:spPr>
            </c:marker>
            <c:bubble3D val="0"/>
          </c:dPt>
          <c:dPt>
            <c:idx val="1"/>
            <c:marker>
              <c:spPr>
                <a:solidFill>
                  <a:srgbClr val="0070C0"/>
                </a:solidFill>
                <a:ln>
                  <a:solidFill>
                    <a:schemeClr val="accent5"/>
                  </a:solidFill>
                </a:ln>
              </c:spPr>
            </c:marker>
            <c:bubble3D val="0"/>
            <c:spPr>
              <a:ln>
                <a:solidFill>
                  <a:schemeClr val="accent5"/>
                </a:solidFill>
              </a:ln>
            </c:spPr>
          </c:dPt>
          <c:dPt>
            <c:idx val="2"/>
            <c:marker>
              <c:spPr>
                <a:solidFill>
                  <a:srgbClr val="0070C0"/>
                </a:solidFill>
                <a:ln>
                  <a:solidFill>
                    <a:schemeClr val="accent5"/>
                  </a:solidFill>
                </a:ln>
              </c:spPr>
            </c:marker>
            <c:bubble3D val="0"/>
            <c:spPr>
              <a:ln>
                <a:solidFill>
                  <a:schemeClr val="accent5"/>
                </a:solidFill>
              </a:ln>
            </c:spPr>
          </c:dPt>
          <c:dPt>
            <c:idx val="3"/>
            <c:marker>
              <c:spPr>
                <a:solidFill>
                  <a:srgbClr val="0070C0"/>
                </a:solidFill>
                <a:ln>
                  <a:solidFill>
                    <a:schemeClr val="accent5"/>
                  </a:solidFill>
                </a:ln>
              </c:spPr>
            </c:marker>
            <c:bubble3D val="0"/>
            <c:spPr>
              <a:ln>
                <a:solidFill>
                  <a:schemeClr val="accent5"/>
                </a:solidFill>
              </a:ln>
            </c:spPr>
          </c:dPt>
          <c:dPt>
            <c:idx val="4"/>
            <c:marker>
              <c:spPr>
                <a:solidFill>
                  <a:srgbClr val="0070C0"/>
                </a:solidFill>
                <a:ln>
                  <a:solidFill>
                    <a:schemeClr val="accent5"/>
                  </a:solidFill>
                </a:ln>
              </c:spPr>
            </c:marker>
            <c:bubble3D val="0"/>
            <c:spPr>
              <a:ln>
                <a:solidFill>
                  <a:schemeClr val="accent5"/>
                </a:solidFill>
              </a:ln>
            </c:spPr>
          </c:dPt>
          <c:dPt>
            <c:idx val="5"/>
            <c:marker>
              <c:spPr>
                <a:solidFill>
                  <a:srgbClr val="0070C0"/>
                </a:solidFill>
                <a:ln>
                  <a:solidFill>
                    <a:schemeClr val="accent5"/>
                  </a:solidFill>
                </a:ln>
              </c:spPr>
            </c:marker>
            <c:bubble3D val="0"/>
            <c:spPr>
              <a:ln>
                <a:solidFill>
                  <a:schemeClr val="accent5"/>
                </a:solidFill>
              </a:ln>
            </c:spPr>
          </c:dPt>
          <c:dPt>
            <c:idx val="6"/>
            <c:marker>
              <c:spPr>
                <a:solidFill>
                  <a:srgbClr val="0070C0"/>
                </a:solidFill>
                <a:ln>
                  <a:solidFill>
                    <a:schemeClr val="accent5"/>
                  </a:solidFill>
                </a:ln>
              </c:spPr>
            </c:marker>
            <c:bubble3D val="0"/>
            <c:spPr>
              <a:ln>
                <a:solidFill>
                  <a:schemeClr val="accent5"/>
                </a:solidFill>
              </a:ln>
            </c:spPr>
          </c:dPt>
          <c:dPt>
            <c:idx val="7"/>
            <c:marker>
              <c:spPr>
                <a:solidFill>
                  <a:srgbClr val="0070C0"/>
                </a:solidFill>
                <a:ln>
                  <a:solidFill>
                    <a:schemeClr val="accent5"/>
                  </a:solidFill>
                </a:ln>
              </c:spPr>
            </c:marker>
            <c:bubble3D val="0"/>
            <c:spPr>
              <a:ln>
                <a:solidFill>
                  <a:schemeClr val="accent5"/>
                </a:solidFill>
              </a:ln>
            </c:spPr>
          </c:dPt>
          <c:dPt>
            <c:idx val="8"/>
            <c:marker>
              <c:spPr>
                <a:solidFill>
                  <a:srgbClr val="0070C0"/>
                </a:solidFill>
                <a:ln>
                  <a:solidFill>
                    <a:schemeClr val="accent5"/>
                  </a:solidFill>
                </a:ln>
              </c:spPr>
            </c:marker>
            <c:bubble3D val="0"/>
            <c:spPr>
              <a:ln>
                <a:solidFill>
                  <a:schemeClr val="accent5"/>
                </a:solidFill>
              </a:ln>
            </c:spPr>
          </c:dPt>
          <c:dPt>
            <c:idx val="9"/>
            <c:marker>
              <c:spPr>
                <a:solidFill>
                  <a:srgbClr val="0070C0"/>
                </a:solidFill>
                <a:ln>
                  <a:solidFill>
                    <a:schemeClr val="accent5"/>
                  </a:solidFill>
                </a:ln>
              </c:spPr>
            </c:marker>
            <c:bubble3D val="0"/>
            <c:spPr>
              <a:ln>
                <a:solidFill>
                  <a:schemeClr val="accent5"/>
                </a:solidFill>
              </a:ln>
            </c:spPr>
          </c:dPt>
          <c:dPt>
            <c:idx val="10"/>
            <c:marker>
              <c:spPr>
                <a:solidFill>
                  <a:schemeClr val="accent2"/>
                </a:solidFill>
                <a:ln>
                  <a:noFill/>
                </a:ln>
              </c:spPr>
            </c:marker>
            <c:bubble3D val="0"/>
            <c:spPr>
              <a:ln>
                <a:noFill/>
              </a:ln>
            </c:spPr>
          </c:dPt>
          <c:dPt>
            <c:idx val="11"/>
            <c:marker>
              <c:spPr>
                <a:solidFill>
                  <a:schemeClr val="accent2"/>
                </a:solidFill>
                <a:ln>
                  <a:solidFill>
                    <a:schemeClr val="accent2"/>
                  </a:solidFill>
                </a:ln>
              </c:spPr>
            </c:marker>
            <c:bubble3D val="0"/>
            <c:spPr>
              <a:ln>
                <a:solidFill>
                  <a:schemeClr val="accent2"/>
                </a:solidFill>
              </a:ln>
            </c:spPr>
          </c:dPt>
          <c:dPt>
            <c:idx val="12"/>
            <c:marker>
              <c:spPr>
                <a:solidFill>
                  <a:schemeClr val="accent2"/>
                </a:solidFill>
                <a:ln>
                  <a:solidFill>
                    <a:schemeClr val="accent2"/>
                  </a:solidFill>
                </a:ln>
              </c:spPr>
            </c:marker>
            <c:bubble3D val="0"/>
            <c:spPr>
              <a:ln>
                <a:solidFill>
                  <a:schemeClr val="accent2"/>
                </a:solidFill>
              </a:ln>
            </c:spPr>
          </c:dPt>
          <c:dPt>
            <c:idx val="13"/>
            <c:marker>
              <c:spPr>
                <a:solidFill>
                  <a:schemeClr val="accent2"/>
                </a:solidFill>
                <a:ln>
                  <a:solidFill>
                    <a:schemeClr val="accent2"/>
                  </a:solidFill>
                </a:ln>
              </c:spPr>
            </c:marker>
            <c:bubble3D val="0"/>
            <c:spPr>
              <a:ln>
                <a:solidFill>
                  <a:schemeClr val="accent2"/>
                </a:solidFill>
              </a:ln>
            </c:spPr>
          </c:dPt>
          <c:dPt>
            <c:idx val="14"/>
            <c:marker>
              <c:spPr>
                <a:solidFill>
                  <a:schemeClr val="accent2"/>
                </a:solidFill>
                <a:ln>
                  <a:solidFill>
                    <a:schemeClr val="accent2"/>
                  </a:solidFill>
                </a:ln>
              </c:spPr>
            </c:marker>
            <c:bubble3D val="0"/>
            <c:spPr>
              <a:ln>
                <a:solidFill>
                  <a:schemeClr val="accent2"/>
                </a:solidFill>
              </a:ln>
            </c:spPr>
          </c:dPt>
          <c:dPt>
            <c:idx val="15"/>
            <c:marker>
              <c:spPr>
                <a:solidFill>
                  <a:schemeClr val="accent2"/>
                </a:solidFill>
                <a:ln>
                  <a:solidFill>
                    <a:schemeClr val="accent2"/>
                  </a:solidFill>
                </a:ln>
              </c:spPr>
            </c:marker>
            <c:bubble3D val="0"/>
            <c:spPr>
              <a:ln>
                <a:solidFill>
                  <a:schemeClr val="accent2"/>
                </a:solidFill>
              </a:ln>
            </c:spPr>
          </c:dPt>
          <c:dPt>
            <c:idx val="16"/>
            <c:marker>
              <c:spPr>
                <a:solidFill>
                  <a:schemeClr val="accent2"/>
                </a:solidFill>
                <a:ln>
                  <a:solidFill>
                    <a:schemeClr val="accent2"/>
                  </a:solidFill>
                </a:ln>
              </c:spPr>
            </c:marker>
            <c:bubble3D val="0"/>
            <c:spPr>
              <a:ln>
                <a:solidFill>
                  <a:schemeClr val="accent2"/>
                </a:solidFill>
              </a:ln>
            </c:spPr>
          </c:dPt>
          <c:dPt>
            <c:idx val="17"/>
            <c:marker>
              <c:spPr>
                <a:solidFill>
                  <a:schemeClr val="accent2"/>
                </a:solidFill>
                <a:ln>
                  <a:solidFill>
                    <a:schemeClr val="accent2"/>
                  </a:solidFill>
                </a:ln>
              </c:spPr>
            </c:marker>
            <c:bubble3D val="0"/>
            <c:spPr>
              <a:ln>
                <a:solidFill>
                  <a:schemeClr val="accent2"/>
                </a:solidFill>
              </a:ln>
            </c:spPr>
          </c:dPt>
          <c:dPt>
            <c:idx val="18"/>
            <c:marker>
              <c:spPr>
                <a:solidFill>
                  <a:schemeClr val="accent2"/>
                </a:solidFill>
                <a:ln>
                  <a:solidFill>
                    <a:schemeClr val="accent2"/>
                  </a:solidFill>
                </a:ln>
              </c:spPr>
            </c:marker>
            <c:bubble3D val="0"/>
            <c:spPr>
              <a:ln>
                <a:solidFill>
                  <a:schemeClr val="accent2"/>
                </a:solidFill>
              </a:ln>
            </c:spPr>
          </c:dPt>
          <c:dPt>
            <c:idx val="19"/>
            <c:marker>
              <c:spPr>
                <a:solidFill>
                  <a:schemeClr val="accent2"/>
                </a:solidFill>
                <a:ln>
                  <a:solidFill>
                    <a:schemeClr val="accent2"/>
                  </a:solidFill>
                </a:ln>
              </c:spPr>
            </c:marker>
            <c:bubble3D val="0"/>
            <c:spPr>
              <a:ln>
                <a:solidFill>
                  <a:schemeClr val="accent2"/>
                </a:solidFill>
              </a:ln>
            </c:spPr>
          </c:dPt>
          <c:dPt>
            <c:idx val="20"/>
            <c:marker>
              <c:spPr>
                <a:ln>
                  <a:noFill/>
                </a:ln>
              </c:spPr>
            </c:marker>
            <c:bubble3D val="0"/>
            <c:spPr>
              <a:ln>
                <a:noFill/>
              </a:ln>
            </c:spPr>
          </c:dPt>
          <c:cat>
            <c:multiLvlStrRef>
              <c:f>'Graphical Summary'!$T$41:$T$74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</c:lvl>
                <c:lvl>
                  <c:pt idx="0">
                    <c:v>A</c:v>
                  </c:pt>
                  <c:pt idx="10">
                    <c:v>B</c:v>
                  </c:pt>
                  <c:pt idx="20">
                    <c:v>C</c:v>
                  </c:pt>
                </c:lvl>
              </c:multiLvlStrCache>
            </c:multiLvlStrRef>
          </c:cat>
          <c:val>
            <c:numRef>
              <c:f>'Graphical Summary'!$W$41:$W$74</c:f>
              <c:numCache>
                <c:formatCode>General</c:formatCode>
                <c:ptCount val="30"/>
                <c:pt idx="0">
                  <c:v>9.9999999999988987E-4</c:v>
                </c:pt>
                <c:pt idx="1">
                  <c:v>9.9999999999988987E-4</c:v>
                </c:pt>
                <c:pt idx="2">
                  <c:v>1.0000000000001119E-3</c:v>
                </c:pt>
                <c:pt idx="3">
                  <c:v>0</c:v>
                </c:pt>
                <c:pt idx="4">
                  <c:v>9.9999999999988987E-4</c:v>
                </c:pt>
                <c:pt idx="5">
                  <c:v>0</c:v>
                </c:pt>
                <c:pt idx="6">
                  <c:v>3.0000000000001137E-3</c:v>
                </c:pt>
                <c:pt idx="7">
                  <c:v>7.0000000000001172E-3</c:v>
                </c:pt>
                <c:pt idx="8">
                  <c:v>0</c:v>
                </c:pt>
                <c:pt idx="9">
                  <c:v>1.0000000000001119E-3</c:v>
                </c:pt>
                <c:pt idx="10">
                  <c:v>9.9999999999988987E-4</c:v>
                </c:pt>
                <c:pt idx="11">
                  <c:v>9.9999999999988987E-4</c:v>
                </c:pt>
                <c:pt idx="12">
                  <c:v>1.0000000000001119E-3</c:v>
                </c:pt>
                <c:pt idx="13">
                  <c:v>0</c:v>
                </c:pt>
                <c:pt idx="14">
                  <c:v>9.9999999999988987E-4</c:v>
                </c:pt>
                <c:pt idx="15">
                  <c:v>0</c:v>
                </c:pt>
                <c:pt idx="16">
                  <c:v>3.0000000000001137E-3</c:v>
                </c:pt>
                <c:pt idx="17">
                  <c:v>7.0000000000001172E-3</c:v>
                </c:pt>
                <c:pt idx="18">
                  <c:v>0</c:v>
                </c:pt>
                <c:pt idx="19">
                  <c:v>1.0000000000001119E-3</c:v>
                </c:pt>
                <c:pt idx="20">
                  <c:v>4.9999999999998934E-3</c:v>
                </c:pt>
                <c:pt idx="21">
                  <c:v>2.9999999999998916E-3</c:v>
                </c:pt>
                <c:pt idx="22">
                  <c:v>1.0000000000001119E-3</c:v>
                </c:pt>
                <c:pt idx="23">
                  <c:v>0</c:v>
                </c:pt>
                <c:pt idx="24">
                  <c:v>4.0000000000000036E-3</c:v>
                </c:pt>
                <c:pt idx="25">
                  <c:v>4.9999999999998934E-3</c:v>
                </c:pt>
                <c:pt idx="26">
                  <c:v>4.9999999999998934E-3</c:v>
                </c:pt>
                <c:pt idx="27">
                  <c:v>6.0000000000000053E-3</c:v>
                </c:pt>
                <c:pt idx="28">
                  <c:v>1.0000000000001119E-3</c:v>
                </c:pt>
                <c:pt idx="29">
                  <c:v>1.0000000000001119E-3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162016"/>
        <c:axId val="170162408"/>
      </c:lineChart>
      <c:catAx>
        <c:axId val="17016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3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0162408"/>
        <c:crosses val="autoZero"/>
        <c:auto val="1"/>
        <c:lblAlgn val="ctr"/>
        <c:lblOffset val="100"/>
        <c:noMultiLvlLbl val="0"/>
      </c:catAx>
      <c:valAx>
        <c:axId val="170162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3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0162016"/>
        <c:crosses val="autoZero"/>
        <c:crossBetween val="between"/>
      </c:val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2"/>
        <c:delete val="1"/>
      </c:legendEntry>
      <c:layout/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FFCC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[Gage R&amp;R Template (Crossed) (ANOVA+Xbar-R).xlsx]Graphical Summary!PivotTable2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8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8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X Bar Chart By Operator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9"/>
        <c:spPr>
          <a:ln w="12700" cap="rnd">
            <a:solidFill>
              <a:srgbClr val="00B05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12700" cap="rnd">
            <a:solidFill>
              <a:srgbClr val="00B050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12700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19050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ln w="19050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19050">
              <a:solidFill>
                <a:schemeClr val="accent2"/>
              </a:solidFill>
            </a:ln>
            <a:effectLst/>
          </c:spPr>
        </c:marker>
      </c:pivotFmt>
      <c:pivotFmt>
        <c:idx val="14"/>
        <c:spPr>
          <a:ln w="19050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19050">
              <a:solidFill>
                <a:schemeClr val="accent3"/>
              </a:solidFill>
            </a:ln>
            <a:effectLst/>
          </c:spPr>
        </c:marker>
      </c:pivotFmt>
      <c:pivotFmt>
        <c:idx val="15"/>
        <c:marker>
          <c:symbol val="circle"/>
          <c:size val="5"/>
        </c:marker>
      </c:pivotFmt>
      <c:pivotFmt>
        <c:idx val="16"/>
        <c:spPr>
          <a:ln>
            <a:noFill/>
          </a:ln>
        </c:spPr>
        <c:marker>
          <c:spPr>
            <a:ln>
              <a:noFill/>
            </a:ln>
          </c:spPr>
        </c:marker>
      </c:pivotFmt>
      <c:pivotFmt>
        <c:idx val="17"/>
        <c:spPr>
          <a:ln>
            <a:noFill/>
          </a:ln>
        </c:spPr>
        <c:marker>
          <c:spPr>
            <a:solidFill>
              <a:schemeClr val="accent3"/>
            </a:solidFill>
            <a:ln>
              <a:noFill/>
            </a:ln>
          </c:spPr>
        </c:marker>
      </c:pivotFmt>
      <c:pivotFmt>
        <c:idx val="18"/>
        <c:spPr>
          <a:ln>
            <a:solidFill>
              <a:srgbClr val="0070C0"/>
            </a:solidFill>
          </a:ln>
        </c:spPr>
        <c:marker>
          <c:spPr>
            <a:solidFill>
              <a:srgbClr val="0070C0"/>
            </a:solidFill>
            <a:ln>
              <a:solidFill>
                <a:srgbClr val="0070C0"/>
              </a:solidFill>
            </a:ln>
          </c:spPr>
        </c:marker>
      </c:pivotFmt>
      <c:pivotFmt>
        <c:idx val="19"/>
        <c:spPr>
          <a:ln>
            <a:solidFill>
              <a:srgbClr val="0070C0"/>
            </a:solidFill>
          </a:ln>
        </c:spPr>
        <c:marker>
          <c:spPr>
            <a:solidFill>
              <a:srgbClr val="0070C0"/>
            </a:solidFill>
            <a:ln>
              <a:solidFill>
                <a:srgbClr val="0070C0"/>
              </a:solidFill>
            </a:ln>
          </c:spPr>
        </c:marker>
      </c:pivotFmt>
      <c:pivotFmt>
        <c:idx val="20"/>
        <c:spPr>
          <a:ln>
            <a:solidFill>
              <a:srgbClr val="0070C0"/>
            </a:solidFill>
          </a:ln>
        </c:spPr>
        <c:marker>
          <c:spPr>
            <a:solidFill>
              <a:srgbClr val="0070C0"/>
            </a:solidFill>
            <a:ln>
              <a:solidFill>
                <a:srgbClr val="0070C0"/>
              </a:solidFill>
            </a:ln>
          </c:spPr>
        </c:marker>
      </c:pivotFmt>
      <c:pivotFmt>
        <c:idx val="21"/>
        <c:spPr>
          <a:ln>
            <a:solidFill>
              <a:srgbClr val="0070C0"/>
            </a:solidFill>
          </a:ln>
        </c:spPr>
        <c:marker>
          <c:spPr>
            <a:solidFill>
              <a:srgbClr val="0070C0"/>
            </a:solidFill>
            <a:ln>
              <a:solidFill>
                <a:srgbClr val="0070C0"/>
              </a:solidFill>
            </a:ln>
          </c:spPr>
        </c:marker>
      </c:pivotFmt>
      <c:pivotFmt>
        <c:idx val="22"/>
        <c:spPr>
          <a:ln>
            <a:solidFill>
              <a:srgbClr val="0070C0"/>
            </a:solidFill>
          </a:ln>
        </c:spPr>
        <c:marker>
          <c:spPr>
            <a:solidFill>
              <a:srgbClr val="0070C0"/>
            </a:solidFill>
            <a:ln>
              <a:solidFill>
                <a:srgbClr val="0070C0"/>
              </a:solidFill>
            </a:ln>
          </c:spPr>
        </c:marker>
      </c:pivotFmt>
      <c:pivotFmt>
        <c:idx val="23"/>
        <c:spPr>
          <a:ln>
            <a:solidFill>
              <a:srgbClr val="0070C0"/>
            </a:solidFill>
          </a:ln>
        </c:spPr>
        <c:marker>
          <c:spPr>
            <a:solidFill>
              <a:srgbClr val="0070C0"/>
            </a:solidFill>
            <a:ln>
              <a:solidFill>
                <a:srgbClr val="0070C0"/>
              </a:solidFill>
            </a:ln>
          </c:spPr>
        </c:marker>
      </c:pivotFmt>
      <c:pivotFmt>
        <c:idx val="24"/>
        <c:spPr>
          <a:ln>
            <a:solidFill>
              <a:srgbClr val="0070C0"/>
            </a:solidFill>
          </a:ln>
        </c:spPr>
        <c:marker>
          <c:spPr>
            <a:solidFill>
              <a:srgbClr val="0070C0"/>
            </a:solidFill>
            <a:ln>
              <a:solidFill>
                <a:srgbClr val="0070C0"/>
              </a:solidFill>
            </a:ln>
          </c:spPr>
        </c:marker>
      </c:pivotFmt>
      <c:pivotFmt>
        <c:idx val="25"/>
        <c:spPr>
          <a:ln>
            <a:solidFill>
              <a:srgbClr val="0070C0"/>
            </a:solidFill>
          </a:ln>
        </c:spPr>
        <c:marker>
          <c:spPr>
            <a:solidFill>
              <a:srgbClr val="0070C0"/>
            </a:solidFill>
            <a:ln>
              <a:solidFill>
                <a:srgbClr val="0070C0"/>
              </a:solidFill>
            </a:ln>
          </c:spPr>
        </c:marker>
      </c:pivotFmt>
      <c:pivotFmt>
        <c:idx val="26"/>
        <c:spPr>
          <a:ln>
            <a:solidFill>
              <a:srgbClr val="0070C0"/>
            </a:solidFill>
          </a:ln>
        </c:spPr>
        <c:marker>
          <c:spPr>
            <a:solidFill>
              <a:srgbClr val="0070C0"/>
            </a:solidFill>
            <a:ln>
              <a:solidFill>
                <a:srgbClr val="0070C0"/>
              </a:solidFill>
            </a:ln>
          </c:spPr>
        </c:marker>
      </c:pivotFmt>
      <c:pivotFmt>
        <c:idx val="27"/>
        <c:spPr>
          <a:ln>
            <a:solidFill>
              <a:srgbClr val="0070C0"/>
            </a:solidFill>
          </a:ln>
        </c:spPr>
        <c:marker>
          <c:spPr>
            <a:solidFill>
              <a:srgbClr val="0070C0"/>
            </a:solidFill>
            <a:ln>
              <a:solidFill>
                <a:srgbClr val="0070C0"/>
              </a:solidFill>
            </a:ln>
          </c:spPr>
        </c:marker>
      </c:pivotFmt>
      <c:pivotFmt>
        <c:idx val="28"/>
        <c:spPr>
          <a:ln>
            <a:solidFill>
              <a:schemeClr val="accent3"/>
            </a:solidFill>
          </a:ln>
        </c:spPr>
        <c:marker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</c:marker>
      </c:pivotFmt>
      <c:pivotFmt>
        <c:idx val="29"/>
        <c:spPr>
          <a:ln>
            <a:solidFill>
              <a:schemeClr val="accent3"/>
            </a:solidFill>
          </a:ln>
        </c:spPr>
        <c:marker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</c:marker>
      </c:pivotFmt>
      <c:pivotFmt>
        <c:idx val="30"/>
        <c:spPr>
          <a:ln>
            <a:solidFill>
              <a:schemeClr val="accent3"/>
            </a:solidFill>
          </a:ln>
        </c:spPr>
        <c:marker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</c:marker>
      </c:pivotFmt>
      <c:pivotFmt>
        <c:idx val="31"/>
        <c:spPr>
          <a:ln>
            <a:solidFill>
              <a:schemeClr val="accent3"/>
            </a:solidFill>
          </a:ln>
        </c:spPr>
        <c:marker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</c:marker>
      </c:pivotFmt>
      <c:pivotFmt>
        <c:idx val="32"/>
        <c:spPr>
          <a:ln>
            <a:solidFill>
              <a:schemeClr val="accent3"/>
            </a:solidFill>
          </a:ln>
        </c:spPr>
        <c:marker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</c:marker>
      </c:pivotFmt>
      <c:pivotFmt>
        <c:idx val="33"/>
        <c:spPr>
          <a:ln>
            <a:solidFill>
              <a:schemeClr val="accent3"/>
            </a:solidFill>
          </a:ln>
        </c:spPr>
        <c:marker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</c:marker>
      </c:pivotFmt>
      <c:pivotFmt>
        <c:idx val="34"/>
        <c:spPr>
          <a:ln>
            <a:solidFill>
              <a:schemeClr val="accent3"/>
            </a:solidFill>
          </a:ln>
        </c:spPr>
        <c:marker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</c:marker>
      </c:pivotFmt>
      <c:pivotFmt>
        <c:idx val="35"/>
        <c:spPr>
          <a:ln>
            <a:solidFill>
              <a:schemeClr val="accent3"/>
            </a:solidFill>
          </a:ln>
        </c:spPr>
        <c:marker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</c:marker>
      </c:pivotFmt>
      <c:pivotFmt>
        <c:idx val="36"/>
        <c:spPr>
          <a:ln>
            <a:solidFill>
              <a:schemeClr val="accent3"/>
            </a:solidFill>
          </a:ln>
        </c:spPr>
        <c:marker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'Graphical Summary'!$AA$40</c:f>
              <c:strCache>
                <c:ptCount val="1"/>
                <c:pt idx="0">
                  <c:v>UCL X 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'Graphical Summary'!$Z$41:$Z$74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</c:lvl>
                <c:lvl>
                  <c:pt idx="0">
                    <c:v>A</c:v>
                  </c:pt>
                  <c:pt idx="10">
                    <c:v>B</c:v>
                  </c:pt>
                  <c:pt idx="20">
                    <c:v>C</c:v>
                  </c:pt>
                </c:lvl>
              </c:multiLvlStrCache>
            </c:multiLvlStrRef>
          </c:cat>
          <c:val>
            <c:numRef>
              <c:f>'Graphical Summary'!$AA$41:$AA$74</c:f>
              <c:numCache>
                <c:formatCode>General</c:formatCode>
                <c:ptCount val="30"/>
                <c:pt idx="0">
                  <c:v>1.3064697381374286</c:v>
                </c:pt>
                <c:pt idx="1">
                  <c:v>1.3064697381374286</c:v>
                </c:pt>
                <c:pt idx="2">
                  <c:v>1.3064697381374286</c:v>
                </c:pt>
                <c:pt idx="3">
                  <c:v>1.3064697381374286</c:v>
                </c:pt>
                <c:pt idx="4">
                  <c:v>1.3064697381374286</c:v>
                </c:pt>
                <c:pt idx="5">
                  <c:v>1.3064697381374286</c:v>
                </c:pt>
                <c:pt idx="6">
                  <c:v>1.3064697381374286</c:v>
                </c:pt>
                <c:pt idx="7">
                  <c:v>1.3064697381374286</c:v>
                </c:pt>
                <c:pt idx="8">
                  <c:v>1.3064697381374286</c:v>
                </c:pt>
                <c:pt idx="9">
                  <c:v>1.3064697381374286</c:v>
                </c:pt>
                <c:pt idx="10">
                  <c:v>1.3064697381374286</c:v>
                </c:pt>
                <c:pt idx="11">
                  <c:v>1.3064697381374286</c:v>
                </c:pt>
                <c:pt idx="12">
                  <c:v>1.3064697381374286</c:v>
                </c:pt>
                <c:pt idx="13">
                  <c:v>1.3064697381374286</c:v>
                </c:pt>
                <c:pt idx="14">
                  <c:v>1.3064697381374286</c:v>
                </c:pt>
                <c:pt idx="15">
                  <c:v>1.3064697381374286</c:v>
                </c:pt>
                <c:pt idx="16">
                  <c:v>1.3064697381374286</c:v>
                </c:pt>
                <c:pt idx="17">
                  <c:v>1.3064697381374286</c:v>
                </c:pt>
                <c:pt idx="18">
                  <c:v>1.3064697381374286</c:v>
                </c:pt>
                <c:pt idx="19">
                  <c:v>1.3064697381374286</c:v>
                </c:pt>
                <c:pt idx="20">
                  <c:v>1.3064697381374286</c:v>
                </c:pt>
                <c:pt idx="21">
                  <c:v>1.3064697381374286</c:v>
                </c:pt>
                <c:pt idx="22">
                  <c:v>1.3064697381374286</c:v>
                </c:pt>
                <c:pt idx="23">
                  <c:v>1.3064697381374286</c:v>
                </c:pt>
                <c:pt idx="24">
                  <c:v>1.3064697381374286</c:v>
                </c:pt>
                <c:pt idx="25">
                  <c:v>1.3064697381374286</c:v>
                </c:pt>
                <c:pt idx="26">
                  <c:v>1.3064697381374286</c:v>
                </c:pt>
                <c:pt idx="27">
                  <c:v>1.3064697381374286</c:v>
                </c:pt>
                <c:pt idx="28">
                  <c:v>1.3064697381374286</c:v>
                </c:pt>
                <c:pt idx="29">
                  <c:v>1.3064697381374286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'Graphical Summary'!$AB$40</c:f>
              <c:strCache>
                <c:ptCount val="1"/>
                <c:pt idx="0">
                  <c:v>Data </c:v>
                </c:pt>
              </c:strCache>
            </c:strRef>
          </c:tx>
          <c:marker>
            <c:symbol val="circle"/>
            <c:size val="5"/>
          </c:marker>
          <c:dPt>
            <c:idx val="0"/>
            <c:marker>
              <c:spPr>
                <a:solidFill>
                  <a:srgbClr val="0070C0"/>
                </a:solidFill>
                <a:ln>
                  <a:solidFill>
                    <a:srgbClr val="0070C0"/>
                  </a:solidFill>
                </a:ln>
              </c:spPr>
            </c:marker>
            <c:bubble3D val="0"/>
            <c:spPr>
              <a:ln>
                <a:solidFill>
                  <a:srgbClr val="0070C0"/>
                </a:solidFill>
              </a:ln>
            </c:spPr>
          </c:dPt>
          <c:dPt>
            <c:idx val="1"/>
            <c:marker>
              <c:spPr>
                <a:solidFill>
                  <a:srgbClr val="0070C0"/>
                </a:solidFill>
                <a:ln>
                  <a:solidFill>
                    <a:srgbClr val="0070C0"/>
                  </a:solidFill>
                </a:ln>
              </c:spPr>
            </c:marker>
            <c:bubble3D val="0"/>
            <c:spPr>
              <a:ln>
                <a:solidFill>
                  <a:srgbClr val="0070C0"/>
                </a:solidFill>
              </a:ln>
            </c:spPr>
          </c:dPt>
          <c:dPt>
            <c:idx val="2"/>
            <c:marker>
              <c:spPr>
                <a:solidFill>
                  <a:srgbClr val="0070C0"/>
                </a:solidFill>
                <a:ln>
                  <a:solidFill>
                    <a:srgbClr val="0070C0"/>
                  </a:solidFill>
                </a:ln>
              </c:spPr>
            </c:marker>
            <c:bubble3D val="0"/>
            <c:spPr>
              <a:ln>
                <a:solidFill>
                  <a:srgbClr val="0070C0"/>
                </a:solidFill>
              </a:ln>
            </c:spPr>
          </c:dPt>
          <c:dPt>
            <c:idx val="3"/>
            <c:marker>
              <c:spPr>
                <a:solidFill>
                  <a:srgbClr val="0070C0"/>
                </a:solidFill>
                <a:ln>
                  <a:solidFill>
                    <a:srgbClr val="0070C0"/>
                  </a:solidFill>
                </a:ln>
              </c:spPr>
            </c:marker>
            <c:bubble3D val="0"/>
            <c:spPr>
              <a:ln>
                <a:solidFill>
                  <a:srgbClr val="0070C0"/>
                </a:solidFill>
              </a:ln>
            </c:spPr>
          </c:dPt>
          <c:dPt>
            <c:idx val="4"/>
            <c:marker>
              <c:spPr>
                <a:solidFill>
                  <a:srgbClr val="0070C0"/>
                </a:solidFill>
                <a:ln>
                  <a:solidFill>
                    <a:srgbClr val="0070C0"/>
                  </a:solidFill>
                </a:ln>
              </c:spPr>
            </c:marker>
            <c:bubble3D val="0"/>
            <c:spPr>
              <a:ln>
                <a:solidFill>
                  <a:srgbClr val="0070C0"/>
                </a:solidFill>
              </a:ln>
            </c:spPr>
          </c:dPt>
          <c:dPt>
            <c:idx val="5"/>
            <c:marker>
              <c:spPr>
                <a:solidFill>
                  <a:srgbClr val="0070C0"/>
                </a:solidFill>
                <a:ln>
                  <a:solidFill>
                    <a:srgbClr val="0070C0"/>
                  </a:solidFill>
                </a:ln>
              </c:spPr>
            </c:marker>
            <c:bubble3D val="0"/>
            <c:spPr>
              <a:ln>
                <a:solidFill>
                  <a:srgbClr val="0070C0"/>
                </a:solidFill>
              </a:ln>
            </c:spPr>
          </c:dPt>
          <c:dPt>
            <c:idx val="6"/>
            <c:marker>
              <c:spPr>
                <a:solidFill>
                  <a:srgbClr val="0070C0"/>
                </a:solidFill>
                <a:ln>
                  <a:solidFill>
                    <a:srgbClr val="0070C0"/>
                  </a:solidFill>
                </a:ln>
              </c:spPr>
            </c:marker>
            <c:bubble3D val="0"/>
            <c:spPr>
              <a:ln>
                <a:solidFill>
                  <a:srgbClr val="0070C0"/>
                </a:solidFill>
              </a:ln>
            </c:spPr>
          </c:dPt>
          <c:dPt>
            <c:idx val="7"/>
            <c:marker>
              <c:spPr>
                <a:solidFill>
                  <a:srgbClr val="0070C0"/>
                </a:solidFill>
                <a:ln>
                  <a:solidFill>
                    <a:srgbClr val="0070C0"/>
                  </a:solidFill>
                </a:ln>
              </c:spPr>
            </c:marker>
            <c:bubble3D val="0"/>
            <c:spPr>
              <a:ln>
                <a:solidFill>
                  <a:srgbClr val="0070C0"/>
                </a:solidFill>
              </a:ln>
            </c:spPr>
          </c:dPt>
          <c:dPt>
            <c:idx val="8"/>
            <c:marker>
              <c:spPr>
                <a:solidFill>
                  <a:srgbClr val="0070C0"/>
                </a:solidFill>
                <a:ln>
                  <a:solidFill>
                    <a:srgbClr val="0070C0"/>
                  </a:solidFill>
                </a:ln>
              </c:spPr>
            </c:marker>
            <c:bubble3D val="0"/>
            <c:spPr>
              <a:ln>
                <a:solidFill>
                  <a:srgbClr val="0070C0"/>
                </a:solidFill>
              </a:ln>
            </c:spPr>
          </c:dPt>
          <c:dPt>
            <c:idx val="9"/>
            <c:marker>
              <c:spPr>
                <a:solidFill>
                  <a:srgbClr val="0070C0"/>
                </a:solidFill>
                <a:ln>
                  <a:solidFill>
                    <a:srgbClr val="0070C0"/>
                  </a:solidFill>
                </a:ln>
              </c:spPr>
            </c:marker>
            <c:bubble3D val="0"/>
            <c:spPr>
              <a:ln>
                <a:solidFill>
                  <a:srgbClr val="0070C0"/>
                </a:solidFill>
              </a:ln>
            </c:spPr>
          </c:dPt>
          <c:dPt>
            <c:idx val="10"/>
            <c:marker>
              <c:spPr>
                <a:ln>
                  <a:noFill/>
                </a:ln>
              </c:spPr>
            </c:marker>
            <c:bubble3D val="0"/>
            <c:spPr>
              <a:ln>
                <a:noFill/>
              </a:ln>
            </c:spPr>
          </c:dPt>
          <c:dPt>
            <c:idx val="20"/>
            <c:marker>
              <c:spPr>
                <a:solidFill>
                  <a:schemeClr val="accent3"/>
                </a:solidFill>
                <a:ln>
                  <a:noFill/>
                </a:ln>
              </c:spPr>
            </c:marker>
            <c:bubble3D val="0"/>
            <c:spPr>
              <a:ln>
                <a:noFill/>
              </a:ln>
            </c:spPr>
          </c:dPt>
          <c:dPt>
            <c:idx val="21"/>
            <c:marker>
              <c:spPr>
                <a:solidFill>
                  <a:schemeClr val="accent3"/>
                </a:solidFill>
                <a:ln>
                  <a:solidFill>
                    <a:schemeClr val="accent3"/>
                  </a:solidFill>
                </a:ln>
              </c:spPr>
            </c:marker>
            <c:bubble3D val="0"/>
            <c:spPr>
              <a:ln>
                <a:solidFill>
                  <a:schemeClr val="accent3"/>
                </a:solidFill>
              </a:ln>
            </c:spPr>
          </c:dPt>
          <c:dPt>
            <c:idx val="22"/>
            <c:marker>
              <c:spPr>
                <a:solidFill>
                  <a:schemeClr val="accent3"/>
                </a:solidFill>
                <a:ln>
                  <a:solidFill>
                    <a:schemeClr val="accent3"/>
                  </a:solidFill>
                </a:ln>
              </c:spPr>
            </c:marker>
            <c:bubble3D val="0"/>
            <c:spPr>
              <a:ln>
                <a:solidFill>
                  <a:schemeClr val="accent3"/>
                </a:solidFill>
              </a:ln>
            </c:spPr>
          </c:dPt>
          <c:dPt>
            <c:idx val="23"/>
            <c:marker>
              <c:spPr>
                <a:solidFill>
                  <a:schemeClr val="accent3"/>
                </a:solidFill>
                <a:ln>
                  <a:solidFill>
                    <a:schemeClr val="accent3"/>
                  </a:solidFill>
                </a:ln>
              </c:spPr>
            </c:marker>
            <c:bubble3D val="0"/>
            <c:spPr>
              <a:ln>
                <a:solidFill>
                  <a:schemeClr val="accent3"/>
                </a:solidFill>
              </a:ln>
            </c:spPr>
          </c:dPt>
          <c:dPt>
            <c:idx val="24"/>
            <c:marker>
              <c:spPr>
                <a:solidFill>
                  <a:schemeClr val="accent3"/>
                </a:solidFill>
                <a:ln>
                  <a:solidFill>
                    <a:schemeClr val="accent3"/>
                  </a:solidFill>
                </a:ln>
              </c:spPr>
            </c:marker>
            <c:bubble3D val="0"/>
            <c:spPr>
              <a:ln>
                <a:solidFill>
                  <a:schemeClr val="accent3"/>
                </a:solidFill>
              </a:ln>
            </c:spPr>
          </c:dPt>
          <c:dPt>
            <c:idx val="25"/>
            <c:marker>
              <c:spPr>
                <a:solidFill>
                  <a:schemeClr val="accent3"/>
                </a:solidFill>
                <a:ln>
                  <a:solidFill>
                    <a:schemeClr val="accent3"/>
                  </a:solidFill>
                </a:ln>
              </c:spPr>
            </c:marker>
            <c:bubble3D val="0"/>
            <c:spPr>
              <a:ln>
                <a:solidFill>
                  <a:schemeClr val="accent3"/>
                </a:solidFill>
              </a:ln>
            </c:spPr>
          </c:dPt>
          <c:dPt>
            <c:idx val="26"/>
            <c:marker>
              <c:spPr>
                <a:solidFill>
                  <a:schemeClr val="accent3"/>
                </a:solidFill>
                <a:ln>
                  <a:solidFill>
                    <a:schemeClr val="accent3"/>
                  </a:solidFill>
                </a:ln>
              </c:spPr>
            </c:marker>
            <c:bubble3D val="0"/>
            <c:spPr>
              <a:ln>
                <a:solidFill>
                  <a:schemeClr val="accent3"/>
                </a:solidFill>
              </a:ln>
            </c:spPr>
          </c:dPt>
          <c:dPt>
            <c:idx val="27"/>
            <c:marker>
              <c:spPr>
                <a:solidFill>
                  <a:schemeClr val="accent3"/>
                </a:solidFill>
                <a:ln>
                  <a:solidFill>
                    <a:schemeClr val="accent3"/>
                  </a:solidFill>
                </a:ln>
              </c:spPr>
            </c:marker>
            <c:bubble3D val="0"/>
            <c:spPr>
              <a:ln>
                <a:solidFill>
                  <a:schemeClr val="accent3"/>
                </a:solidFill>
              </a:ln>
            </c:spPr>
          </c:dPt>
          <c:dPt>
            <c:idx val="28"/>
            <c:marker>
              <c:spPr>
                <a:solidFill>
                  <a:schemeClr val="accent3"/>
                </a:solidFill>
                <a:ln>
                  <a:solidFill>
                    <a:schemeClr val="accent3"/>
                  </a:solidFill>
                </a:ln>
              </c:spPr>
            </c:marker>
            <c:bubble3D val="0"/>
            <c:spPr>
              <a:ln>
                <a:solidFill>
                  <a:schemeClr val="accent3"/>
                </a:solidFill>
              </a:ln>
            </c:spPr>
          </c:dPt>
          <c:dPt>
            <c:idx val="29"/>
            <c:marker>
              <c:spPr>
                <a:solidFill>
                  <a:schemeClr val="accent3"/>
                </a:solidFill>
                <a:ln>
                  <a:solidFill>
                    <a:schemeClr val="accent3"/>
                  </a:solidFill>
                </a:ln>
              </c:spPr>
            </c:marker>
            <c:bubble3D val="0"/>
            <c:spPr>
              <a:ln>
                <a:solidFill>
                  <a:schemeClr val="accent3"/>
                </a:solidFill>
              </a:ln>
            </c:spPr>
          </c:dPt>
          <c:cat>
            <c:multiLvlStrRef>
              <c:f>'Graphical Summary'!$Z$41:$Z$74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</c:lvl>
                <c:lvl>
                  <c:pt idx="0">
                    <c:v>A</c:v>
                  </c:pt>
                  <c:pt idx="10">
                    <c:v>B</c:v>
                  </c:pt>
                  <c:pt idx="20">
                    <c:v>C</c:v>
                  </c:pt>
                </c:lvl>
              </c:multiLvlStrCache>
            </c:multiLvlStrRef>
          </c:cat>
          <c:val>
            <c:numRef>
              <c:f>'Graphical Summary'!$AB$41:$AB$74</c:f>
              <c:numCache>
                <c:formatCode>General</c:formatCode>
                <c:ptCount val="30"/>
                <c:pt idx="0">
                  <c:v>1.3003333333333333</c:v>
                </c:pt>
                <c:pt idx="1">
                  <c:v>1.3026666666666666</c:v>
                </c:pt>
                <c:pt idx="2">
                  <c:v>1.3056666666666665</c:v>
                </c:pt>
                <c:pt idx="3">
                  <c:v>1.3049999999999999</c:v>
                </c:pt>
                <c:pt idx="4">
                  <c:v>1.3003333333333333</c:v>
                </c:pt>
                <c:pt idx="5">
                  <c:v>1.3</c:v>
                </c:pt>
                <c:pt idx="6">
                  <c:v>1.2990000000000002</c:v>
                </c:pt>
                <c:pt idx="7">
                  <c:v>1.3016666666666665</c:v>
                </c:pt>
                <c:pt idx="8">
                  <c:v>1.306</c:v>
                </c:pt>
                <c:pt idx="9">
                  <c:v>1.3056666666666665</c:v>
                </c:pt>
                <c:pt idx="10">
                  <c:v>1.3003333333333333</c:v>
                </c:pt>
                <c:pt idx="11">
                  <c:v>1.3026666666666666</c:v>
                </c:pt>
                <c:pt idx="12">
                  <c:v>1.3056666666666665</c:v>
                </c:pt>
                <c:pt idx="13">
                  <c:v>1.3049999999999999</c:v>
                </c:pt>
                <c:pt idx="14">
                  <c:v>1.3003333333333333</c:v>
                </c:pt>
                <c:pt idx="15">
                  <c:v>1.3</c:v>
                </c:pt>
                <c:pt idx="16">
                  <c:v>1.2990000000000002</c:v>
                </c:pt>
                <c:pt idx="17">
                  <c:v>1.3016666666666665</c:v>
                </c:pt>
                <c:pt idx="18">
                  <c:v>1.306</c:v>
                </c:pt>
                <c:pt idx="19">
                  <c:v>1.3056666666666665</c:v>
                </c:pt>
                <c:pt idx="20">
                  <c:v>1.3016666666666667</c:v>
                </c:pt>
                <c:pt idx="21">
                  <c:v>1.3029999999999999</c:v>
                </c:pt>
                <c:pt idx="22">
                  <c:v>1.3056666666666665</c:v>
                </c:pt>
                <c:pt idx="23">
                  <c:v>1.3049999999999999</c:v>
                </c:pt>
                <c:pt idx="24">
                  <c:v>1.3023333333333333</c:v>
                </c:pt>
                <c:pt idx="25">
                  <c:v>1.3016666666666667</c:v>
                </c:pt>
                <c:pt idx="26">
                  <c:v>1.3016666666666667</c:v>
                </c:pt>
                <c:pt idx="27">
                  <c:v>1.3009999999999999</c:v>
                </c:pt>
                <c:pt idx="28">
                  <c:v>1.3056666666666665</c:v>
                </c:pt>
                <c:pt idx="29">
                  <c:v>1.3056666666666665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'Graphical Summary'!$AC$40</c:f>
              <c:strCache>
                <c:ptCount val="1"/>
                <c:pt idx="0">
                  <c:v>LCL X 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'Graphical Summary'!$Z$41:$Z$74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</c:lvl>
                <c:lvl>
                  <c:pt idx="0">
                    <c:v>A</c:v>
                  </c:pt>
                  <c:pt idx="10">
                    <c:v>B</c:v>
                  </c:pt>
                  <c:pt idx="20">
                    <c:v>C</c:v>
                  </c:pt>
                </c:lvl>
              </c:multiLvlStrCache>
            </c:multiLvlStrRef>
          </c:cat>
          <c:val>
            <c:numRef>
              <c:f>'Graphical Summary'!$AC$41:$AC$74</c:f>
              <c:numCache>
                <c:formatCode>General</c:formatCode>
                <c:ptCount val="30"/>
                <c:pt idx="0">
                  <c:v>1.2992635951959046</c:v>
                </c:pt>
                <c:pt idx="1">
                  <c:v>1.2992635951959046</c:v>
                </c:pt>
                <c:pt idx="2">
                  <c:v>1.2992635951959046</c:v>
                </c:pt>
                <c:pt idx="3">
                  <c:v>1.2992635951959046</c:v>
                </c:pt>
                <c:pt idx="4">
                  <c:v>1.2992635951959046</c:v>
                </c:pt>
                <c:pt idx="5">
                  <c:v>1.2992635951959046</c:v>
                </c:pt>
                <c:pt idx="6">
                  <c:v>1.2992635951959046</c:v>
                </c:pt>
                <c:pt idx="7">
                  <c:v>1.2992635951959046</c:v>
                </c:pt>
                <c:pt idx="8">
                  <c:v>1.2992635951959046</c:v>
                </c:pt>
                <c:pt idx="9">
                  <c:v>1.2992635951959046</c:v>
                </c:pt>
                <c:pt idx="10">
                  <c:v>1.2992635951959046</c:v>
                </c:pt>
                <c:pt idx="11">
                  <c:v>1.2992635951959046</c:v>
                </c:pt>
                <c:pt idx="12">
                  <c:v>1.2992635951959046</c:v>
                </c:pt>
                <c:pt idx="13">
                  <c:v>1.2992635951959046</c:v>
                </c:pt>
                <c:pt idx="14">
                  <c:v>1.2992635951959046</c:v>
                </c:pt>
                <c:pt idx="15">
                  <c:v>1.2992635951959046</c:v>
                </c:pt>
                <c:pt idx="16">
                  <c:v>1.2992635951959046</c:v>
                </c:pt>
                <c:pt idx="17">
                  <c:v>1.2992635951959046</c:v>
                </c:pt>
                <c:pt idx="18">
                  <c:v>1.2992635951959046</c:v>
                </c:pt>
                <c:pt idx="19">
                  <c:v>1.2992635951959046</c:v>
                </c:pt>
                <c:pt idx="20">
                  <c:v>1.2992635951959046</c:v>
                </c:pt>
                <c:pt idx="21">
                  <c:v>1.2992635951959046</c:v>
                </c:pt>
                <c:pt idx="22">
                  <c:v>1.2992635951959046</c:v>
                </c:pt>
                <c:pt idx="23">
                  <c:v>1.2992635951959046</c:v>
                </c:pt>
                <c:pt idx="24">
                  <c:v>1.2992635951959046</c:v>
                </c:pt>
                <c:pt idx="25">
                  <c:v>1.2992635951959046</c:v>
                </c:pt>
                <c:pt idx="26">
                  <c:v>1.2992635951959046</c:v>
                </c:pt>
                <c:pt idx="27">
                  <c:v>1.2992635951959046</c:v>
                </c:pt>
                <c:pt idx="28">
                  <c:v>1.2992635951959046</c:v>
                </c:pt>
                <c:pt idx="29">
                  <c:v>1.2992635951959046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'Graphical Summary'!$AD$40</c:f>
              <c:strCache>
                <c:ptCount val="1"/>
                <c:pt idx="0">
                  <c:v>Average 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'Graphical Summary'!$Z$41:$Z$74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</c:lvl>
                <c:lvl>
                  <c:pt idx="0">
                    <c:v>A</c:v>
                  </c:pt>
                  <c:pt idx="10">
                    <c:v>B</c:v>
                  </c:pt>
                  <c:pt idx="20">
                    <c:v>C</c:v>
                  </c:pt>
                </c:lvl>
              </c:multiLvlStrCache>
            </c:multiLvlStrRef>
          </c:cat>
          <c:val>
            <c:numRef>
              <c:f>'Graphical Summary'!$AD$41:$AD$74</c:f>
              <c:numCache>
                <c:formatCode>General</c:formatCode>
                <c:ptCount val="30"/>
                <c:pt idx="0">
                  <c:v>1.3028666666666666</c:v>
                </c:pt>
                <c:pt idx="1">
                  <c:v>1.3028666666666666</c:v>
                </c:pt>
                <c:pt idx="2">
                  <c:v>1.3028666666666666</c:v>
                </c:pt>
                <c:pt idx="3">
                  <c:v>1.3028666666666666</c:v>
                </c:pt>
                <c:pt idx="4">
                  <c:v>1.3028666666666666</c:v>
                </c:pt>
                <c:pt idx="5">
                  <c:v>1.3028666666666666</c:v>
                </c:pt>
                <c:pt idx="6">
                  <c:v>1.3028666666666666</c:v>
                </c:pt>
                <c:pt idx="7">
                  <c:v>1.3028666666666666</c:v>
                </c:pt>
                <c:pt idx="8">
                  <c:v>1.3028666666666666</c:v>
                </c:pt>
                <c:pt idx="9">
                  <c:v>1.3028666666666666</c:v>
                </c:pt>
                <c:pt idx="10">
                  <c:v>1.3028666666666666</c:v>
                </c:pt>
                <c:pt idx="11">
                  <c:v>1.3028666666666666</c:v>
                </c:pt>
                <c:pt idx="12">
                  <c:v>1.3028666666666666</c:v>
                </c:pt>
                <c:pt idx="13">
                  <c:v>1.3028666666666666</c:v>
                </c:pt>
                <c:pt idx="14">
                  <c:v>1.3028666666666666</c:v>
                </c:pt>
                <c:pt idx="15">
                  <c:v>1.3028666666666666</c:v>
                </c:pt>
                <c:pt idx="16">
                  <c:v>1.3028666666666666</c:v>
                </c:pt>
                <c:pt idx="17">
                  <c:v>1.3028666666666666</c:v>
                </c:pt>
                <c:pt idx="18">
                  <c:v>1.3028666666666666</c:v>
                </c:pt>
                <c:pt idx="19">
                  <c:v>1.3028666666666666</c:v>
                </c:pt>
                <c:pt idx="20">
                  <c:v>1.3028666666666666</c:v>
                </c:pt>
                <c:pt idx="21">
                  <c:v>1.3028666666666666</c:v>
                </c:pt>
                <c:pt idx="22">
                  <c:v>1.3028666666666666</c:v>
                </c:pt>
                <c:pt idx="23">
                  <c:v>1.3028666666666666</c:v>
                </c:pt>
                <c:pt idx="24">
                  <c:v>1.3028666666666666</c:v>
                </c:pt>
                <c:pt idx="25">
                  <c:v>1.3028666666666666</c:v>
                </c:pt>
                <c:pt idx="26">
                  <c:v>1.3028666666666666</c:v>
                </c:pt>
                <c:pt idx="27">
                  <c:v>1.3028666666666666</c:v>
                </c:pt>
                <c:pt idx="28">
                  <c:v>1.3028666666666666</c:v>
                </c:pt>
                <c:pt idx="29">
                  <c:v>1.3028666666666666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161624"/>
        <c:axId val="170160056"/>
      </c:lineChart>
      <c:catAx>
        <c:axId val="170161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3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0160056"/>
        <c:crosses val="autoZero"/>
        <c:auto val="1"/>
        <c:lblAlgn val="ctr"/>
        <c:lblOffset val="100"/>
        <c:noMultiLvlLbl val="0"/>
      </c:catAx>
      <c:valAx>
        <c:axId val="170160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3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0161624"/>
        <c:crosses val="autoZero"/>
        <c:crossBetween val="between"/>
      </c:val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1"/>
        <c:delete val="1"/>
      </c:legendEntry>
      <c:layout/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FFCC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[Gage R&amp;R Template (Crossed) (ANOVA+Xbar-R).xlsx]Graphical Summary!PivotTable3</c:name>
    <c:fmtId val="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8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8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Operator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noFill/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noFill/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noFill/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noFill/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noFill/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noFill/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noFill/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noFill/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noFill/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noFill/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noFill/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noFill/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noFill/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noFill/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noFill/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noFill/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noFill/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noFill/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noFill/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noFill/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noFill/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noFill/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noFill/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</a:schemeClr>
            </a:solidFill>
            <a:ln w="9525">
              <a:noFill/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  <a:lumOff val="40000"/>
              </a:schemeClr>
            </a:solidFill>
            <a:ln w="9525">
              <a:noFill/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  <a:lumOff val="40000"/>
              </a:schemeClr>
            </a:solidFill>
            <a:ln w="9525">
              <a:noFill/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  <a:lumOff val="40000"/>
              </a:schemeClr>
            </a:solidFill>
            <a:ln w="9525">
              <a:noFill/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noFill/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  <a:lumOff val="40000"/>
              </a:schemeClr>
            </a:solidFill>
            <a:ln w="9525">
              <a:noFill/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  <a:lumOff val="40000"/>
              </a:schemeClr>
            </a:solidFill>
            <a:ln w="9525">
              <a:noFill/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50000"/>
              </a:schemeClr>
            </a:solidFill>
            <a:ln w="9525">
              <a:solidFill>
                <a:schemeClr val="accent1">
                  <a:lumMod val="5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noFill/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noFill/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noFill/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noFill/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noFill/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noFill/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noFill/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noFill/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noFill/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noFill/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noFill/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noFill/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noFill/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noFill/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noFill/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noFill/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noFill/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noFill/>
            </a:ln>
            <a:effectLst/>
          </c:spPr>
        </c:marker>
      </c:pivotFmt>
      <c:pivotFmt>
        <c:idx val="49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noFill/>
            </a:ln>
            <a:effectLst/>
          </c:spPr>
        </c:marker>
      </c:pivotFmt>
      <c:pivotFmt>
        <c:idx val="50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noFill/>
            </a:ln>
            <a:effectLst/>
          </c:spPr>
        </c:marker>
      </c:pivotFmt>
      <c:pivotFmt>
        <c:idx val="51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noFill/>
            </a:ln>
            <a:effectLst/>
          </c:spPr>
        </c:marker>
      </c:pivotFmt>
      <c:pivotFmt>
        <c:idx val="52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noFill/>
            </a:ln>
            <a:effectLst/>
          </c:spPr>
        </c:marker>
      </c:pivotFmt>
      <c:pivotFmt>
        <c:idx val="53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noFill/>
            </a:ln>
            <a:effectLst/>
          </c:spPr>
        </c:marker>
      </c:pivotFmt>
      <c:pivotFmt>
        <c:idx val="54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</a:schemeClr>
            </a:solidFill>
            <a:ln w="9525">
              <a:noFill/>
            </a:ln>
            <a:effectLst/>
          </c:spPr>
        </c:marker>
      </c:pivotFmt>
      <c:pivotFmt>
        <c:idx val="55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  <a:lumOff val="40000"/>
              </a:schemeClr>
            </a:solidFill>
            <a:ln w="9525">
              <a:noFill/>
            </a:ln>
            <a:effectLst/>
          </c:spPr>
        </c:marker>
      </c:pivotFmt>
      <c:pivotFmt>
        <c:idx val="56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  <a:lumOff val="40000"/>
              </a:schemeClr>
            </a:solidFill>
            <a:ln w="9525">
              <a:noFill/>
            </a:ln>
            <a:effectLst/>
          </c:spPr>
        </c:marker>
      </c:pivotFmt>
      <c:pivotFmt>
        <c:idx val="57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  <a:lumOff val="40000"/>
              </a:schemeClr>
            </a:solidFill>
            <a:ln w="9525">
              <a:noFill/>
            </a:ln>
            <a:effectLst/>
          </c:spPr>
        </c:marker>
      </c:pivotFmt>
      <c:pivotFmt>
        <c:idx val="58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noFill/>
            </a:ln>
            <a:effectLst/>
          </c:spPr>
        </c:marker>
      </c:pivotFmt>
      <c:pivotFmt>
        <c:idx val="59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  <a:lumOff val="40000"/>
              </a:schemeClr>
            </a:solidFill>
            <a:ln w="9525">
              <a:noFill/>
            </a:ln>
            <a:effectLst/>
          </c:spPr>
        </c:marker>
      </c:pivotFmt>
      <c:pivotFmt>
        <c:idx val="60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  <a:lumOff val="40000"/>
              </a:schemeClr>
            </a:solidFill>
            <a:ln w="9525">
              <a:noFill/>
            </a:ln>
            <a:effectLst/>
          </c:spPr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50000"/>
              </a:schemeClr>
            </a:solidFill>
            <a:ln w="9525">
              <a:solidFill>
                <a:schemeClr val="accent1">
                  <a:lumMod val="50000"/>
                </a:schemeClr>
              </a:solidFill>
            </a:ln>
            <a:effectLst/>
          </c:spPr>
        </c:marker>
      </c:pivotFmt>
      <c:pivotFmt>
        <c:idx val="62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noFill/>
            </a:ln>
            <a:effectLst/>
          </c:spPr>
        </c:marker>
      </c:pivotFmt>
      <c:pivotFmt>
        <c:idx val="63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noFill/>
            </a:ln>
            <a:effectLst/>
          </c:spPr>
        </c:marker>
      </c:pivotFmt>
      <c:pivotFmt>
        <c:idx val="64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noFill/>
            </a:ln>
            <a:effectLst/>
          </c:spPr>
        </c:marker>
      </c:pivotFmt>
      <c:pivotFmt>
        <c:idx val="65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noFill/>
            </a:ln>
            <a:effectLst/>
          </c:spPr>
        </c:marker>
      </c:pivotFmt>
      <c:pivotFmt>
        <c:idx val="66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noFill/>
            </a:ln>
            <a:effectLst/>
          </c:spPr>
        </c:marker>
      </c:pivotFmt>
      <c:pivotFmt>
        <c:idx val="67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noFill/>
            </a:ln>
            <a:effectLst/>
          </c:spPr>
        </c:marker>
      </c:pivotFmt>
      <c:pivotFmt>
        <c:idx val="68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noFill/>
            </a:ln>
            <a:effectLst/>
          </c:spPr>
        </c:marker>
      </c:pivotFmt>
      <c:pivotFmt>
        <c:idx val="69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noFill/>
            </a:ln>
            <a:effectLst/>
          </c:spPr>
        </c:marker>
      </c:pivotFmt>
      <c:pivotFmt>
        <c:idx val="70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noFill/>
            </a:ln>
            <a:effectLst/>
          </c:spPr>
        </c:marker>
      </c:pivotFmt>
      <c:pivotFmt>
        <c:idx val="71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noFill/>
            </a:ln>
            <a:effectLst/>
          </c:spPr>
        </c:marker>
      </c:pivotFmt>
      <c:pivotFmt>
        <c:idx val="72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noFill/>
            </a:ln>
            <a:effectLst/>
          </c:spPr>
        </c:marker>
      </c:pivotFmt>
      <c:pivotFmt>
        <c:idx val="73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noFill/>
            </a:ln>
            <a:effectLst/>
          </c:spPr>
        </c:marker>
      </c:pivotFmt>
      <c:pivotFmt>
        <c:idx val="74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noFill/>
            </a:ln>
            <a:effectLst/>
          </c:spPr>
        </c:marker>
      </c:pivotFmt>
      <c:pivotFmt>
        <c:idx val="75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noFill/>
            </a:ln>
            <a:effectLst/>
          </c:spPr>
        </c:marker>
      </c:pivotFmt>
      <c:pivotFmt>
        <c:idx val="76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noFill/>
            </a:ln>
            <a:effectLst/>
          </c:spPr>
        </c:marker>
      </c:pivotFmt>
      <c:pivotFmt>
        <c:idx val="77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noFill/>
            </a:ln>
            <a:effectLst/>
          </c:spPr>
        </c:marker>
      </c:pivotFmt>
      <c:pivotFmt>
        <c:idx val="78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noFill/>
            </a:ln>
            <a:effectLst/>
          </c:spPr>
        </c:marker>
      </c:pivotFmt>
      <c:pivotFmt>
        <c:idx val="79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noFill/>
            </a:ln>
            <a:effectLst/>
          </c:spPr>
        </c:marker>
      </c:pivotFmt>
      <c:pivotFmt>
        <c:idx val="80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noFill/>
            </a:ln>
            <a:effectLst/>
          </c:spPr>
        </c:marker>
      </c:pivotFmt>
      <c:pivotFmt>
        <c:idx val="81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noFill/>
            </a:ln>
            <a:effectLst/>
          </c:spPr>
        </c:marker>
      </c:pivotFmt>
      <c:pivotFmt>
        <c:idx val="82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noFill/>
            </a:ln>
            <a:effectLst/>
          </c:spPr>
        </c:marker>
      </c:pivotFmt>
      <c:pivotFmt>
        <c:idx val="83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noFill/>
            </a:ln>
            <a:effectLst/>
          </c:spPr>
        </c:marker>
      </c:pivotFmt>
      <c:pivotFmt>
        <c:idx val="84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noFill/>
            </a:ln>
            <a:effectLst/>
          </c:spPr>
        </c:marker>
      </c:pivotFmt>
      <c:pivotFmt>
        <c:idx val="85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</a:schemeClr>
            </a:solidFill>
            <a:ln w="9525">
              <a:noFill/>
            </a:ln>
            <a:effectLst/>
          </c:spPr>
        </c:marker>
      </c:pivotFmt>
      <c:pivotFmt>
        <c:idx val="86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  <a:lumOff val="40000"/>
              </a:schemeClr>
            </a:solidFill>
            <a:ln w="9525">
              <a:noFill/>
            </a:ln>
            <a:effectLst/>
          </c:spPr>
        </c:marker>
      </c:pivotFmt>
      <c:pivotFmt>
        <c:idx val="87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  <a:lumOff val="40000"/>
              </a:schemeClr>
            </a:solidFill>
            <a:ln w="9525">
              <a:noFill/>
            </a:ln>
            <a:effectLst/>
          </c:spPr>
        </c:marker>
      </c:pivotFmt>
      <c:pivotFmt>
        <c:idx val="88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  <a:lumOff val="40000"/>
              </a:schemeClr>
            </a:solidFill>
            <a:ln w="9525">
              <a:noFill/>
            </a:ln>
            <a:effectLst/>
          </c:spPr>
        </c:marker>
      </c:pivotFmt>
      <c:pivotFmt>
        <c:idx val="89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noFill/>
            </a:ln>
            <a:effectLst/>
          </c:spPr>
        </c:marker>
      </c:pivotFmt>
      <c:pivotFmt>
        <c:idx val="90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  <a:lumOff val="40000"/>
              </a:schemeClr>
            </a:solidFill>
            <a:ln w="9525">
              <a:noFill/>
            </a:ln>
            <a:effectLst/>
          </c:spPr>
        </c:marker>
      </c:pivotFmt>
      <c:pivotFmt>
        <c:idx val="91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  <a:lumOff val="40000"/>
              </a:schemeClr>
            </a:solidFill>
            <a:ln w="9525">
              <a:noFill/>
            </a:ln>
            <a:effectLst/>
          </c:spPr>
        </c:marker>
      </c:pivotFmt>
      <c:pivotFmt>
        <c:idx val="92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50000"/>
              </a:schemeClr>
            </a:solidFill>
            <a:ln w="9525">
              <a:solidFill>
                <a:schemeClr val="accent1">
                  <a:lumMod val="5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'Graphical Summary'!$AH$20</c:f>
              <c:strCache>
                <c:ptCount val="1"/>
                <c:pt idx="0">
                  <c:v>Sum of 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strRef>
              <c:f>'Graphical Summary'!$AG$21:$AG$24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'Graphical Summary'!$AH$21:$AH$24</c:f>
              <c:numCache>
                <c:formatCode>General</c:formatCode>
                <c:ptCount val="3"/>
                <c:pt idx="0">
                  <c:v>1.2969999999999999</c:v>
                </c:pt>
                <c:pt idx="1">
                  <c:v>1.2969999999999999</c:v>
                </c:pt>
                <c:pt idx="2">
                  <c:v>1.2989999999999999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'Graphical Summary'!$AI$20</c:f>
              <c:strCache>
                <c:ptCount val="1"/>
                <c:pt idx="0">
                  <c:v>Sum of 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cat>
            <c:strRef>
              <c:f>'Graphical Summary'!$AG$21:$AG$24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'Graphical Summary'!$AI$21:$AI$24</c:f>
              <c:numCache>
                <c:formatCode>General</c:formatCode>
                <c:ptCount val="3"/>
                <c:pt idx="0">
                  <c:v>1.2989999999999999</c:v>
                </c:pt>
                <c:pt idx="1">
                  <c:v>1.2989999999999999</c:v>
                </c:pt>
                <c:pt idx="2">
                  <c:v>1.2989999999999999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'Graphical Summary'!$AJ$20</c:f>
              <c:strCache>
                <c:ptCount val="1"/>
                <c:pt idx="0">
                  <c:v>Sum of 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strRef>
              <c:f>'Graphical Summary'!$AG$21:$AG$24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'Graphical Summary'!$AJ$21:$AJ$24</c:f>
              <c:numCache>
                <c:formatCode>General</c:formatCode>
                <c:ptCount val="3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'Graphical Summary'!$AK$20</c:f>
              <c:strCache>
                <c:ptCount val="1"/>
                <c:pt idx="0">
                  <c:v>Sum of 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cat>
            <c:strRef>
              <c:f>'Graphical Summary'!$AG$21:$AG$24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'Graphical Summary'!$AK$21:$AK$24</c:f>
              <c:numCache>
                <c:formatCode>General</c:formatCode>
                <c:ptCount val="3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'Graphical Summary'!$AL$20</c:f>
              <c:strCache>
                <c:ptCount val="1"/>
                <c:pt idx="0">
                  <c:v>Sum of 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strRef>
              <c:f>'Graphical Summary'!$AG$21:$AG$24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'Graphical Summary'!$AL$21:$AL$24</c:f>
              <c:numCache>
                <c:formatCode>General</c:formatCode>
                <c:ptCount val="3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'Graphical Summary'!$AM$20</c:f>
              <c:strCache>
                <c:ptCount val="1"/>
                <c:pt idx="0">
                  <c:v>Sum of 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cat>
            <c:strRef>
              <c:f>'Graphical Summary'!$AG$21:$AG$24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'Graphical Summary'!$AM$21:$AM$24</c:f>
              <c:numCache>
                <c:formatCode>General</c:formatCode>
                <c:ptCount val="3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'Graphical Summary'!$AN$20</c:f>
              <c:strCache>
                <c:ptCount val="1"/>
                <c:pt idx="0">
                  <c:v>Sum of 7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'Graphical Summary'!$AG$21:$AG$24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'Graphical Summary'!$AN$21:$AN$24</c:f>
              <c:numCache>
                <c:formatCode>General</c:formatCode>
                <c:ptCount val="3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'Graphical Summary'!$AO$20</c:f>
              <c:strCache>
                <c:ptCount val="1"/>
                <c:pt idx="0">
                  <c:v>Sum of 8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'Graphical Summary'!$AG$21:$AG$24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'Graphical Summary'!$AO$21:$AO$24</c:f>
              <c:numCache>
                <c:formatCode>General</c:formatCode>
                <c:ptCount val="3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'Graphical Summary'!$AP$20</c:f>
              <c:strCache>
                <c:ptCount val="1"/>
                <c:pt idx="0">
                  <c:v>Sum of 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'Graphical Summary'!$AG$21:$AG$24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'Graphical Summary'!$AP$21:$AP$24</c:f>
              <c:numCache>
                <c:formatCode>General</c:formatCode>
                <c:ptCount val="3"/>
                <c:pt idx="0">
                  <c:v>1.3</c:v>
                </c:pt>
                <c:pt idx="1">
                  <c:v>1.3</c:v>
                </c:pt>
                <c:pt idx="2">
                  <c:v>1.3009999999999999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'Graphical Summary'!$AQ$20</c:f>
              <c:strCache>
                <c:ptCount val="1"/>
                <c:pt idx="0">
                  <c:v>Sum of 10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'Graphical Summary'!$AG$21:$AG$24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'Graphical Summary'!$AQ$21:$AQ$24</c:f>
              <c:numCache>
                <c:formatCode>General</c:formatCode>
                <c:ptCount val="3"/>
                <c:pt idx="0">
                  <c:v>1.3</c:v>
                </c:pt>
                <c:pt idx="1">
                  <c:v>1.3</c:v>
                </c:pt>
                <c:pt idx="2">
                  <c:v>1.3009999999999999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'Graphical Summary'!$AR$20</c:f>
              <c:strCache>
                <c:ptCount val="1"/>
                <c:pt idx="0">
                  <c:v>Sum of 11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'Graphical Summary'!$AG$21:$AG$24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'Graphical Summary'!$AR$21:$AR$24</c:f>
              <c:numCache>
                <c:formatCode>General</c:formatCode>
                <c:ptCount val="3"/>
                <c:pt idx="0">
                  <c:v>1.3</c:v>
                </c:pt>
                <c:pt idx="1">
                  <c:v>1.3</c:v>
                </c:pt>
                <c:pt idx="2">
                  <c:v>1.302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'Graphical Summary'!$AS$20</c:f>
              <c:strCache>
                <c:ptCount val="1"/>
                <c:pt idx="0">
                  <c:v>Sum of 12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'Graphical Summary'!$AG$21:$AG$24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'Graphical Summary'!$AS$21:$AS$24</c:f>
              <c:numCache>
                <c:formatCode>General</c:formatCode>
                <c:ptCount val="3"/>
                <c:pt idx="0">
                  <c:v>1.3</c:v>
                </c:pt>
                <c:pt idx="1">
                  <c:v>1.3</c:v>
                </c:pt>
                <c:pt idx="2">
                  <c:v>1.302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'Graphical Summary'!$AT$20</c:f>
              <c:strCache>
                <c:ptCount val="1"/>
                <c:pt idx="0">
                  <c:v>Sum of 13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'Graphical Summary'!$AG$21:$AG$24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'Graphical Summary'!$AT$21:$AT$24</c:f>
              <c:numCache>
                <c:formatCode>General</c:formatCode>
                <c:ptCount val="3"/>
                <c:pt idx="0">
                  <c:v>1.3009999999999999</c:v>
                </c:pt>
                <c:pt idx="1">
                  <c:v>1.3009999999999999</c:v>
                </c:pt>
                <c:pt idx="2">
                  <c:v>1.3049999999999999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'Graphical Summary'!$AU$20</c:f>
              <c:strCache>
                <c:ptCount val="1"/>
                <c:pt idx="0">
                  <c:v>Sum of 14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'Graphical Summary'!$AG$21:$AG$24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'Graphical Summary'!$AU$21:$AU$24</c:f>
              <c:numCache>
                <c:formatCode>General</c:formatCode>
                <c:ptCount val="3"/>
                <c:pt idx="0">
                  <c:v>1.3009999999999999</c:v>
                </c:pt>
                <c:pt idx="1">
                  <c:v>1.3009999999999999</c:v>
                </c:pt>
                <c:pt idx="2">
                  <c:v>1.3049999999999999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'Graphical Summary'!$AV$20</c:f>
              <c:strCache>
                <c:ptCount val="1"/>
                <c:pt idx="0">
                  <c:v>Sum of 15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'Graphical Summary'!$AG$21:$AG$24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'Graphical Summary'!$AV$21:$AV$24</c:f>
              <c:numCache>
                <c:formatCode>General</c:formatCode>
                <c:ptCount val="3"/>
                <c:pt idx="0">
                  <c:v>1.302</c:v>
                </c:pt>
                <c:pt idx="1">
                  <c:v>1.302</c:v>
                </c:pt>
                <c:pt idx="2">
                  <c:v>1.3049999999999999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'Graphical Summary'!$AW$20</c:f>
              <c:strCache>
                <c:ptCount val="1"/>
                <c:pt idx="0">
                  <c:v>Sum of 16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'Graphical Summary'!$AG$21:$AG$24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'Graphical Summary'!$AW$21:$AW$24</c:f>
              <c:numCache>
                <c:formatCode>General</c:formatCode>
                <c:ptCount val="3"/>
                <c:pt idx="0">
                  <c:v>1.3029999999999999</c:v>
                </c:pt>
                <c:pt idx="1">
                  <c:v>1.3029999999999999</c:v>
                </c:pt>
                <c:pt idx="2">
                  <c:v>1.3049999999999999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'Graphical Summary'!$AX$20</c:f>
              <c:strCache>
                <c:ptCount val="1"/>
                <c:pt idx="0">
                  <c:v>Sum of 17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'Graphical Summary'!$AG$21:$AG$24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'Graphical Summary'!$AX$21:$AX$24</c:f>
              <c:numCache>
                <c:formatCode>General</c:formatCode>
                <c:ptCount val="3"/>
                <c:pt idx="0">
                  <c:v>1.3029999999999999</c:v>
                </c:pt>
                <c:pt idx="1">
                  <c:v>1.3029999999999999</c:v>
                </c:pt>
                <c:pt idx="2">
                  <c:v>1.3049999999999999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'Graphical Summary'!$AY$20</c:f>
              <c:strCache>
                <c:ptCount val="1"/>
                <c:pt idx="0">
                  <c:v>Sum of 18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'Graphical Summary'!$AG$21:$AG$24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'Graphical Summary'!$AY$21:$AY$24</c:f>
              <c:numCache>
                <c:formatCode>General</c:formatCode>
                <c:ptCount val="3"/>
                <c:pt idx="0">
                  <c:v>1.3049999999999999</c:v>
                </c:pt>
                <c:pt idx="1">
                  <c:v>1.3049999999999999</c:v>
                </c:pt>
                <c:pt idx="2">
                  <c:v>1.3049999999999999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'Graphical Summary'!$AZ$20</c:f>
              <c:strCache>
                <c:ptCount val="1"/>
                <c:pt idx="0">
                  <c:v>Sum of 19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'Graphical Summary'!$AG$21:$AG$24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'Graphical Summary'!$AZ$21:$AZ$24</c:f>
              <c:numCache>
                <c:formatCode>General</c:formatCode>
                <c:ptCount val="3"/>
                <c:pt idx="0">
                  <c:v>1.3049999999999999</c:v>
                </c:pt>
                <c:pt idx="1">
                  <c:v>1.3049999999999999</c:v>
                </c:pt>
                <c:pt idx="2">
                  <c:v>1.3049999999999999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'Graphical Summary'!$BA$20</c:f>
              <c:strCache>
                <c:ptCount val="1"/>
                <c:pt idx="0">
                  <c:v>Sum of 20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'Graphical Summary'!$AG$21:$AG$24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'Graphical Summary'!$BA$21:$BA$24</c:f>
              <c:numCache>
                <c:formatCode>General</c:formatCode>
                <c:ptCount val="3"/>
                <c:pt idx="0">
                  <c:v>1.3049999999999999</c:v>
                </c:pt>
                <c:pt idx="1">
                  <c:v>1.3049999999999999</c:v>
                </c:pt>
                <c:pt idx="2">
                  <c:v>1.3049999999999999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'Graphical Summary'!$BB$20</c:f>
              <c:strCache>
                <c:ptCount val="1"/>
                <c:pt idx="0">
                  <c:v>Sum of 21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'Graphical Summary'!$AG$21:$AG$24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'Graphical Summary'!$BB$21:$BB$24</c:f>
              <c:numCache>
                <c:formatCode>General</c:formatCode>
                <c:ptCount val="3"/>
                <c:pt idx="0">
                  <c:v>1.3049999999999999</c:v>
                </c:pt>
                <c:pt idx="1">
                  <c:v>1.3049999999999999</c:v>
                </c:pt>
                <c:pt idx="2">
                  <c:v>1.3049999999999999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'Graphical Summary'!$BC$20</c:f>
              <c:strCache>
                <c:ptCount val="1"/>
                <c:pt idx="0">
                  <c:v>Sum of 22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'Graphical Summary'!$AG$21:$AG$24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'Graphical Summary'!$BC$21:$BC$24</c:f>
              <c:numCache>
                <c:formatCode>General</c:formatCode>
                <c:ptCount val="3"/>
                <c:pt idx="0">
                  <c:v>1.3049999999999999</c:v>
                </c:pt>
                <c:pt idx="1">
                  <c:v>1.3049999999999999</c:v>
                </c:pt>
                <c:pt idx="2">
                  <c:v>1.3049999999999999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'Graphical Summary'!$BD$20</c:f>
              <c:strCache>
                <c:ptCount val="1"/>
                <c:pt idx="0">
                  <c:v>Sum of 23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'Graphical Summary'!$AG$21:$AG$24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'Graphical Summary'!$BD$21:$BD$24</c:f>
              <c:numCache>
                <c:formatCode>General</c:formatCode>
                <c:ptCount val="3"/>
                <c:pt idx="0">
                  <c:v>1.306</c:v>
                </c:pt>
                <c:pt idx="1">
                  <c:v>1.306</c:v>
                </c:pt>
                <c:pt idx="2">
                  <c:v>1.3049999999999999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'Graphical Summary'!$BE$20</c:f>
              <c:strCache>
                <c:ptCount val="1"/>
                <c:pt idx="0">
                  <c:v>Sum of 24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'Graphical Summary'!$AG$21:$AG$24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'Graphical Summary'!$BE$21:$BE$24</c:f>
              <c:numCache>
                <c:formatCode>General</c:formatCode>
                <c:ptCount val="3"/>
                <c:pt idx="0">
                  <c:v>1.306</c:v>
                </c:pt>
                <c:pt idx="1">
                  <c:v>1.306</c:v>
                </c:pt>
                <c:pt idx="2">
                  <c:v>1.3049999999999999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'Graphical Summary'!$BF$20</c:f>
              <c:strCache>
                <c:ptCount val="1"/>
                <c:pt idx="0">
                  <c:v>Sum of 25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'Graphical Summary'!$AG$21:$AG$24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'Graphical Summary'!$BF$21:$BF$24</c:f>
              <c:numCache>
                <c:formatCode>General</c:formatCode>
                <c:ptCount val="3"/>
                <c:pt idx="0">
                  <c:v>1.306</c:v>
                </c:pt>
                <c:pt idx="1">
                  <c:v>1.306</c:v>
                </c:pt>
                <c:pt idx="2">
                  <c:v>1.306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'Graphical Summary'!$BG$20</c:f>
              <c:strCache>
                <c:ptCount val="1"/>
                <c:pt idx="0">
                  <c:v>Sum of 26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'Graphical Summary'!$AG$21:$AG$24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'Graphical Summary'!$BG$21:$BG$24</c:f>
              <c:numCache>
                <c:formatCode>General</c:formatCode>
                <c:ptCount val="3"/>
                <c:pt idx="0">
                  <c:v>1.306</c:v>
                </c:pt>
                <c:pt idx="1">
                  <c:v>1.306</c:v>
                </c:pt>
                <c:pt idx="2">
                  <c:v>1.306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'Graphical Summary'!$BH$20</c:f>
              <c:strCache>
                <c:ptCount val="1"/>
                <c:pt idx="0">
                  <c:v>Sum of 27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'Graphical Summary'!$AG$21:$AG$24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'Graphical Summary'!$BH$21:$BH$24</c:f>
              <c:numCache>
                <c:formatCode>General</c:formatCode>
                <c:ptCount val="3"/>
                <c:pt idx="0">
                  <c:v>1.306</c:v>
                </c:pt>
                <c:pt idx="1">
                  <c:v>1.306</c:v>
                </c:pt>
                <c:pt idx="2">
                  <c:v>1.306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'Graphical Summary'!$BI$20</c:f>
              <c:strCache>
                <c:ptCount val="1"/>
                <c:pt idx="0">
                  <c:v>Sum of 28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'Graphical Summary'!$AG$21:$AG$24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'Graphical Summary'!$BI$21:$BI$24</c:f>
              <c:numCache>
                <c:formatCode>General</c:formatCode>
                <c:ptCount val="3"/>
                <c:pt idx="0">
                  <c:v>1.306</c:v>
                </c:pt>
                <c:pt idx="1">
                  <c:v>1.306</c:v>
                </c:pt>
                <c:pt idx="2">
                  <c:v>1.306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'Graphical Summary'!$BJ$20</c:f>
              <c:strCache>
                <c:ptCount val="1"/>
                <c:pt idx="0">
                  <c:v>Sum of 29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'Graphical Summary'!$AG$21:$AG$24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'Graphical Summary'!$BJ$21:$BJ$24</c:f>
              <c:numCache>
                <c:formatCode>General</c:formatCode>
                <c:ptCount val="3"/>
                <c:pt idx="0">
                  <c:v>1.306</c:v>
                </c:pt>
                <c:pt idx="1">
                  <c:v>1.306</c:v>
                </c:pt>
                <c:pt idx="2">
                  <c:v>1.306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'Graphical Summary'!$BK$20</c:f>
              <c:strCache>
                <c:ptCount val="1"/>
                <c:pt idx="0">
                  <c:v>Sum of 30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'Graphical Summary'!$AG$21:$AG$24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'Graphical Summary'!$BK$21:$BK$24</c:f>
              <c:numCache>
                <c:formatCode>General</c:formatCode>
                <c:ptCount val="3"/>
                <c:pt idx="0">
                  <c:v>1.306</c:v>
                </c:pt>
                <c:pt idx="1">
                  <c:v>1.306</c:v>
                </c:pt>
                <c:pt idx="2">
                  <c:v>1.306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'Graphical Summary'!$BL$20</c:f>
              <c:strCache>
                <c:ptCount val="1"/>
                <c:pt idx="0">
                  <c:v>Sum of X Bar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'Graphical Summary'!$AG$21:$AG$24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'Graphical Summary'!$BL$21:$BL$24</c:f>
              <c:numCache>
                <c:formatCode>General</c:formatCode>
                <c:ptCount val="3"/>
                <c:pt idx="0">
                  <c:v>1.3026333333333333</c:v>
                </c:pt>
                <c:pt idx="1">
                  <c:v>1.3026333333333333</c:v>
                </c:pt>
                <c:pt idx="2">
                  <c:v>1.3033333333333332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158880"/>
        <c:axId val="274697688"/>
      </c:lineChart>
      <c:catAx>
        <c:axId val="17015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3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4697688"/>
        <c:crosses val="autoZero"/>
        <c:auto val="1"/>
        <c:lblAlgn val="ctr"/>
        <c:lblOffset val="100"/>
        <c:noMultiLvlLbl val="0"/>
      </c:catAx>
      <c:valAx>
        <c:axId val="274697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3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0158880"/>
        <c:crosses val="autoZero"/>
        <c:crossBetween val="between"/>
      </c:val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rgbClr val="CCFFCC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</xdr:row>
      <xdr:rowOff>0</xdr:rowOff>
    </xdr:from>
    <xdr:to>
      <xdr:col>7</xdr:col>
      <xdr:colOff>0</xdr:colOff>
      <xdr:row>2</xdr:row>
      <xdr:rowOff>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3345180" y="518160"/>
          <a:ext cx="906780" cy="19812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27432" rIns="36576" bIns="27432" anchor="ctr" upright="1"/>
        <a:lstStyle/>
        <a:p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Gage Name: </a:t>
          </a:r>
        </a:p>
      </xdr:txBody>
    </xdr:sp>
    <xdr:clientData/>
  </xdr:twoCellAnchor>
  <xdr:twoCellAnchor>
    <xdr:from>
      <xdr:col>5</xdr:col>
      <xdr:colOff>342900</xdr:colOff>
      <xdr:row>2</xdr:row>
      <xdr:rowOff>0</xdr:rowOff>
    </xdr:from>
    <xdr:to>
      <xdr:col>7</xdr:col>
      <xdr:colOff>0</xdr:colOff>
      <xdr:row>3</xdr:row>
      <xdr:rowOff>0</xdr:rowOff>
    </xdr:to>
    <xdr:sp macro="" textlink="">
      <xdr:nvSpPr>
        <xdr:cNvPr id="3" name="Text Box 4"/>
        <xdr:cNvSpPr txBox="1">
          <a:spLocks noChangeArrowheads="1"/>
        </xdr:cNvSpPr>
      </xdr:nvSpPr>
      <xdr:spPr bwMode="auto">
        <a:xfrm>
          <a:off x="3345180" y="716280"/>
          <a:ext cx="906780" cy="19812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27432" rIns="36576" bIns="27432" anchor="ctr" upright="1"/>
        <a:lstStyle/>
        <a:p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Gage Number:</a:t>
          </a:r>
        </a:p>
      </xdr:txBody>
    </xdr:sp>
    <xdr:clientData/>
  </xdr:twoCellAnchor>
  <xdr:twoCellAnchor>
    <xdr:from>
      <xdr:col>5</xdr:col>
      <xdr:colOff>342900</xdr:colOff>
      <xdr:row>3</xdr:row>
      <xdr:rowOff>0</xdr:rowOff>
    </xdr:from>
    <xdr:to>
      <xdr:col>7</xdr:col>
      <xdr:colOff>0</xdr:colOff>
      <xdr:row>4</xdr:row>
      <xdr:rowOff>0</xdr:rowOff>
    </xdr:to>
    <xdr:sp macro="" textlink="">
      <xdr:nvSpPr>
        <xdr:cNvPr id="4" name="Text Box 5"/>
        <xdr:cNvSpPr txBox="1">
          <a:spLocks noChangeArrowheads="1"/>
        </xdr:cNvSpPr>
      </xdr:nvSpPr>
      <xdr:spPr bwMode="auto">
        <a:xfrm>
          <a:off x="3345180" y="914400"/>
          <a:ext cx="906780" cy="19812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27432" rIns="36576" bIns="27432" anchor="ctr" upright="1"/>
        <a:lstStyle/>
        <a:p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Gage Type: </a:t>
          </a:r>
        </a:p>
      </xdr:txBody>
    </xdr:sp>
    <xdr:clientData/>
  </xdr:twoCellAnchor>
  <xdr:twoCellAnchor>
    <xdr:from>
      <xdr:col>10</xdr:col>
      <xdr:colOff>342900</xdr:colOff>
      <xdr:row>1</xdr:row>
      <xdr:rowOff>0</xdr:rowOff>
    </xdr:from>
    <xdr:to>
      <xdr:col>12</xdr:col>
      <xdr:colOff>0</xdr:colOff>
      <xdr:row>2</xdr:row>
      <xdr:rowOff>0</xdr:rowOff>
    </xdr:to>
    <xdr:sp macro="" textlink="">
      <xdr:nvSpPr>
        <xdr:cNvPr id="5" name="Text Box 6"/>
        <xdr:cNvSpPr txBox="1">
          <a:spLocks noChangeArrowheads="1"/>
        </xdr:cNvSpPr>
      </xdr:nvSpPr>
      <xdr:spPr bwMode="auto">
        <a:xfrm>
          <a:off x="6469380" y="518160"/>
          <a:ext cx="906780" cy="19812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27432" rIns="36576" bIns="27432" anchor="ctr" upright="1"/>
        <a:lstStyle/>
        <a:p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Date: </a:t>
          </a:r>
        </a:p>
      </xdr:txBody>
    </xdr:sp>
    <xdr:clientData/>
  </xdr:twoCellAnchor>
  <xdr:twoCellAnchor>
    <xdr:from>
      <xdr:col>10</xdr:col>
      <xdr:colOff>342900</xdr:colOff>
      <xdr:row>2</xdr:row>
      <xdr:rowOff>0</xdr:rowOff>
    </xdr:from>
    <xdr:to>
      <xdr:col>12</xdr:col>
      <xdr:colOff>0</xdr:colOff>
      <xdr:row>3</xdr:row>
      <xdr:rowOff>0</xdr:rowOff>
    </xdr:to>
    <xdr:sp macro="" textlink="">
      <xdr:nvSpPr>
        <xdr:cNvPr id="6" name="Text Box 7"/>
        <xdr:cNvSpPr txBox="1">
          <a:spLocks noChangeArrowheads="1"/>
        </xdr:cNvSpPr>
      </xdr:nvSpPr>
      <xdr:spPr bwMode="auto">
        <a:xfrm>
          <a:off x="6469380" y="716280"/>
          <a:ext cx="906780" cy="19812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27432" rIns="36576" bIns="27432" anchor="ctr" upright="1"/>
        <a:lstStyle/>
        <a:p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Performed by: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33</xdr:row>
      <xdr:rowOff>0</xdr:rowOff>
    </xdr:from>
    <xdr:to>
      <xdr:col>17</xdr:col>
      <xdr:colOff>746760</xdr:colOff>
      <xdr:row>39</xdr:row>
      <xdr:rowOff>182880</xdr:rowOff>
    </xdr:to>
    <xdr:graphicFrame macro="">
      <xdr:nvGraphicFramePr>
        <xdr:cNvPr id="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10</xdr:col>
      <xdr:colOff>0</xdr:colOff>
      <xdr:row>47</xdr:row>
      <xdr:rowOff>0</xdr:rowOff>
    </xdr:to>
    <xdr:graphicFrame macro="">
      <xdr:nvGraphicFramePr>
        <xdr:cNvPr id="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7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746760</xdr:colOff>
      <xdr:row>39</xdr:row>
      <xdr:rowOff>144780</xdr:rowOff>
    </xdr:from>
    <xdr:to>
      <xdr:col>17</xdr:col>
      <xdr:colOff>746760</xdr:colOff>
      <xdr:row>47</xdr:row>
      <xdr:rowOff>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16934</xdr:rowOff>
    </xdr:from>
    <xdr:to>
      <xdr:col>18</xdr:col>
      <xdr:colOff>0</xdr:colOff>
      <xdr:row>47</xdr:row>
      <xdr:rowOff>0</xdr:rowOff>
    </xdr:to>
    <xdr:sp macro="" textlink="">
      <xdr:nvSpPr>
        <xdr:cNvPr id="9" name="Rectangle 7"/>
        <xdr:cNvSpPr>
          <a:spLocks noChangeArrowheads="1"/>
        </xdr:cNvSpPr>
      </xdr:nvSpPr>
      <xdr:spPr bwMode="auto">
        <a:xfrm>
          <a:off x="0" y="16934"/>
          <a:ext cx="13563600" cy="8737599"/>
        </a:xfrm>
        <a:prstGeom prst="rect">
          <a:avLst/>
        </a:prstGeom>
        <a:noFill/>
        <a:ln w="127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6</xdr:row>
      <xdr:rowOff>220980</xdr:rowOff>
    </xdr:from>
    <xdr:to>
      <xdr:col>17</xdr:col>
      <xdr:colOff>746760</xdr:colOff>
      <xdr:row>46</xdr:row>
      <xdr:rowOff>236220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0" y="1135380"/>
          <a:ext cx="13571220" cy="1005078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7</xdr:row>
      <xdr:rowOff>7620</xdr:rowOff>
    </xdr:from>
    <xdr:to>
      <xdr:col>10</xdr:col>
      <xdr:colOff>22860</xdr:colOff>
      <xdr:row>20</xdr:row>
      <xdr:rowOff>53340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</xdr:colOff>
      <xdr:row>20</xdr:row>
      <xdr:rowOff>15240</xdr:rowOff>
    </xdr:from>
    <xdr:to>
      <xdr:col>10</xdr:col>
      <xdr:colOff>33868</xdr:colOff>
      <xdr:row>33</xdr:row>
      <xdr:rowOff>7620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739140</xdr:colOff>
      <xdr:row>20</xdr:row>
      <xdr:rowOff>0</xdr:rowOff>
    </xdr:from>
    <xdr:to>
      <xdr:col>17</xdr:col>
      <xdr:colOff>739140</xdr:colOff>
      <xdr:row>33</xdr:row>
      <xdr:rowOff>38100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k Morris" refreshedDate="41920.468290972225" createdVersion="5" refreshedVersion="5" minRefreshableVersion="3" recordCount="30">
  <cacheSource type="worksheet">
    <worksheetSource ref="Z8:AE38" sheet="Graphical Summary"/>
  </cacheSource>
  <cacheFields count="6">
    <cacheField name="Part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UCL X" numFmtId="0">
      <sharedItems containsSemiMixedTypes="0" containsString="0" containsNumber="1" minValue="1.3064697381374286" maxValue="1.3064697381374286"/>
    </cacheField>
    <cacheField name="LCL X" numFmtId="0">
      <sharedItems containsSemiMixedTypes="0" containsString="0" containsNumber="1" minValue="1.2992635951959046" maxValue="1.2992635951959046"/>
    </cacheField>
    <cacheField name="Average" numFmtId="0">
      <sharedItems containsSemiMixedTypes="0" containsString="0" containsNumber="1" minValue="1.3028666666666666" maxValue="1.3028666666666666"/>
    </cacheField>
    <cacheField name="Data" numFmtId="0">
      <sharedItems containsSemiMixedTypes="0" containsString="0" containsNumber="1" minValue="1.2990000000000002" maxValue="1.306"/>
    </cacheField>
    <cacheField name="Operator" numFmtId="0">
      <sharedItems count="3">
        <s v="A"/>
        <s v="B"/>
        <s v="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ick Morris" refreshedDate="41920.468291435187" createdVersion="5" refreshedVersion="5" minRefreshableVersion="3" recordCount="30">
  <cacheSource type="worksheet">
    <worksheetSource ref="T8:X38" sheet="Graphical Summary"/>
  </cacheSource>
  <cacheFields count="5">
    <cacheField name="Part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UCL R" numFmtId="0">
      <sharedItems containsSemiMixedTypes="0" containsString="0" containsNumber="1" minValue="5.2338000000000141E-3" maxValue="5.2338000000000141E-3"/>
    </cacheField>
    <cacheField name="Average" numFmtId="0">
      <sharedItems containsSemiMixedTypes="0" containsString="0" containsNumber="1" minValue="2.0333333333333388E-3" maxValue="2.0333333333333388E-3"/>
    </cacheField>
    <cacheField name="Data" numFmtId="0">
      <sharedItems containsSemiMixedTypes="0" containsString="0" containsNumber="1" minValue="0" maxValue="7.0000000000001172E-3"/>
    </cacheField>
    <cacheField name="Operator" numFmtId="0">
      <sharedItems count="3">
        <s v="A"/>
        <s v="B"/>
        <s v="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Nick Morris" refreshedDate="41920.46829178241" createdVersion="5" refreshedVersion="5" minRefreshableVersion="3" recordCount="3">
  <cacheSource type="worksheet">
    <worksheetSource ref="AG8:BL11" sheet="Graphical Summary"/>
  </cacheSource>
  <cacheFields count="32">
    <cacheField name="Operator" numFmtId="0">
      <sharedItems count="3">
        <s v="A"/>
        <s v="B"/>
        <s v="C"/>
      </sharedItems>
    </cacheField>
    <cacheField name="1" numFmtId="0">
      <sharedItems containsSemiMixedTypes="0" containsString="0" containsNumber="1" minValue="1.2969999999999999" maxValue="1.2989999999999999"/>
    </cacheField>
    <cacheField name="2" numFmtId="0">
      <sharedItems containsSemiMixedTypes="0" containsString="0" containsNumber="1" minValue="1.2989999999999999" maxValue="1.2989999999999999"/>
    </cacheField>
    <cacheField name="3" numFmtId="0">
      <sharedItems containsSemiMixedTypes="0" containsString="0" containsNumber="1" minValue="1.3" maxValue="1.3"/>
    </cacheField>
    <cacheField name="4" numFmtId="0">
      <sharedItems containsSemiMixedTypes="0" containsString="0" containsNumber="1" minValue="1.3" maxValue="1.3"/>
    </cacheField>
    <cacheField name="5" numFmtId="0">
      <sharedItems containsSemiMixedTypes="0" containsString="0" containsNumber="1" minValue="1.3" maxValue="1.3"/>
    </cacheField>
    <cacheField name="6" numFmtId="0">
      <sharedItems containsSemiMixedTypes="0" containsString="0" containsNumber="1" minValue="1.3" maxValue="1.3"/>
    </cacheField>
    <cacheField name="7" numFmtId="0">
      <sharedItems containsSemiMixedTypes="0" containsString="0" containsNumber="1" minValue="1.3" maxValue="1.3"/>
    </cacheField>
    <cacheField name="8" numFmtId="0">
      <sharedItems containsSemiMixedTypes="0" containsString="0" containsNumber="1" minValue="1.3" maxValue="1.3"/>
    </cacheField>
    <cacheField name="9" numFmtId="0">
      <sharedItems containsSemiMixedTypes="0" containsString="0" containsNumber="1" minValue="1.3" maxValue="1.3009999999999999"/>
    </cacheField>
    <cacheField name="10" numFmtId="0">
      <sharedItems containsSemiMixedTypes="0" containsString="0" containsNumber="1" minValue="1.3" maxValue="1.3009999999999999"/>
    </cacheField>
    <cacheField name="11" numFmtId="0">
      <sharedItems containsSemiMixedTypes="0" containsString="0" containsNumber="1" minValue="1.3" maxValue="1.302"/>
    </cacheField>
    <cacheField name="12" numFmtId="0">
      <sharedItems containsSemiMixedTypes="0" containsString="0" containsNumber="1" minValue="1.3" maxValue="1.302"/>
    </cacheField>
    <cacheField name="13" numFmtId="0">
      <sharedItems containsSemiMixedTypes="0" containsString="0" containsNumber="1" minValue="1.3009999999999999" maxValue="1.3049999999999999"/>
    </cacheField>
    <cacheField name="14" numFmtId="0">
      <sharedItems containsSemiMixedTypes="0" containsString="0" containsNumber="1" minValue="1.3009999999999999" maxValue="1.3049999999999999"/>
    </cacheField>
    <cacheField name="15" numFmtId="0">
      <sharedItems containsSemiMixedTypes="0" containsString="0" containsNumber="1" minValue="1.302" maxValue="1.3049999999999999"/>
    </cacheField>
    <cacheField name="16" numFmtId="0">
      <sharedItems containsSemiMixedTypes="0" containsString="0" containsNumber="1" minValue="1.3029999999999999" maxValue="1.3049999999999999"/>
    </cacheField>
    <cacheField name="17" numFmtId="0">
      <sharedItems containsSemiMixedTypes="0" containsString="0" containsNumber="1" minValue="1.3029999999999999" maxValue="1.3049999999999999"/>
    </cacheField>
    <cacheField name="18" numFmtId="0">
      <sharedItems containsSemiMixedTypes="0" containsString="0" containsNumber="1" minValue="1.3049999999999999" maxValue="1.3049999999999999"/>
    </cacheField>
    <cacheField name="19" numFmtId="0">
      <sharedItems containsSemiMixedTypes="0" containsString="0" containsNumber="1" minValue="1.3049999999999999" maxValue="1.3049999999999999"/>
    </cacheField>
    <cacheField name="20" numFmtId="0">
      <sharedItems containsSemiMixedTypes="0" containsString="0" containsNumber="1" minValue="1.3049999999999999" maxValue="1.3049999999999999"/>
    </cacheField>
    <cacheField name="21" numFmtId="0">
      <sharedItems containsSemiMixedTypes="0" containsString="0" containsNumber="1" minValue="1.3049999999999999" maxValue="1.3049999999999999"/>
    </cacheField>
    <cacheField name="22" numFmtId="0">
      <sharedItems containsSemiMixedTypes="0" containsString="0" containsNumber="1" minValue="1.3049999999999999" maxValue="1.3049999999999999"/>
    </cacheField>
    <cacheField name="23" numFmtId="0">
      <sharedItems containsSemiMixedTypes="0" containsString="0" containsNumber="1" minValue="1.3049999999999999" maxValue="1.306"/>
    </cacheField>
    <cacheField name="24" numFmtId="0">
      <sharedItems containsSemiMixedTypes="0" containsString="0" containsNumber="1" minValue="1.3049999999999999" maxValue="1.306"/>
    </cacheField>
    <cacheField name="25" numFmtId="0">
      <sharedItems containsSemiMixedTypes="0" containsString="0" containsNumber="1" minValue="1.306" maxValue="1.306"/>
    </cacheField>
    <cacheField name="26" numFmtId="0">
      <sharedItems containsSemiMixedTypes="0" containsString="0" containsNumber="1" minValue="1.306" maxValue="1.306"/>
    </cacheField>
    <cacheField name="27" numFmtId="0">
      <sharedItems containsSemiMixedTypes="0" containsString="0" containsNumber="1" minValue="1.306" maxValue="1.306"/>
    </cacheField>
    <cacheField name="28" numFmtId="0">
      <sharedItems containsSemiMixedTypes="0" containsString="0" containsNumber="1" minValue="1.306" maxValue="1.306"/>
    </cacheField>
    <cacheField name="29" numFmtId="0">
      <sharedItems containsSemiMixedTypes="0" containsString="0" containsNumber="1" minValue="1.306" maxValue="1.306"/>
    </cacheField>
    <cacheField name="30" numFmtId="0">
      <sharedItems containsSemiMixedTypes="0" containsString="0" containsNumber="1" minValue="1.306" maxValue="1.306"/>
    </cacheField>
    <cacheField name="X Bar" numFmtId="0">
      <sharedItems containsSemiMixedTypes="0" containsString="0" containsNumber="1" minValue="1.3026333333333333" maxValue="1.30333333333333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n v="1.3064697381374286"/>
    <n v="1.2992635951959046"/>
    <n v="1.3028666666666666"/>
    <n v="1.3003333333333333"/>
    <x v="0"/>
  </r>
  <r>
    <x v="1"/>
    <n v="1.3064697381374286"/>
    <n v="1.2992635951959046"/>
    <n v="1.3028666666666666"/>
    <n v="1.3026666666666666"/>
    <x v="0"/>
  </r>
  <r>
    <x v="2"/>
    <n v="1.3064697381374286"/>
    <n v="1.2992635951959046"/>
    <n v="1.3028666666666666"/>
    <n v="1.3056666666666665"/>
    <x v="0"/>
  </r>
  <r>
    <x v="3"/>
    <n v="1.3064697381374286"/>
    <n v="1.2992635951959046"/>
    <n v="1.3028666666666666"/>
    <n v="1.3049999999999999"/>
    <x v="0"/>
  </r>
  <r>
    <x v="4"/>
    <n v="1.3064697381374286"/>
    <n v="1.2992635951959046"/>
    <n v="1.3028666666666666"/>
    <n v="1.3003333333333333"/>
    <x v="0"/>
  </r>
  <r>
    <x v="5"/>
    <n v="1.3064697381374286"/>
    <n v="1.2992635951959046"/>
    <n v="1.3028666666666666"/>
    <n v="1.3"/>
    <x v="0"/>
  </r>
  <r>
    <x v="6"/>
    <n v="1.3064697381374286"/>
    <n v="1.2992635951959046"/>
    <n v="1.3028666666666666"/>
    <n v="1.2990000000000002"/>
    <x v="0"/>
  </r>
  <r>
    <x v="7"/>
    <n v="1.3064697381374286"/>
    <n v="1.2992635951959046"/>
    <n v="1.3028666666666666"/>
    <n v="1.3016666666666665"/>
    <x v="0"/>
  </r>
  <r>
    <x v="8"/>
    <n v="1.3064697381374286"/>
    <n v="1.2992635951959046"/>
    <n v="1.3028666666666666"/>
    <n v="1.306"/>
    <x v="0"/>
  </r>
  <r>
    <x v="9"/>
    <n v="1.3064697381374286"/>
    <n v="1.2992635951959046"/>
    <n v="1.3028666666666666"/>
    <n v="1.3056666666666665"/>
    <x v="0"/>
  </r>
  <r>
    <x v="0"/>
    <n v="1.3064697381374286"/>
    <n v="1.2992635951959046"/>
    <n v="1.3028666666666666"/>
    <n v="1.3003333333333333"/>
    <x v="1"/>
  </r>
  <r>
    <x v="1"/>
    <n v="1.3064697381374286"/>
    <n v="1.2992635951959046"/>
    <n v="1.3028666666666666"/>
    <n v="1.3026666666666666"/>
    <x v="1"/>
  </r>
  <r>
    <x v="2"/>
    <n v="1.3064697381374286"/>
    <n v="1.2992635951959046"/>
    <n v="1.3028666666666666"/>
    <n v="1.3056666666666665"/>
    <x v="1"/>
  </r>
  <r>
    <x v="3"/>
    <n v="1.3064697381374286"/>
    <n v="1.2992635951959046"/>
    <n v="1.3028666666666666"/>
    <n v="1.3049999999999999"/>
    <x v="1"/>
  </r>
  <r>
    <x v="4"/>
    <n v="1.3064697381374286"/>
    <n v="1.2992635951959046"/>
    <n v="1.3028666666666666"/>
    <n v="1.3003333333333333"/>
    <x v="1"/>
  </r>
  <r>
    <x v="5"/>
    <n v="1.3064697381374286"/>
    <n v="1.2992635951959046"/>
    <n v="1.3028666666666666"/>
    <n v="1.3"/>
    <x v="1"/>
  </r>
  <r>
    <x v="6"/>
    <n v="1.3064697381374286"/>
    <n v="1.2992635951959046"/>
    <n v="1.3028666666666666"/>
    <n v="1.2990000000000002"/>
    <x v="1"/>
  </r>
  <r>
    <x v="7"/>
    <n v="1.3064697381374286"/>
    <n v="1.2992635951959046"/>
    <n v="1.3028666666666666"/>
    <n v="1.3016666666666665"/>
    <x v="1"/>
  </r>
  <r>
    <x v="8"/>
    <n v="1.3064697381374286"/>
    <n v="1.2992635951959046"/>
    <n v="1.3028666666666666"/>
    <n v="1.306"/>
    <x v="1"/>
  </r>
  <r>
    <x v="9"/>
    <n v="1.3064697381374286"/>
    <n v="1.2992635951959046"/>
    <n v="1.3028666666666666"/>
    <n v="1.3056666666666665"/>
    <x v="1"/>
  </r>
  <r>
    <x v="0"/>
    <n v="1.3064697381374286"/>
    <n v="1.2992635951959046"/>
    <n v="1.3028666666666666"/>
    <n v="1.3016666666666667"/>
    <x v="2"/>
  </r>
  <r>
    <x v="1"/>
    <n v="1.3064697381374286"/>
    <n v="1.2992635951959046"/>
    <n v="1.3028666666666666"/>
    <n v="1.3029999999999999"/>
    <x v="2"/>
  </r>
  <r>
    <x v="2"/>
    <n v="1.3064697381374286"/>
    <n v="1.2992635951959046"/>
    <n v="1.3028666666666666"/>
    <n v="1.3056666666666665"/>
    <x v="2"/>
  </r>
  <r>
    <x v="3"/>
    <n v="1.3064697381374286"/>
    <n v="1.2992635951959046"/>
    <n v="1.3028666666666666"/>
    <n v="1.3049999999999999"/>
    <x v="2"/>
  </r>
  <r>
    <x v="4"/>
    <n v="1.3064697381374286"/>
    <n v="1.2992635951959046"/>
    <n v="1.3028666666666666"/>
    <n v="1.3023333333333333"/>
    <x v="2"/>
  </r>
  <r>
    <x v="5"/>
    <n v="1.3064697381374286"/>
    <n v="1.2992635951959046"/>
    <n v="1.3028666666666666"/>
    <n v="1.3016666666666667"/>
    <x v="2"/>
  </r>
  <r>
    <x v="6"/>
    <n v="1.3064697381374286"/>
    <n v="1.2992635951959046"/>
    <n v="1.3028666666666666"/>
    <n v="1.3016666666666667"/>
    <x v="2"/>
  </r>
  <r>
    <x v="7"/>
    <n v="1.3064697381374286"/>
    <n v="1.2992635951959046"/>
    <n v="1.3028666666666666"/>
    <n v="1.3009999999999999"/>
    <x v="2"/>
  </r>
  <r>
    <x v="8"/>
    <n v="1.3064697381374286"/>
    <n v="1.2992635951959046"/>
    <n v="1.3028666666666666"/>
    <n v="1.3056666666666665"/>
    <x v="2"/>
  </r>
  <r>
    <x v="9"/>
    <n v="1.3064697381374286"/>
    <n v="1.2992635951959046"/>
    <n v="1.3028666666666666"/>
    <n v="1.3056666666666665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">
  <r>
    <x v="0"/>
    <n v="5.2338000000000141E-3"/>
    <n v="2.0333333333333388E-3"/>
    <n v="9.9999999999988987E-4"/>
    <x v="0"/>
  </r>
  <r>
    <x v="1"/>
    <n v="5.2338000000000141E-3"/>
    <n v="2.0333333333333388E-3"/>
    <n v="9.9999999999988987E-4"/>
    <x v="0"/>
  </r>
  <r>
    <x v="2"/>
    <n v="5.2338000000000141E-3"/>
    <n v="2.0333333333333388E-3"/>
    <n v="1.0000000000001119E-3"/>
    <x v="0"/>
  </r>
  <r>
    <x v="3"/>
    <n v="5.2338000000000141E-3"/>
    <n v="2.0333333333333388E-3"/>
    <n v="0"/>
    <x v="0"/>
  </r>
  <r>
    <x v="4"/>
    <n v="5.2338000000000141E-3"/>
    <n v="2.0333333333333388E-3"/>
    <n v="9.9999999999988987E-4"/>
    <x v="0"/>
  </r>
  <r>
    <x v="5"/>
    <n v="5.2338000000000141E-3"/>
    <n v="2.0333333333333388E-3"/>
    <n v="0"/>
    <x v="0"/>
  </r>
  <r>
    <x v="6"/>
    <n v="5.2338000000000141E-3"/>
    <n v="2.0333333333333388E-3"/>
    <n v="3.0000000000001137E-3"/>
    <x v="0"/>
  </r>
  <r>
    <x v="7"/>
    <n v="5.2338000000000141E-3"/>
    <n v="2.0333333333333388E-3"/>
    <n v="7.0000000000001172E-3"/>
    <x v="0"/>
  </r>
  <r>
    <x v="8"/>
    <n v="5.2338000000000141E-3"/>
    <n v="2.0333333333333388E-3"/>
    <n v="0"/>
    <x v="0"/>
  </r>
  <r>
    <x v="9"/>
    <n v="5.2338000000000141E-3"/>
    <n v="2.0333333333333388E-3"/>
    <n v="1.0000000000001119E-3"/>
    <x v="0"/>
  </r>
  <r>
    <x v="0"/>
    <n v="5.2338000000000141E-3"/>
    <n v="2.0333333333333388E-3"/>
    <n v="9.9999999999988987E-4"/>
    <x v="1"/>
  </r>
  <r>
    <x v="1"/>
    <n v="5.2338000000000141E-3"/>
    <n v="2.0333333333333388E-3"/>
    <n v="9.9999999999988987E-4"/>
    <x v="1"/>
  </r>
  <r>
    <x v="2"/>
    <n v="5.2338000000000141E-3"/>
    <n v="2.0333333333333388E-3"/>
    <n v="1.0000000000001119E-3"/>
    <x v="1"/>
  </r>
  <r>
    <x v="3"/>
    <n v="5.2338000000000141E-3"/>
    <n v="2.0333333333333388E-3"/>
    <n v="0"/>
    <x v="1"/>
  </r>
  <r>
    <x v="4"/>
    <n v="5.2338000000000141E-3"/>
    <n v="2.0333333333333388E-3"/>
    <n v="9.9999999999988987E-4"/>
    <x v="1"/>
  </r>
  <r>
    <x v="5"/>
    <n v="5.2338000000000141E-3"/>
    <n v="2.0333333333333388E-3"/>
    <n v="0"/>
    <x v="1"/>
  </r>
  <r>
    <x v="6"/>
    <n v="5.2338000000000141E-3"/>
    <n v="2.0333333333333388E-3"/>
    <n v="3.0000000000001137E-3"/>
    <x v="1"/>
  </r>
  <r>
    <x v="7"/>
    <n v="5.2338000000000141E-3"/>
    <n v="2.0333333333333388E-3"/>
    <n v="7.0000000000001172E-3"/>
    <x v="1"/>
  </r>
  <r>
    <x v="8"/>
    <n v="5.2338000000000141E-3"/>
    <n v="2.0333333333333388E-3"/>
    <n v="0"/>
    <x v="1"/>
  </r>
  <r>
    <x v="9"/>
    <n v="5.2338000000000141E-3"/>
    <n v="2.0333333333333388E-3"/>
    <n v="1.0000000000001119E-3"/>
    <x v="1"/>
  </r>
  <r>
    <x v="0"/>
    <n v="5.2338000000000141E-3"/>
    <n v="2.0333333333333388E-3"/>
    <n v="4.9999999999998934E-3"/>
    <x v="2"/>
  </r>
  <r>
    <x v="1"/>
    <n v="5.2338000000000141E-3"/>
    <n v="2.0333333333333388E-3"/>
    <n v="2.9999999999998916E-3"/>
    <x v="2"/>
  </r>
  <r>
    <x v="2"/>
    <n v="5.2338000000000141E-3"/>
    <n v="2.0333333333333388E-3"/>
    <n v="1.0000000000001119E-3"/>
    <x v="2"/>
  </r>
  <r>
    <x v="3"/>
    <n v="5.2338000000000141E-3"/>
    <n v="2.0333333333333388E-3"/>
    <n v="0"/>
    <x v="2"/>
  </r>
  <r>
    <x v="4"/>
    <n v="5.2338000000000141E-3"/>
    <n v="2.0333333333333388E-3"/>
    <n v="4.0000000000000036E-3"/>
    <x v="2"/>
  </r>
  <r>
    <x v="5"/>
    <n v="5.2338000000000141E-3"/>
    <n v="2.0333333333333388E-3"/>
    <n v="4.9999999999998934E-3"/>
    <x v="2"/>
  </r>
  <r>
    <x v="6"/>
    <n v="5.2338000000000141E-3"/>
    <n v="2.0333333333333388E-3"/>
    <n v="4.9999999999998934E-3"/>
    <x v="2"/>
  </r>
  <r>
    <x v="7"/>
    <n v="5.2338000000000141E-3"/>
    <n v="2.0333333333333388E-3"/>
    <n v="6.0000000000000053E-3"/>
    <x v="2"/>
  </r>
  <r>
    <x v="8"/>
    <n v="5.2338000000000141E-3"/>
    <n v="2.0333333333333388E-3"/>
    <n v="1.0000000000001119E-3"/>
    <x v="2"/>
  </r>
  <r>
    <x v="9"/>
    <n v="5.2338000000000141E-3"/>
    <n v="2.0333333333333388E-3"/>
    <n v="1.0000000000001119E-3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">
  <r>
    <x v="0"/>
    <n v="1.2969999999999999"/>
    <n v="1.2989999999999999"/>
    <n v="1.3"/>
    <n v="1.3"/>
    <n v="1.3"/>
    <n v="1.3"/>
    <n v="1.3"/>
    <n v="1.3"/>
    <n v="1.3"/>
    <n v="1.3"/>
    <n v="1.3"/>
    <n v="1.3"/>
    <n v="1.3009999999999999"/>
    <n v="1.3009999999999999"/>
    <n v="1.302"/>
    <n v="1.3029999999999999"/>
    <n v="1.3029999999999999"/>
    <n v="1.3049999999999999"/>
    <n v="1.3049999999999999"/>
    <n v="1.3049999999999999"/>
    <n v="1.3049999999999999"/>
    <n v="1.3049999999999999"/>
    <n v="1.306"/>
    <n v="1.306"/>
    <n v="1.306"/>
    <n v="1.306"/>
    <n v="1.306"/>
    <n v="1.306"/>
    <n v="1.306"/>
    <n v="1.306"/>
    <n v="1.3026333333333333"/>
  </r>
  <r>
    <x v="1"/>
    <n v="1.2969999999999999"/>
    <n v="1.2989999999999999"/>
    <n v="1.3"/>
    <n v="1.3"/>
    <n v="1.3"/>
    <n v="1.3"/>
    <n v="1.3"/>
    <n v="1.3"/>
    <n v="1.3"/>
    <n v="1.3"/>
    <n v="1.3"/>
    <n v="1.3"/>
    <n v="1.3009999999999999"/>
    <n v="1.3009999999999999"/>
    <n v="1.302"/>
    <n v="1.3029999999999999"/>
    <n v="1.3029999999999999"/>
    <n v="1.3049999999999999"/>
    <n v="1.3049999999999999"/>
    <n v="1.3049999999999999"/>
    <n v="1.3049999999999999"/>
    <n v="1.3049999999999999"/>
    <n v="1.306"/>
    <n v="1.306"/>
    <n v="1.306"/>
    <n v="1.306"/>
    <n v="1.306"/>
    <n v="1.306"/>
    <n v="1.306"/>
    <n v="1.306"/>
    <n v="1.3026333333333333"/>
  </r>
  <r>
    <x v="2"/>
    <n v="1.2989999999999999"/>
    <n v="1.2989999999999999"/>
    <n v="1.3"/>
    <n v="1.3"/>
    <n v="1.3"/>
    <n v="1.3"/>
    <n v="1.3"/>
    <n v="1.3"/>
    <n v="1.3009999999999999"/>
    <n v="1.3009999999999999"/>
    <n v="1.302"/>
    <n v="1.302"/>
    <n v="1.3049999999999999"/>
    <n v="1.3049999999999999"/>
    <n v="1.3049999999999999"/>
    <n v="1.3049999999999999"/>
    <n v="1.3049999999999999"/>
    <n v="1.3049999999999999"/>
    <n v="1.3049999999999999"/>
    <n v="1.3049999999999999"/>
    <n v="1.3049999999999999"/>
    <n v="1.3049999999999999"/>
    <n v="1.3049999999999999"/>
    <n v="1.3049999999999999"/>
    <n v="1.306"/>
    <n v="1.306"/>
    <n v="1.306"/>
    <n v="1.306"/>
    <n v="1.306"/>
    <n v="1.306"/>
    <n v="1.30333333333333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1">
  <location ref="Z40:AD74" firstHeaderRow="0" firstDataRow="1" firstDataCol="1"/>
  <pivotFields count="6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dataField="1" showAll="0"/>
    <pivotField dataField="1" showAll="0" defaultSubtotal="0"/>
    <pivotField axis="axisRow" showAll="0" defaultSubtotal="0">
      <items count="3">
        <item x="0"/>
        <item x="1"/>
        <item x="2"/>
      </items>
    </pivotField>
  </pivotFields>
  <rowFields count="2">
    <field x="5"/>
    <field x="0"/>
  </rowFields>
  <rowItems count="3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UCL X " fld="1" baseField="0" baseItem="0"/>
    <dataField name="Data " fld="4" baseField="0" baseItem="0"/>
    <dataField name="LCL X " fld="2" baseField="0" baseItem="0"/>
    <dataField name="Average " fld="3" baseField="0" baseItem="0"/>
  </dataFields>
  <chartFormats count="25">
    <chartFormat chart="1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16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5" count="1" selected="0">
            <x v="1"/>
          </reference>
        </references>
      </pivotArea>
    </chartFormat>
    <chartFormat chart="10" format="17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5" count="1" selected="0">
            <x v="2"/>
          </reference>
        </references>
      </pivotArea>
    </chartFormat>
    <chartFormat chart="10" format="18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5" count="1" selected="0">
            <x v="0"/>
          </reference>
        </references>
      </pivotArea>
    </chartFormat>
    <chartFormat chart="10" format="19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5" count="1" selected="0">
            <x v="0"/>
          </reference>
        </references>
      </pivotArea>
    </chartFormat>
    <chartFormat chart="10" format="20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5" count="1" selected="0">
            <x v="0"/>
          </reference>
        </references>
      </pivotArea>
    </chartFormat>
    <chartFormat chart="10" format="21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5" count="1" selected="0">
            <x v="0"/>
          </reference>
        </references>
      </pivotArea>
    </chartFormat>
    <chartFormat chart="10" format="22">
      <pivotArea type="data" outline="0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5" count="1" selected="0">
            <x v="0"/>
          </reference>
        </references>
      </pivotArea>
    </chartFormat>
    <chartFormat chart="10" format="23">
      <pivotArea type="data" outline="0" fieldPosition="0">
        <references count="3">
          <reference field="4294967294" count="1" selected="0">
            <x v="1"/>
          </reference>
          <reference field="0" count="1" selected="0">
            <x v="5"/>
          </reference>
          <reference field="5" count="1" selected="0">
            <x v="0"/>
          </reference>
        </references>
      </pivotArea>
    </chartFormat>
    <chartFormat chart="10" format="24">
      <pivotArea type="data" outline="0" fieldPosition="0">
        <references count="3">
          <reference field="4294967294" count="1" selected="0">
            <x v="1"/>
          </reference>
          <reference field="0" count="1" selected="0">
            <x v="6"/>
          </reference>
          <reference field="5" count="1" selected="0">
            <x v="0"/>
          </reference>
        </references>
      </pivotArea>
    </chartFormat>
    <chartFormat chart="10" format="25">
      <pivotArea type="data" outline="0" fieldPosition="0">
        <references count="3">
          <reference field="4294967294" count="1" selected="0">
            <x v="1"/>
          </reference>
          <reference field="0" count="1" selected="0">
            <x v="7"/>
          </reference>
          <reference field="5" count="1" selected="0">
            <x v="0"/>
          </reference>
        </references>
      </pivotArea>
    </chartFormat>
    <chartFormat chart="10" format="26">
      <pivotArea type="data" outline="0" fieldPosition="0">
        <references count="3">
          <reference field="4294967294" count="1" selected="0">
            <x v="1"/>
          </reference>
          <reference field="0" count="1" selected="0">
            <x v="8"/>
          </reference>
          <reference field="5" count="1" selected="0">
            <x v="0"/>
          </reference>
        </references>
      </pivotArea>
    </chartFormat>
    <chartFormat chart="10" format="27">
      <pivotArea type="data" outline="0" fieldPosition="0">
        <references count="3">
          <reference field="4294967294" count="1" selected="0">
            <x v="1"/>
          </reference>
          <reference field="0" count="1" selected="0">
            <x v="9"/>
          </reference>
          <reference field="5" count="1" selected="0">
            <x v="0"/>
          </reference>
        </references>
      </pivotArea>
    </chartFormat>
    <chartFormat chart="10" format="28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5" count="1" selected="0">
            <x v="2"/>
          </reference>
        </references>
      </pivotArea>
    </chartFormat>
    <chartFormat chart="10" format="29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5" count="1" selected="0">
            <x v="2"/>
          </reference>
        </references>
      </pivotArea>
    </chartFormat>
    <chartFormat chart="10" format="30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5" count="1" selected="0">
            <x v="2"/>
          </reference>
        </references>
      </pivotArea>
    </chartFormat>
    <chartFormat chart="10" format="31">
      <pivotArea type="data" outline="0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5" count="1" selected="0">
            <x v="2"/>
          </reference>
        </references>
      </pivotArea>
    </chartFormat>
    <chartFormat chart="10" format="32">
      <pivotArea type="data" outline="0" fieldPosition="0">
        <references count="3">
          <reference field="4294967294" count="1" selected="0">
            <x v="1"/>
          </reference>
          <reference field="0" count="1" selected="0">
            <x v="5"/>
          </reference>
          <reference field="5" count="1" selected="0">
            <x v="2"/>
          </reference>
        </references>
      </pivotArea>
    </chartFormat>
    <chartFormat chart="10" format="33">
      <pivotArea type="data" outline="0" fieldPosition="0">
        <references count="3">
          <reference field="4294967294" count="1" selected="0">
            <x v="1"/>
          </reference>
          <reference field="0" count="1" selected="0">
            <x v="6"/>
          </reference>
          <reference field="5" count="1" selected="0">
            <x v="2"/>
          </reference>
        </references>
      </pivotArea>
    </chartFormat>
    <chartFormat chart="10" format="34">
      <pivotArea type="data" outline="0" fieldPosition="0">
        <references count="3">
          <reference field="4294967294" count="1" selected="0">
            <x v="1"/>
          </reference>
          <reference field="0" count="1" selected="0">
            <x v="7"/>
          </reference>
          <reference field="5" count="1" selected="0">
            <x v="2"/>
          </reference>
        </references>
      </pivotArea>
    </chartFormat>
    <chartFormat chart="10" format="35">
      <pivotArea type="data" outline="0" fieldPosition="0">
        <references count="3">
          <reference field="4294967294" count="1" selected="0">
            <x v="1"/>
          </reference>
          <reference field="0" count="1" selected="0">
            <x v="8"/>
          </reference>
          <reference field="5" count="1" selected="0">
            <x v="2"/>
          </reference>
        </references>
      </pivotArea>
    </chartFormat>
    <chartFormat chart="10" format="36">
      <pivotArea type="data" outline="0" fieldPosition="0">
        <references count="3">
          <reference field="4294967294" count="1" selected="0">
            <x v="1"/>
          </reference>
          <reference field="0" count="1" selected="0">
            <x v="9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5">
  <location ref="T40:W74" firstHeaderRow="0" firstDataRow="1" firstDataCol="1"/>
  <pivotFields count="5"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howAll="0"/>
    <pivotField dataField="1" showAll="0"/>
    <pivotField dataField="1" showAll="0" defaultSubtotal="0"/>
    <pivotField axis="axisRow" showAll="0" defaultSubtotal="0">
      <items count="3">
        <item x="0"/>
        <item x="1"/>
        <item x="2"/>
      </items>
    </pivotField>
  </pivotFields>
  <rowFields count="2">
    <field x="4"/>
    <field x="0"/>
  </rowFields>
  <rowItems count="3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" fld="2" baseField="0" baseItem="1"/>
    <dataField name="UCL R " fld="1" baseField="0" baseItem="1"/>
    <dataField name="Data " fld="3" baseField="4" baseItem="0"/>
  </dataFields>
  <chartFormats count="24">
    <chartFormat chart="7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6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4" count="1" selected="0">
            <x v="1"/>
          </reference>
        </references>
      </pivotArea>
    </chartFormat>
    <chartFormat chart="7" format="17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4" count="1" selected="0">
            <x v="2"/>
          </reference>
        </references>
      </pivotArea>
    </chartFormat>
    <chartFormat chart="7" format="18">
      <pivotArea type="data" outline="0" fieldPosition="0">
        <references count="3">
          <reference field="4294967294" count="1" selected="0">
            <x v="2"/>
          </reference>
          <reference field="0" count="1" selected="0">
            <x v="9"/>
          </reference>
          <reference field="4" count="1" selected="0">
            <x v="0"/>
          </reference>
        </references>
      </pivotArea>
    </chartFormat>
    <chartFormat chart="7" format="19">
      <pivotArea type="data" outline="0" fieldPosition="0">
        <references count="3">
          <reference field="4294967294" count="1" selected="0">
            <x v="2"/>
          </reference>
          <reference field="0" count="1" selected="0">
            <x v="8"/>
          </reference>
          <reference field="4" count="1" selected="0">
            <x v="0"/>
          </reference>
        </references>
      </pivotArea>
    </chartFormat>
    <chartFormat chart="7" format="20">
      <pivotArea type="data" outline="0" fieldPosition="0">
        <references count="3">
          <reference field="4294967294" count="1" selected="0">
            <x v="2"/>
          </reference>
          <reference field="0" count="1" selected="0">
            <x v="7"/>
          </reference>
          <reference field="4" count="1" selected="0">
            <x v="0"/>
          </reference>
        </references>
      </pivotArea>
    </chartFormat>
    <chartFormat chart="7" format="21">
      <pivotArea type="data" outline="0" fieldPosition="0">
        <references count="3">
          <reference field="4294967294" count="1" selected="0">
            <x v="2"/>
          </reference>
          <reference field="0" count="1" selected="0">
            <x v="6"/>
          </reference>
          <reference field="4" count="1" selected="0">
            <x v="0"/>
          </reference>
        </references>
      </pivotArea>
    </chartFormat>
    <chartFormat chart="7" format="22">
      <pivotArea type="data" outline="0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4" count="1" selected="0">
            <x v="0"/>
          </reference>
        </references>
      </pivotArea>
    </chartFormat>
    <chartFormat chart="7" format="23">
      <pivotArea type="data" outline="0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4" count="1" selected="0">
            <x v="0"/>
          </reference>
        </references>
      </pivotArea>
    </chartFormat>
    <chartFormat chart="7" format="24">
      <pivotArea type="data" outline="0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4" count="1" selected="0">
            <x v="0"/>
          </reference>
        </references>
      </pivotArea>
    </chartFormat>
    <chartFormat chart="7" format="25">
      <pivotArea type="data" outline="0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4" count="1" selected="0">
            <x v="0"/>
          </reference>
        </references>
      </pivotArea>
    </chartFormat>
    <chartFormat chart="7" format="26">
      <pivotArea type="data"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4" count="1" selected="0">
            <x v="0"/>
          </reference>
        </references>
      </pivotArea>
    </chartFormat>
    <chartFormat chart="7" format="27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4" count="1" selected="0">
            <x v="0"/>
          </reference>
        </references>
      </pivotArea>
    </chartFormat>
    <chartFormat chart="7" format="28">
      <pivotArea type="data"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4" count="1" selected="0">
            <x v="1"/>
          </reference>
        </references>
      </pivotArea>
    </chartFormat>
    <chartFormat chart="7" format="29">
      <pivotArea type="data" outline="0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4" count="1" selected="0">
            <x v="1"/>
          </reference>
        </references>
      </pivotArea>
    </chartFormat>
    <chartFormat chart="7" format="30">
      <pivotArea type="data" outline="0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4" count="1" selected="0">
            <x v="1"/>
          </reference>
        </references>
      </pivotArea>
    </chartFormat>
    <chartFormat chart="7" format="31">
      <pivotArea type="data" outline="0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4" count="1" selected="0">
            <x v="1"/>
          </reference>
        </references>
      </pivotArea>
    </chartFormat>
    <chartFormat chart="7" format="32">
      <pivotArea type="data" outline="0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4" count="1" selected="0">
            <x v="1"/>
          </reference>
        </references>
      </pivotArea>
    </chartFormat>
    <chartFormat chart="7" format="33">
      <pivotArea type="data" outline="0" fieldPosition="0">
        <references count="3">
          <reference field="4294967294" count="1" selected="0">
            <x v="2"/>
          </reference>
          <reference field="0" count="1" selected="0">
            <x v="6"/>
          </reference>
          <reference field="4" count="1" selected="0">
            <x v="1"/>
          </reference>
        </references>
      </pivotArea>
    </chartFormat>
    <chartFormat chart="7" format="34">
      <pivotArea type="data" outline="0" fieldPosition="0">
        <references count="3">
          <reference field="4294967294" count="1" selected="0">
            <x v="2"/>
          </reference>
          <reference field="0" count="1" selected="0">
            <x v="7"/>
          </reference>
          <reference field="4" count="1" selected="0">
            <x v="1"/>
          </reference>
        </references>
      </pivotArea>
    </chartFormat>
    <chartFormat chart="7" format="35">
      <pivotArea type="data" outline="0" fieldPosition="0">
        <references count="3">
          <reference field="4294967294" count="1" selected="0">
            <x v="2"/>
          </reference>
          <reference field="0" count="1" selected="0">
            <x v="8"/>
          </reference>
          <reference field="4" count="1" selected="0">
            <x v="1"/>
          </reference>
        </references>
      </pivotArea>
    </chartFormat>
    <chartFormat chart="7" format="36">
      <pivotArea type="data" outline="0" fieldPosition="0">
        <references count="3">
          <reference field="4294967294" count="1" selected="0">
            <x v="2"/>
          </reference>
          <reference field="0" count="1" selected="0">
            <x v="9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8">
  <location ref="AG20:BL24" firstHeaderRow="0" firstDataRow="1" firstDataCol="1"/>
  <pivotFields count="32">
    <pivotField axis="axisRow" showAll="0" defaultSubtotal="0">
      <items count="3">
        <item x="0"/>
        <item x="1"/>
        <item x="2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</colItems>
  <dataFields count="31">
    <dataField name="Sum of 1" fld="1" baseField="0" baseItem="0"/>
    <dataField name="Sum of 2" fld="2" baseField="0" baseItem="0"/>
    <dataField name="Sum of 3" fld="3" baseField="0" baseItem="0"/>
    <dataField name="Sum of 4" fld="4" baseField="0" baseItem="0"/>
    <dataField name="Sum of 5" fld="5" baseField="0" baseItem="0"/>
    <dataField name="Sum of 6" fld="6" baseField="0" baseItem="0"/>
    <dataField name="Sum of 7" fld="7" baseField="0" baseItem="0"/>
    <dataField name="Sum of 8" fld="8" baseField="0" baseItem="0"/>
    <dataField name="Sum of 9" fld="9" baseField="0" baseItem="0"/>
    <dataField name="Sum of 10" fld="10" baseField="0" baseItem="0"/>
    <dataField name="Sum of 11" fld="11" baseField="0" baseItem="0"/>
    <dataField name="Sum of 12" fld="12" baseField="0" baseItem="0"/>
    <dataField name="Sum of 13" fld="13" baseField="0" baseItem="0"/>
    <dataField name="Sum of 14" fld="14" baseField="0" baseItem="0"/>
    <dataField name="Sum of 15" fld="15" baseField="0" baseItem="0"/>
    <dataField name="Sum of 16" fld="16" baseField="0" baseItem="0"/>
    <dataField name="Sum of 17" fld="17" baseField="0" baseItem="0"/>
    <dataField name="Sum of 18" fld="18" baseField="0" baseItem="0"/>
    <dataField name="Sum of 19" fld="19" baseField="0" baseItem="0"/>
    <dataField name="Sum of 20" fld="20" baseField="0" baseItem="0"/>
    <dataField name="Sum of 21" fld="21" baseField="0" baseItem="0"/>
    <dataField name="Sum of 22" fld="22" baseField="0" baseItem="0"/>
    <dataField name="Sum of 23" fld="23" baseField="0" baseItem="0"/>
    <dataField name="Sum of 24" fld="24" baseField="0" baseItem="0"/>
    <dataField name="Sum of 25" fld="25" baseField="0" baseItem="0"/>
    <dataField name="Sum of 26" fld="26" baseField="0" baseItem="0"/>
    <dataField name="Sum of 27" fld="27" baseField="0" baseItem="0"/>
    <dataField name="Sum of 28" fld="28" baseField="0" baseItem="0"/>
    <dataField name="Sum of 29" fld="29" baseField="0" baseItem="0"/>
    <dataField name="Sum of 30" fld="30" baseField="0" baseItem="0"/>
    <dataField name="Sum of X Bar" fld="31" baseField="0" baseItem="0"/>
  </dataFields>
  <chartFormats count="31">
    <chartFormat chart="27" format="6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6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7" format="6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7" format="6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7" format="6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7" format="6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7" format="6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7" format="6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7" format="7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7" format="7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7" format="72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27" format="73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27" format="74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27" format="75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27" format="76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27" format="77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27" format="78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27" format="79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27" format="80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27" format="81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27" format="82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27" format="83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27" format="84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27" format="85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27" format="86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27" format="87" series="1">
      <pivotArea type="data" outline="0" fieldPosition="0">
        <references count="1">
          <reference field="4294967294" count="1" selected="0">
            <x v="25"/>
          </reference>
        </references>
      </pivotArea>
    </chartFormat>
    <chartFormat chart="27" format="88" series="1">
      <pivotArea type="data" outline="0" fieldPosition="0">
        <references count="1">
          <reference field="4294967294" count="1" selected="0">
            <x v="26"/>
          </reference>
        </references>
      </pivotArea>
    </chartFormat>
    <chartFormat chart="27" format="89" series="1">
      <pivotArea type="data" outline="0" fieldPosition="0">
        <references count="1">
          <reference field="4294967294" count="1" selected="0">
            <x v="27"/>
          </reference>
        </references>
      </pivotArea>
    </chartFormat>
    <chartFormat chart="27" format="90" series="1">
      <pivotArea type="data" outline="0" fieldPosition="0">
        <references count="1">
          <reference field="4294967294" count="1" selected="0">
            <x v="28"/>
          </reference>
        </references>
      </pivotArea>
    </chartFormat>
    <chartFormat chart="27" format="91" series="1">
      <pivotArea type="data" outline="0" fieldPosition="0">
        <references count="1">
          <reference field="4294967294" count="1" selected="0">
            <x v="29"/>
          </reference>
        </references>
      </pivotArea>
    </chartFormat>
    <chartFormat chart="27" format="92" series="1">
      <pivotArea type="data" outline="0" fieldPosition="0">
        <references count="1">
          <reference field="4294967294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6"/>
  <sheetViews>
    <sheetView zoomScaleNormal="100" workbookViewId="0">
      <selection activeCell="A43" sqref="A43"/>
    </sheetView>
  </sheetViews>
  <sheetFormatPr defaultColWidth="0" defaultRowHeight="14.4" zeroHeight="1" x14ac:dyDescent="0.3"/>
  <cols>
    <col min="1" max="1" width="13.109375" style="4" customWidth="1"/>
    <col min="2" max="2" width="3.33203125" style="1" customWidth="1"/>
    <col min="3" max="12" width="9.109375" style="1" customWidth="1"/>
    <col min="13" max="13" width="9.6640625" style="1" bestFit="1" customWidth="1"/>
    <col min="14" max="14" width="9.109375" style="1" customWidth="1"/>
    <col min="15" max="15" width="11" hidden="1" customWidth="1"/>
    <col min="16" max="16384" width="8.88671875" hidden="1"/>
  </cols>
  <sheetData>
    <row r="1" spans="1:15" ht="17.399999999999999" x14ac:dyDescent="0.3">
      <c r="A1" s="193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5"/>
    </row>
    <row r="2" spans="1:15" x14ac:dyDescent="0.3">
      <c r="A2" s="196" t="s">
        <v>1</v>
      </c>
      <c r="B2" s="196"/>
      <c r="C2" s="197"/>
      <c r="D2" s="197"/>
      <c r="E2" s="197"/>
      <c r="G2" s="2"/>
      <c r="H2" s="197"/>
      <c r="I2" s="197"/>
      <c r="J2" s="197"/>
      <c r="L2" s="2"/>
      <c r="M2" s="198"/>
      <c r="N2" s="198"/>
    </row>
    <row r="3" spans="1:15" x14ac:dyDescent="0.3">
      <c r="A3" s="196" t="s">
        <v>2</v>
      </c>
      <c r="B3" s="196"/>
      <c r="C3" s="197"/>
      <c r="D3" s="197"/>
      <c r="E3" s="197"/>
      <c r="G3" s="2"/>
      <c r="H3" s="197"/>
      <c r="I3" s="197"/>
      <c r="J3" s="197"/>
      <c r="L3" s="2"/>
      <c r="M3" s="197"/>
      <c r="N3" s="197"/>
    </row>
    <row r="4" spans="1:15" x14ac:dyDescent="0.3">
      <c r="A4" s="196" t="s">
        <v>3</v>
      </c>
      <c r="B4" s="196"/>
      <c r="C4" s="197"/>
      <c r="D4" s="197"/>
      <c r="E4" s="197"/>
      <c r="G4" s="2"/>
      <c r="H4" s="197"/>
      <c r="I4" s="197"/>
      <c r="J4" s="197"/>
      <c r="N4" s="3"/>
    </row>
    <row r="5" spans="1:15" x14ac:dyDescent="0.3">
      <c r="B5" s="2"/>
      <c r="G5" s="2"/>
      <c r="N5" s="3"/>
    </row>
    <row r="6" spans="1:15" ht="15.6" x14ac:dyDescent="0.3">
      <c r="A6" s="196" t="s">
        <v>4</v>
      </c>
      <c r="B6" s="196"/>
      <c r="C6" s="5">
        <f>1.3+0.032</f>
        <v>1.3320000000000001</v>
      </c>
      <c r="E6" s="2" t="s">
        <v>5</v>
      </c>
      <c r="F6" s="6">
        <f>COUNT(C12:C14)</f>
        <v>3</v>
      </c>
      <c r="G6" s="2" t="s">
        <v>6</v>
      </c>
      <c r="H6" s="6">
        <f>VLOOKUP(F6,G45:H46,2)</f>
        <v>0.59079999999999999</v>
      </c>
      <c r="J6" s="2" t="s">
        <v>7</v>
      </c>
      <c r="K6" s="6">
        <f>N30</f>
        <v>6.9999999999992291E-4</v>
      </c>
      <c r="L6" s="2" t="s">
        <v>8</v>
      </c>
      <c r="M6" s="6">
        <f>IF(F6=2,3.267,IF(F6=3,2.574,""))</f>
        <v>2.5739999999999998</v>
      </c>
      <c r="N6" s="3"/>
    </row>
    <row r="7" spans="1:15" ht="15.6" x14ac:dyDescent="0.3">
      <c r="A7" s="196" t="s">
        <v>9</v>
      </c>
      <c r="B7" s="196"/>
      <c r="C7" s="5">
        <f>1.3-0.032</f>
        <v>1.268</v>
      </c>
      <c r="E7" s="2" t="s">
        <v>10</v>
      </c>
      <c r="F7" s="6">
        <f>COUNT(C12,C17,C22)</f>
        <v>3</v>
      </c>
      <c r="G7" s="2" t="s">
        <v>11</v>
      </c>
      <c r="H7" s="6">
        <f>HLOOKUP(F7,G50:H51,2)</f>
        <v>0.52310000000000001</v>
      </c>
      <c r="J7" s="2" t="s">
        <v>12</v>
      </c>
      <c r="K7" s="84">
        <f>N29</f>
        <v>2.0333333333333388E-3</v>
      </c>
      <c r="L7" s="2" t="s">
        <v>13</v>
      </c>
      <c r="M7" s="86">
        <f>N28</f>
        <v>5.9999999999997833E-3</v>
      </c>
      <c r="N7" s="3"/>
      <c r="O7" s="83"/>
    </row>
    <row r="8" spans="1:15" ht="15.6" x14ac:dyDescent="0.3">
      <c r="A8" s="191" t="s">
        <v>14</v>
      </c>
      <c r="B8" s="192"/>
      <c r="C8" s="7">
        <f>C6-C7</f>
        <v>6.4000000000000057E-2</v>
      </c>
      <c r="E8" s="2" t="s">
        <v>15</v>
      </c>
      <c r="F8" s="6">
        <f>COUNT(C12:L12)</f>
        <v>10</v>
      </c>
      <c r="G8" s="2" t="s">
        <v>16</v>
      </c>
      <c r="H8" s="6">
        <f>VLOOKUP(F8,G58:H66,2)</f>
        <v>0.31459999999999999</v>
      </c>
      <c r="N8" s="3"/>
    </row>
    <row r="9" spans="1:15" x14ac:dyDescent="0.3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10"/>
      <c r="O9" s="83"/>
    </row>
    <row r="10" spans="1:15" x14ac:dyDescent="0.3">
      <c r="A10" s="201" t="s">
        <v>17</v>
      </c>
      <c r="B10" s="202"/>
      <c r="C10" s="205" t="s">
        <v>18</v>
      </c>
      <c r="D10" s="205"/>
      <c r="E10" s="205"/>
      <c r="F10" s="205"/>
      <c r="G10" s="205"/>
      <c r="H10" s="205"/>
      <c r="I10" s="205"/>
      <c r="J10" s="205"/>
      <c r="K10" s="205"/>
      <c r="L10" s="205"/>
      <c r="M10" s="206" t="s">
        <v>19</v>
      </c>
      <c r="N10" s="206"/>
    </row>
    <row r="11" spans="1:15" x14ac:dyDescent="0.3">
      <c r="A11" s="203"/>
      <c r="B11" s="204"/>
      <c r="C11" s="11">
        <v>1</v>
      </c>
      <c r="D11" s="11">
        <v>2</v>
      </c>
      <c r="E11" s="11">
        <v>3</v>
      </c>
      <c r="F11" s="11">
        <v>4</v>
      </c>
      <c r="G11" s="11">
        <v>5</v>
      </c>
      <c r="H11" s="11">
        <v>6</v>
      </c>
      <c r="I11" s="11">
        <v>7</v>
      </c>
      <c r="J11" s="11">
        <v>8</v>
      </c>
      <c r="K11" s="11">
        <v>9</v>
      </c>
      <c r="L11" s="11">
        <v>10</v>
      </c>
      <c r="M11" s="207"/>
      <c r="N11" s="207"/>
      <c r="O11" s="83"/>
    </row>
    <row r="12" spans="1:15" x14ac:dyDescent="0.3">
      <c r="A12" s="12" t="s">
        <v>20</v>
      </c>
      <c r="B12" s="13">
        <v>1</v>
      </c>
      <c r="C12" s="79">
        <v>1.3</v>
      </c>
      <c r="D12" s="79">
        <v>1.3029999999999999</v>
      </c>
      <c r="E12" s="79">
        <v>1.306</v>
      </c>
      <c r="F12" s="79">
        <v>1.3049999999999999</v>
      </c>
      <c r="G12" s="79">
        <v>1.3</v>
      </c>
      <c r="H12" s="79">
        <v>1.3</v>
      </c>
      <c r="I12" s="79">
        <v>1.2969999999999999</v>
      </c>
      <c r="J12" s="79">
        <v>1.3</v>
      </c>
      <c r="K12" s="79">
        <v>1.306</v>
      </c>
      <c r="L12" s="80">
        <v>1.3049999999999999</v>
      </c>
      <c r="M12" s="199">
        <f>AVERAGE(C12:L12)</f>
        <v>1.3021999999999998</v>
      </c>
      <c r="N12" s="200"/>
    </row>
    <row r="13" spans="1:15" x14ac:dyDescent="0.3">
      <c r="A13" s="14"/>
      <c r="B13" s="15">
        <v>2</v>
      </c>
      <c r="C13" s="79">
        <v>1.3009999999999999</v>
      </c>
      <c r="D13" s="79">
        <v>1.3029999999999999</v>
      </c>
      <c r="E13" s="79">
        <v>1.3049999999999999</v>
      </c>
      <c r="F13" s="79">
        <v>1.3049999999999999</v>
      </c>
      <c r="G13" s="79">
        <v>1.3</v>
      </c>
      <c r="H13" s="79">
        <v>1.3</v>
      </c>
      <c r="I13" s="79">
        <v>1.3</v>
      </c>
      <c r="J13" s="79">
        <v>1.306</v>
      </c>
      <c r="K13" s="79">
        <v>1.306</v>
      </c>
      <c r="L13" s="80">
        <v>1.306</v>
      </c>
      <c r="M13" s="199">
        <f>AVERAGE(C13:L13)</f>
        <v>1.3031999999999999</v>
      </c>
      <c r="N13" s="200"/>
      <c r="O13" s="83"/>
    </row>
    <row r="14" spans="1:15" x14ac:dyDescent="0.3">
      <c r="A14" s="14"/>
      <c r="B14" s="15">
        <v>3</v>
      </c>
      <c r="C14" s="79">
        <v>1.3</v>
      </c>
      <c r="D14" s="79">
        <v>1.302</v>
      </c>
      <c r="E14" s="79">
        <v>1.306</v>
      </c>
      <c r="F14" s="79">
        <v>1.3049999999999999</v>
      </c>
      <c r="G14" s="79">
        <v>1.3009999999999999</v>
      </c>
      <c r="H14" s="79">
        <v>1.3</v>
      </c>
      <c r="I14" s="79">
        <v>1.3</v>
      </c>
      <c r="J14" s="79">
        <v>1.2989999999999999</v>
      </c>
      <c r="K14" s="79">
        <v>1.306</v>
      </c>
      <c r="L14" s="79">
        <v>1.306</v>
      </c>
      <c r="M14" s="199">
        <f>AVERAGE(C14:L14)</f>
        <v>1.3025000000000002</v>
      </c>
      <c r="N14" s="200"/>
    </row>
    <row r="15" spans="1:15" ht="15.6" x14ac:dyDescent="0.3">
      <c r="A15" s="14"/>
      <c r="B15" s="15" t="s">
        <v>19</v>
      </c>
      <c r="C15" s="81">
        <f>AVERAGE(C12:C14)</f>
        <v>1.3003333333333333</v>
      </c>
      <c r="D15" s="81">
        <f t="shared" ref="D15:L15" si="0">AVERAGE(D12:D14)</f>
        <v>1.3026666666666666</v>
      </c>
      <c r="E15" s="81">
        <f t="shared" si="0"/>
        <v>1.3056666666666665</v>
      </c>
      <c r="F15" s="81">
        <f t="shared" si="0"/>
        <v>1.3049999999999999</v>
      </c>
      <c r="G15" s="81">
        <f t="shared" si="0"/>
        <v>1.3003333333333333</v>
      </c>
      <c r="H15" s="81">
        <f t="shared" si="0"/>
        <v>1.3</v>
      </c>
      <c r="I15" s="81">
        <f t="shared" si="0"/>
        <v>1.2990000000000002</v>
      </c>
      <c r="J15" s="81">
        <f t="shared" si="0"/>
        <v>1.3016666666666665</v>
      </c>
      <c r="K15" s="81">
        <f t="shared" si="0"/>
        <v>1.306</v>
      </c>
      <c r="L15" s="81">
        <f t="shared" si="0"/>
        <v>1.3056666666666665</v>
      </c>
      <c r="M15" s="16" t="s">
        <v>21</v>
      </c>
      <c r="N15" s="17">
        <f>AVERAGE(C15:L15)</f>
        <v>1.3026333333333333</v>
      </c>
      <c r="O15" s="83"/>
    </row>
    <row r="16" spans="1:15" ht="15.6" x14ac:dyDescent="0.3">
      <c r="A16" s="14"/>
      <c r="B16" s="15" t="s">
        <v>22</v>
      </c>
      <c r="C16" s="81">
        <f>MAX(C12:C14)-MIN(C12:C14)</f>
        <v>9.9999999999988987E-4</v>
      </c>
      <c r="D16" s="81">
        <f t="shared" ref="D16:L16" si="1">MAX(D12:D14)-MIN(D12:D14)</f>
        <v>9.9999999999988987E-4</v>
      </c>
      <c r="E16" s="81">
        <f t="shared" si="1"/>
        <v>1.0000000000001119E-3</v>
      </c>
      <c r="F16" s="81">
        <f t="shared" si="1"/>
        <v>0</v>
      </c>
      <c r="G16" s="81">
        <f t="shared" si="1"/>
        <v>9.9999999999988987E-4</v>
      </c>
      <c r="H16" s="81">
        <f t="shared" si="1"/>
        <v>0</v>
      </c>
      <c r="I16" s="81">
        <f t="shared" si="1"/>
        <v>3.0000000000001137E-3</v>
      </c>
      <c r="J16" s="81">
        <f t="shared" si="1"/>
        <v>7.0000000000001172E-3</v>
      </c>
      <c r="K16" s="81">
        <f t="shared" si="1"/>
        <v>0</v>
      </c>
      <c r="L16" s="81">
        <f t="shared" si="1"/>
        <v>1.0000000000001119E-3</v>
      </c>
      <c r="M16" s="16" t="s">
        <v>23</v>
      </c>
      <c r="N16" s="82">
        <f>AVERAGE(C16:L16)</f>
        <v>1.5000000000000124E-3</v>
      </c>
    </row>
    <row r="17" spans="1:15" x14ac:dyDescent="0.3">
      <c r="A17" s="12" t="s">
        <v>24</v>
      </c>
      <c r="B17" s="13">
        <v>1</v>
      </c>
      <c r="C17" s="5">
        <v>1.3</v>
      </c>
      <c r="D17" s="5">
        <v>1.3029999999999999</v>
      </c>
      <c r="E17" s="5">
        <v>1.306</v>
      </c>
      <c r="F17" s="5">
        <v>1.3049999999999999</v>
      </c>
      <c r="G17" s="5">
        <v>1.3</v>
      </c>
      <c r="H17" s="5">
        <v>1.3</v>
      </c>
      <c r="I17" s="5">
        <v>1.2969999999999999</v>
      </c>
      <c r="J17" s="5">
        <v>1.3</v>
      </c>
      <c r="K17" s="5">
        <v>1.306</v>
      </c>
      <c r="L17" s="12">
        <v>1.3049999999999999</v>
      </c>
      <c r="M17" s="199">
        <f>AVERAGE(C17:L17)</f>
        <v>1.3021999999999998</v>
      </c>
      <c r="N17" s="200"/>
      <c r="O17" s="83"/>
    </row>
    <row r="18" spans="1:15" x14ac:dyDescent="0.3">
      <c r="A18" s="14"/>
      <c r="B18" s="15">
        <v>2</v>
      </c>
      <c r="C18" s="5">
        <v>1.3009999999999999</v>
      </c>
      <c r="D18" s="5">
        <v>1.3029999999999999</v>
      </c>
      <c r="E18" s="5">
        <v>1.3049999999999999</v>
      </c>
      <c r="F18" s="5">
        <v>1.3049999999999999</v>
      </c>
      <c r="G18" s="5">
        <v>1.3</v>
      </c>
      <c r="H18" s="5">
        <v>1.3</v>
      </c>
      <c r="I18" s="5">
        <v>1.3</v>
      </c>
      <c r="J18" s="5">
        <v>1.306</v>
      </c>
      <c r="K18" s="5">
        <v>1.306</v>
      </c>
      <c r="L18" s="12">
        <v>1.306</v>
      </c>
      <c r="M18" s="199">
        <f>AVERAGE(C18:L18)</f>
        <v>1.3031999999999999</v>
      </c>
      <c r="N18" s="200"/>
    </row>
    <row r="19" spans="1:15" x14ac:dyDescent="0.3">
      <c r="A19" s="14"/>
      <c r="B19" s="15">
        <v>3</v>
      </c>
      <c r="C19" s="5">
        <v>1.3</v>
      </c>
      <c r="D19" s="5">
        <v>1.302</v>
      </c>
      <c r="E19" s="5">
        <v>1.306</v>
      </c>
      <c r="F19" s="5">
        <v>1.3049999999999999</v>
      </c>
      <c r="G19" s="5">
        <v>1.3009999999999999</v>
      </c>
      <c r="H19" s="5">
        <v>1.3</v>
      </c>
      <c r="I19" s="5">
        <v>1.3</v>
      </c>
      <c r="J19" s="5">
        <v>1.2989999999999999</v>
      </c>
      <c r="K19" s="5">
        <v>1.306</v>
      </c>
      <c r="L19" s="12">
        <v>1.306</v>
      </c>
      <c r="M19" s="199">
        <f>AVERAGE(C19:L19)</f>
        <v>1.3025000000000002</v>
      </c>
      <c r="N19" s="200"/>
      <c r="O19" s="83"/>
    </row>
    <row r="20" spans="1:15" ht="15.6" x14ac:dyDescent="0.3">
      <c r="A20" s="14"/>
      <c r="B20" s="15" t="s">
        <v>19</v>
      </c>
      <c r="C20" s="81">
        <f t="shared" ref="C20:L20" si="2">AVERAGE(C17:C19)</f>
        <v>1.3003333333333333</v>
      </c>
      <c r="D20" s="81">
        <f t="shared" si="2"/>
        <v>1.3026666666666666</v>
      </c>
      <c r="E20" s="81">
        <f t="shared" si="2"/>
        <v>1.3056666666666665</v>
      </c>
      <c r="F20" s="81">
        <f t="shared" si="2"/>
        <v>1.3049999999999999</v>
      </c>
      <c r="G20" s="81">
        <f t="shared" si="2"/>
        <v>1.3003333333333333</v>
      </c>
      <c r="H20" s="81">
        <f t="shared" si="2"/>
        <v>1.3</v>
      </c>
      <c r="I20" s="81">
        <f t="shared" si="2"/>
        <v>1.2990000000000002</v>
      </c>
      <c r="J20" s="81">
        <f t="shared" si="2"/>
        <v>1.3016666666666665</v>
      </c>
      <c r="K20" s="81">
        <f t="shared" si="2"/>
        <v>1.306</v>
      </c>
      <c r="L20" s="81">
        <f t="shared" si="2"/>
        <v>1.3056666666666665</v>
      </c>
      <c r="M20" s="16" t="s">
        <v>25</v>
      </c>
      <c r="N20" s="17">
        <f>AVERAGE(C20:L20)</f>
        <v>1.3026333333333333</v>
      </c>
    </row>
    <row r="21" spans="1:15" ht="15.6" x14ac:dyDescent="0.3">
      <c r="A21" s="14"/>
      <c r="B21" s="15" t="s">
        <v>22</v>
      </c>
      <c r="C21" s="81">
        <f>MAX(C17:C19)-MIN(C17:C19)</f>
        <v>9.9999999999988987E-4</v>
      </c>
      <c r="D21" s="81">
        <f t="shared" ref="D21:L21" si="3">MAX(D17:D19)-MIN(D17:D19)</f>
        <v>9.9999999999988987E-4</v>
      </c>
      <c r="E21" s="81">
        <f t="shared" si="3"/>
        <v>1.0000000000001119E-3</v>
      </c>
      <c r="F21" s="81">
        <f t="shared" si="3"/>
        <v>0</v>
      </c>
      <c r="G21" s="81">
        <f t="shared" si="3"/>
        <v>9.9999999999988987E-4</v>
      </c>
      <c r="H21" s="81">
        <f t="shared" si="3"/>
        <v>0</v>
      </c>
      <c r="I21" s="81">
        <f t="shared" si="3"/>
        <v>3.0000000000001137E-3</v>
      </c>
      <c r="J21" s="81">
        <f t="shared" si="3"/>
        <v>7.0000000000001172E-3</v>
      </c>
      <c r="K21" s="81">
        <f t="shared" si="3"/>
        <v>0</v>
      </c>
      <c r="L21" s="81">
        <f t="shared" si="3"/>
        <v>1.0000000000001119E-3</v>
      </c>
      <c r="M21" s="16" t="s">
        <v>26</v>
      </c>
      <c r="N21" s="82">
        <f>AVERAGE(C21:L21)</f>
        <v>1.5000000000000124E-3</v>
      </c>
      <c r="O21" s="83"/>
    </row>
    <row r="22" spans="1:15" x14ac:dyDescent="0.3">
      <c r="A22" s="12" t="s">
        <v>27</v>
      </c>
      <c r="B22" s="13">
        <v>1</v>
      </c>
      <c r="C22" s="5">
        <v>1.3</v>
      </c>
      <c r="D22" s="5">
        <v>1.302</v>
      </c>
      <c r="E22" s="5">
        <v>1.306</v>
      </c>
      <c r="F22" s="5">
        <v>1.3049999999999999</v>
      </c>
      <c r="G22" s="5">
        <v>1.3009999999999999</v>
      </c>
      <c r="H22" s="5">
        <v>1.3</v>
      </c>
      <c r="I22" s="5">
        <v>1.3</v>
      </c>
      <c r="J22" s="5">
        <v>1.2989999999999999</v>
      </c>
      <c r="K22" s="5">
        <v>1.306</v>
      </c>
      <c r="L22" s="12">
        <v>1.306</v>
      </c>
      <c r="M22" s="199">
        <f>AVERAGE(C22:L22)</f>
        <v>1.3025000000000002</v>
      </c>
      <c r="N22" s="200"/>
    </row>
    <row r="23" spans="1:15" x14ac:dyDescent="0.3">
      <c r="A23" s="14"/>
      <c r="B23" s="15">
        <v>2</v>
      </c>
      <c r="C23" s="5">
        <v>1.3</v>
      </c>
      <c r="D23" s="5">
        <v>1.302</v>
      </c>
      <c r="E23" s="5">
        <v>1.306</v>
      </c>
      <c r="F23" s="5">
        <v>1.3049999999999999</v>
      </c>
      <c r="G23" s="5">
        <v>1.3009999999999999</v>
      </c>
      <c r="H23" s="5">
        <v>1.3</v>
      </c>
      <c r="I23" s="5">
        <v>1.3</v>
      </c>
      <c r="J23" s="5">
        <v>1.2989999999999999</v>
      </c>
      <c r="K23" s="5">
        <v>1.306</v>
      </c>
      <c r="L23" s="12">
        <v>1.306</v>
      </c>
      <c r="M23" s="199">
        <f>AVERAGE(C23:L23)</f>
        <v>1.3025000000000002</v>
      </c>
      <c r="N23" s="200"/>
      <c r="O23" s="83"/>
    </row>
    <row r="24" spans="1:15" x14ac:dyDescent="0.3">
      <c r="A24" s="14"/>
      <c r="B24" s="15">
        <v>3</v>
      </c>
      <c r="C24" s="5">
        <v>1.3049999999999999</v>
      </c>
      <c r="D24" s="5">
        <v>1.3049999999999999</v>
      </c>
      <c r="E24" s="5">
        <v>1.3049999999999999</v>
      </c>
      <c r="F24" s="5">
        <v>1.3049999999999999</v>
      </c>
      <c r="G24" s="5">
        <v>1.3049999999999999</v>
      </c>
      <c r="H24" s="5">
        <v>1.3049999999999999</v>
      </c>
      <c r="I24" s="5">
        <v>1.3049999999999999</v>
      </c>
      <c r="J24" s="5">
        <v>1.3049999999999999</v>
      </c>
      <c r="K24" s="5">
        <v>1.3049999999999999</v>
      </c>
      <c r="L24" s="12">
        <v>1.3049999999999999</v>
      </c>
      <c r="M24" s="199">
        <f>AVERAGE(C24:L24)</f>
        <v>1.3049999999999999</v>
      </c>
      <c r="N24" s="200"/>
    </row>
    <row r="25" spans="1:15" ht="15.6" x14ac:dyDescent="0.3">
      <c r="A25" s="14"/>
      <c r="B25" s="15" t="s">
        <v>19</v>
      </c>
      <c r="C25" s="81">
        <f t="shared" ref="C25:L25" si="4">AVERAGE(C22:C24)</f>
        <v>1.3016666666666667</v>
      </c>
      <c r="D25" s="81">
        <f t="shared" si="4"/>
        <v>1.3029999999999999</v>
      </c>
      <c r="E25" s="81">
        <f t="shared" si="4"/>
        <v>1.3056666666666665</v>
      </c>
      <c r="F25" s="81">
        <f t="shared" si="4"/>
        <v>1.3049999999999999</v>
      </c>
      <c r="G25" s="81">
        <f t="shared" si="4"/>
        <v>1.3023333333333333</v>
      </c>
      <c r="H25" s="81">
        <f t="shared" si="4"/>
        <v>1.3016666666666667</v>
      </c>
      <c r="I25" s="81">
        <f t="shared" si="4"/>
        <v>1.3016666666666667</v>
      </c>
      <c r="J25" s="81">
        <f t="shared" si="4"/>
        <v>1.3009999999999999</v>
      </c>
      <c r="K25" s="81">
        <f t="shared" si="4"/>
        <v>1.3056666666666665</v>
      </c>
      <c r="L25" s="81">
        <f t="shared" si="4"/>
        <v>1.3056666666666665</v>
      </c>
      <c r="M25" s="16" t="s">
        <v>28</v>
      </c>
      <c r="N25" s="17">
        <f>AVERAGE(C25:L25)</f>
        <v>1.3033333333333332</v>
      </c>
      <c r="O25" s="83"/>
    </row>
    <row r="26" spans="1:15" ht="15.6" x14ac:dyDescent="0.3">
      <c r="A26" s="14"/>
      <c r="B26" s="15" t="s">
        <v>22</v>
      </c>
      <c r="C26" s="81">
        <f>MAX(C22:C24)-MIN(C22:C24)</f>
        <v>4.9999999999998934E-3</v>
      </c>
      <c r="D26" s="81">
        <f t="shared" ref="D26:L26" si="5">MAX(D22:D24)-MIN(D22:D24)</f>
        <v>2.9999999999998916E-3</v>
      </c>
      <c r="E26" s="81">
        <f t="shared" si="5"/>
        <v>1.0000000000001119E-3</v>
      </c>
      <c r="F26" s="81">
        <f t="shared" si="5"/>
        <v>0</v>
      </c>
      <c r="G26" s="81">
        <f t="shared" si="5"/>
        <v>4.0000000000000036E-3</v>
      </c>
      <c r="H26" s="81">
        <f t="shared" si="5"/>
        <v>4.9999999999998934E-3</v>
      </c>
      <c r="I26" s="81">
        <f t="shared" si="5"/>
        <v>4.9999999999998934E-3</v>
      </c>
      <c r="J26" s="81">
        <f t="shared" si="5"/>
        <v>6.0000000000000053E-3</v>
      </c>
      <c r="K26" s="81">
        <f t="shared" si="5"/>
        <v>1.0000000000001119E-3</v>
      </c>
      <c r="L26" s="81">
        <f t="shared" si="5"/>
        <v>1.0000000000001119E-3</v>
      </c>
      <c r="M26" s="16" t="s">
        <v>29</v>
      </c>
      <c r="N26" s="82">
        <f>AVERAGE(C26:L26)</f>
        <v>3.0999999999999917E-3</v>
      </c>
    </row>
    <row r="27" spans="1:15" x14ac:dyDescent="0.3">
      <c r="A27" s="208" t="s">
        <v>30</v>
      </c>
      <c r="B27" s="209"/>
      <c r="C27" s="212">
        <f>AVERAGE(C25,C20,C15)</f>
        <v>1.300777777777778</v>
      </c>
      <c r="D27" s="212">
        <f t="shared" ref="D27:L27" si="6">AVERAGE(D25,D20,D15)</f>
        <v>1.3027777777777778</v>
      </c>
      <c r="E27" s="212">
        <f t="shared" si="6"/>
        <v>1.3056666666666665</v>
      </c>
      <c r="F27" s="212">
        <f t="shared" si="6"/>
        <v>1.3049999999999999</v>
      </c>
      <c r="G27" s="212">
        <f t="shared" si="6"/>
        <v>1.3010000000000002</v>
      </c>
      <c r="H27" s="212">
        <f t="shared" si="6"/>
        <v>1.3005555555555555</v>
      </c>
      <c r="I27" s="212">
        <f t="shared" si="6"/>
        <v>1.2998888888888891</v>
      </c>
      <c r="J27" s="212">
        <f t="shared" si="6"/>
        <v>1.3014444444444442</v>
      </c>
      <c r="K27" s="212">
        <f t="shared" si="6"/>
        <v>1.3058888888888889</v>
      </c>
      <c r="L27" s="212">
        <f t="shared" si="6"/>
        <v>1.3056666666666665</v>
      </c>
      <c r="M27" s="19" t="s">
        <v>31</v>
      </c>
      <c r="N27" s="20">
        <f>AVERAGE(N25,N20,N15)</f>
        <v>1.3028666666666666</v>
      </c>
      <c r="O27" s="83"/>
    </row>
    <row r="28" spans="1:15" ht="15.6" x14ac:dyDescent="0.3">
      <c r="A28" s="210"/>
      <c r="B28" s="211"/>
      <c r="C28" s="213"/>
      <c r="D28" s="213"/>
      <c r="E28" s="213"/>
      <c r="F28" s="213"/>
      <c r="G28" s="213"/>
      <c r="H28" s="213"/>
      <c r="I28" s="213"/>
      <c r="J28" s="213"/>
      <c r="K28" s="213"/>
      <c r="L28" s="213"/>
      <c r="M28" s="21" t="s">
        <v>32</v>
      </c>
      <c r="N28" s="85">
        <f>MAX(C27:L28)-MIN(C27:L28)</f>
        <v>5.9999999999997833E-3</v>
      </c>
    </row>
    <row r="29" spans="1:15" x14ac:dyDescent="0.3">
      <c r="A29" s="14" t="s">
        <v>133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3"/>
      <c r="M29" s="16" t="s">
        <v>12</v>
      </c>
      <c r="N29" s="82">
        <f>AVERAGE(N16,N21,N26)</f>
        <v>2.0333333333333388E-3</v>
      </c>
      <c r="O29" s="83"/>
    </row>
    <row r="30" spans="1:15" x14ac:dyDescent="0.3">
      <c r="A30" s="14" t="s">
        <v>134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3"/>
      <c r="M30" s="24" t="s">
        <v>33</v>
      </c>
      <c r="N30" s="17">
        <f>MAX(N15,N20,N25)-MIN(N15,N20,N25)</f>
        <v>6.9999999999992291E-4</v>
      </c>
    </row>
    <row r="31" spans="1:15" x14ac:dyDescent="0.3">
      <c r="A31" s="14" t="s">
        <v>135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3"/>
      <c r="M31" s="24" t="s">
        <v>34</v>
      </c>
      <c r="N31" s="82">
        <f>N29*M6</f>
        <v>5.2338000000000141E-3</v>
      </c>
      <c r="O31" s="83"/>
    </row>
    <row r="32" spans="1:15" ht="17.399999999999999" x14ac:dyDescent="0.3">
      <c r="A32" s="193" t="s">
        <v>35</v>
      </c>
      <c r="B32" s="194"/>
      <c r="C32" s="194"/>
      <c r="D32" s="194"/>
      <c r="E32" s="194"/>
      <c r="F32" s="194"/>
      <c r="G32" s="194"/>
      <c r="H32" s="194"/>
      <c r="I32" s="194"/>
      <c r="J32" s="194"/>
      <c r="K32" s="194"/>
      <c r="L32" s="194"/>
      <c r="M32" s="194"/>
      <c r="N32" s="195"/>
    </row>
    <row r="33" spans="1:15" x14ac:dyDescent="0.3">
      <c r="B33" s="2" t="s">
        <v>1</v>
      </c>
      <c r="C33" s="213" t="str">
        <f>IF(C2="","",C2)</f>
        <v/>
      </c>
      <c r="D33" s="213"/>
      <c r="E33" s="213"/>
      <c r="G33" s="2" t="s">
        <v>36</v>
      </c>
      <c r="H33" s="213" t="str">
        <f>IF(H2="","",H2)</f>
        <v/>
      </c>
      <c r="I33" s="213"/>
      <c r="J33" s="213"/>
      <c r="L33" s="2" t="s">
        <v>37</v>
      </c>
      <c r="M33" s="214" t="str">
        <f>IF(M2="","",M2)</f>
        <v/>
      </c>
      <c r="N33" s="214"/>
      <c r="O33" s="83"/>
    </row>
    <row r="34" spans="1:15" x14ac:dyDescent="0.3">
      <c r="B34" s="2" t="s">
        <v>2</v>
      </c>
      <c r="C34" s="213" t="str">
        <f>IF(C3="","",C3)</f>
        <v/>
      </c>
      <c r="D34" s="213"/>
      <c r="E34" s="213"/>
      <c r="G34" s="2" t="s">
        <v>38</v>
      </c>
      <c r="H34" s="213" t="str">
        <f>IF(H3="","",H3)</f>
        <v/>
      </c>
      <c r="I34" s="213"/>
      <c r="J34" s="213"/>
      <c r="L34" s="2" t="s">
        <v>39</v>
      </c>
      <c r="M34" s="214" t="str">
        <f>IF(M3="","",M3)</f>
        <v/>
      </c>
      <c r="N34" s="214"/>
    </row>
    <row r="35" spans="1:15" x14ac:dyDescent="0.3">
      <c r="B35" s="2" t="s">
        <v>3</v>
      </c>
      <c r="C35" s="213" t="str">
        <f>IF(C4="","",C4)</f>
        <v/>
      </c>
      <c r="D35" s="213"/>
      <c r="E35" s="213"/>
      <c r="G35" s="2" t="s">
        <v>40</v>
      </c>
      <c r="H35" s="213" t="str">
        <f>IF(H4="","",H4)</f>
        <v/>
      </c>
      <c r="I35" s="213"/>
      <c r="J35" s="213"/>
      <c r="N35" s="3"/>
      <c r="O35" s="83"/>
    </row>
    <row r="36" spans="1:15" x14ac:dyDescent="0.3">
      <c r="N36" s="3"/>
    </row>
    <row r="37" spans="1:15" ht="15.6" x14ac:dyDescent="0.3">
      <c r="B37" s="2" t="s">
        <v>4</v>
      </c>
      <c r="C37" s="18">
        <f>IF(C6="","",C6)</f>
        <v>1.3320000000000001</v>
      </c>
      <c r="E37" s="2" t="s">
        <v>5</v>
      </c>
      <c r="F37" s="18">
        <f>IF(F6="","",F6)</f>
        <v>3</v>
      </c>
      <c r="G37" s="2" t="s">
        <v>41</v>
      </c>
      <c r="H37" s="18">
        <f>IF(H6="","",H6)</f>
        <v>0.59079999999999999</v>
      </c>
      <c r="J37" s="2" t="s">
        <v>7</v>
      </c>
      <c r="K37" s="18">
        <f>IF(K6="","",K6)</f>
        <v>6.9999999999992291E-4</v>
      </c>
      <c r="L37" s="2" t="s">
        <v>42</v>
      </c>
      <c r="M37" s="18">
        <f>IF(M6="","",M6)</f>
        <v>2.5739999999999998</v>
      </c>
      <c r="N37" s="3"/>
      <c r="O37" s="83"/>
    </row>
    <row r="38" spans="1:15" ht="15.6" x14ac:dyDescent="0.3">
      <c r="B38" s="2" t="s">
        <v>9</v>
      </c>
      <c r="C38" s="18">
        <f>IF(C7="","",C7)</f>
        <v>1.268</v>
      </c>
      <c r="E38" s="2" t="s">
        <v>10</v>
      </c>
      <c r="F38" s="18">
        <f>IF(F7="","",F7)</f>
        <v>3</v>
      </c>
      <c r="G38" s="2" t="s">
        <v>43</v>
      </c>
      <c r="H38" s="18">
        <f>IF(H7="","",H7)</f>
        <v>0.52310000000000001</v>
      </c>
      <c r="J38" s="2" t="s">
        <v>12</v>
      </c>
      <c r="K38" s="18">
        <f>IF(K7="","",K7)</f>
        <v>2.0333333333333388E-3</v>
      </c>
      <c r="L38" s="2" t="s">
        <v>32</v>
      </c>
      <c r="M38" s="18">
        <f>IF(M7="","",M7)</f>
        <v>5.9999999999997833E-3</v>
      </c>
      <c r="N38" s="3"/>
    </row>
    <row r="39" spans="1:15" ht="15.6" x14ac:dyDescent="0.3">
      <c r="B39" s="2" t="s">
        <v>14</v>
      </c>
      <c r="C39" s="18">
        <f>IF(C8="","",C8)</f>
        <v>6.4000000000000057E-2</v>
      </c>
      <c r="E39" s="2" t="s">
        <v>15</v>
      </c>
      <c r="F39" s="18">
        <f>IF(F8="","",F8)</f>
        <v>10</v>
      </c>
      <c r="G39" s="2" t="s">
        <v>44</v>
      </c>
      <c r="H39" s="18">
        <f>IF(H8="","",H8)</f>
        <v>0.31459999999999999</v>
      </c>
      <c r="N39" s="3"/>
      <c r="O39" s="83"/>
    </row>
    <row r="40" spans="1:15" x14ac:dyDescent="0.3">
      <c r="N40" s="3"/>
    </row>
    <row r="41" spans="1:15" x14ac:dyDescent="0.3">
      <c r="A41" s="215" t="s">
        <v>45</v>
      </c>
      <c r="B41" s="216"/>
      <c r="C41" s="216"/>
      <c r="D41" s="216"/>
      <c r="E41" s="216"/>
      <c r="F41" s="216"/>
      <c r="G41" s="216"/>
      <c r="H41" s="217"/>
      <c r="I41" s="208" t="s">
        <v>46</v>
      </c>
      <c r="J41" s="218"/>
      <c r="K41" s="218"/>
      <c r="L41" s="218"/>
      <c r="M41" s="218"/>
      <c r="N41" s="209"/>
      <c r="O41" s="83"/>
    </row>
    <row r="42" spans="1:15" x14ac:dyDescent="0.3">
      <c r="A42" s="25" t="s">
        <v>47</v>
      </c>
      <c r="B42" s="26"/>
      <c r="C42" s="26"/>
      <c r="D42" s="26"/>
      <c r="E42" s="26"/>
      <c r="F42" s="26"/>
      <c r="G42" s="26"/>
      <c r="H42" s="27"/>
      <c r="I42" s="25" t="s">
        <v>48</v>
      </c>
      <c r="J42" s="26"/>
      <c r="K42" s="26"/>
      <c r="L42" s="26"/>
      <c r="M42" s="26"/>
      <c r="N42" s="27"/>
    </row>
    <row r="43" spans="1:15" ht="16.2" thickBot="1" x14ac:dyDescent="0.35">
      <c r="A43" s="28"/>
      <c r="B43" s="29" t="s">
        <v>49</v>
      </c>
      <c r="C43" s="30" t="s">
        <v>50</v>
      </c>
      <c r="D43" s="30"/>
      <c r="E43" s="30"/>
      <c r="F43" s="30"/>
      <c r="G43" s="30"/>
      <c r="H43" s="31"/>
      <c r="I43" s="28"/>
      <c r="J43" s="32" t="s">
        <v>51</v>
      </c>
      <c r="K43" s="30" t="s">
        <v>52</v>
      </c>
      <c r="L43" s="30"/>
      <c r="M43" s="30"/>
      <c r="N43" s="31"/>
      <c r="O43" s="83"/>
    </row>
    <row r="44" spans="1:15" ht="15.6" x14ac:dyDescent="0.3">
      <c r="A44" s="28"/>
      <c r="B44" s="29"/>
      <c r="C44" s="33"/>
      <c r="D44" s="30"/>
      <c r="E44" s="30"/>
      <c r="F44" s="30"/>
      <c r="G44" s="34" t="s">
        <v>54</v>
      </c>
      <c r="H44" s="35" t="s">
        <v>55</v>
      </c>
      <c r="I44" s="30"/>
      <c r="J44" s="32"/>
      <c r="K44" s="30"/>
      <c r="L44" s="30"/>
      <c r="M44" s="30"/>
      <c r="N44" s="31"/>
    </row>
    <row r="45" spans="1:15" x14ac:dyDescent="0.3">
      <c r="A45" s="28"/>
      <c r="B45" s="29" t="s">
        <v>53</v>
      </c>
      <c r="C45" s="36">
        <f>K38*H37</f>
        <v>1.2012933333333366E-3</v>
      </c>
      <c r="D45" s="30"/>
      <c r="E45" s="30"/>
      <c r="F45" s="30"/>
      <c r="G45" s="37">
        <v>2</v>
      </c>
      <c r="H45" s="38">
        <v>0.88619999999999999</v>
      </c>
      <c r="I45" s="87"/>
      <c r="J45" s="32" t="s">
        <v>56</v>
      </c>
      <c r="K45" s="88">
        <f>100*(C45/C65)</f>
        <v>53.235324603575393</v>
      </c>
      <c r="L45" s="33" t="s">
        <v>57</v>
      </c>
      <c r="M45" s="30"/>
      <c r="N45" s="31"/>
      <c r="O45" s="83"/>
    </row>
    <row r="46" spans="1:15" ht="15" thickBot="1" x14ac:dyDescent="0.35">
      <c r="A46" s="28"/>
      <c r="B46" s="30"/>
      <c r="C46" s="30"/>
      <c r="D46" s="30"/>
      <c r="E46" s="30"/>
      <c r="F46" s="30"/>
      <c r="G46" s="40">
        <v>3</v>
      </c>
      <c r="H46" s="41">
        <v>0.59079999999999999</v>
      </c>
      <c r="I46" s="42"/>
      <c r="J46" s="42"/>
      <c r="K46" s="42"/>
      <c r="L46" s="42"/>
      <c r="M46" s="42"/>
      <c r="N46" s="43"/>
    </row>
    <row r="47" spans="1:15" x14ac:dyDescent="0.3">
      <c r="A47" s="25" t="s">
        <v>58</v>
      </c>
      <c r="B47" s="26"/>
      <c r="C47" s="26"/>
      <c r="D47" s="26"/>
      <c r="E47" s="26"/>
      <c r="F47" s="26"/>
      <c r="G47" s="30"/>
      <c r="H47" s="31"/>
      <c r="I47" s="25" t="s">
        <v>59</v>
      </c>
      <c r="J47" s="26"/>
      <c r="K47" s="26"/>
      <c r="L47" s="26"/>
      <c r="M47" s="26"/>
      <c r="N47" s="27"/>
      <c r="O47" s="83"/>
    </row>
    <row r="48" spans="1:15" x14ac:dyDescent="0.3">
      <c r="A48" s="28"/>
      <c r="B48" s="29" t="s">
        <v>60</v>
      </c>
      <c r="C48" s="44" t="s">
        <v>137</v>
      </c>
      <c r="D48" s="30"/>
      <c r="E48" s="30"/>
      <c r="F48" s="30"/>
      <c r="G48" s="32"/>
      <c r="H48" s="45"/>
      <c r="I48" s="28"/>
      <c r="J48" s="32" t="s">
        <v>61</v>
      </c>
      <c r="K48" s="30" t="s">
        <v>62</v>
      </c>
      <c r="L48" s="30"/>
      <c r="M48" s="30"/>
      <c r="N48" s="31"/>
    </row>
    <row r="49" spans="1:15" ht="15" thickBot="1" x14ac:dyDescent="0.35">
      <c r="A49" s="28"/>
      <c r="B49" s="29"/>
      <c r="C49" s="33"/>
      <c r="D49" s="30"/>
      <c r="E49" s="30"/>
      <c r="F49" s="30"/>
      <c r="G49" s="32"/>
      <c r="H49" s="45"/>
      <c r="I49" s="28"/>
      <c r="J49" s="32"/>
      <c r="K49" s="30"/>
      <c r="L49" s="30"/>
      <c r="M49" s="30"/>
      <c r="N49" s="31"/>
      <c r="O49" s="83"/>
    </row>
    <row r="50" spans="1:15" x14ac:dyDescent="0.3">
      <c r="A50" s="28"/>
      <c r="B50" s="29" t="s">
        <v>53</v>
      </c>
      <c r="C50" s="46">
        <f>SQRT(((K37*H38)^2)-(((C45^2)/(F39*F37))))</f>
        <v>2.932182574060942E-4</v>
      </c>
      <c r="D50" s="30"/>
      <c r="E50" s="30"/>
      <c r="F50" s="34" t="s">
        <v>63</v>
      </c>
      <c r="G50" s="47">
        <v>2</v>
      </c>
      <c r="H50" s="35">
        <v>3</v>
      </c>
      <c r="I50" s="30"/>
      <c r="J50" s="32" t="s">
        <v>56</v>
      </c>
      <c r="K50" s="39">
        <f>100*(C50/C65)</f>
        <v>12.993969648857432</v>
      </c>
      <c r="L50" s="33" t="s">
        <v>57</v>
      </c>
      <c r="M50" s="30"/>
      <c r="N50" s="31"/>
    </row>
    <row r="51" spans="1:15" ht="15" thickBot="1" x14ac:dyDescent="0.35">
      <c r="A51" s="28"/>
      <c r="B51" s="30"/>
      <c r="C51" s="30"/>
      <c r="D51" s="30"/>
      <c r="E51" s="30"/>
      <c r="F51" s="40" t="s">
        <v>64</v>
      </c>
      <c r="G51" s="48">
        <v>0.70709999999999995</v>
      </c>
      <c r="H51" s="41">
        <v>0.52310000000000001</v>
      </c>
      <c r="I51" s="42"/>
      <c r="J51" s="42"/>
      <c r="K51" s="42"/>
      <c r="L51" s="42"/>
      <c r="M51" s="42"/>
      <c r="N51" s="43"/>
      <c r="O51" s="83"/>
    </row>
    <row r="52" spans="1:15" x14ac:dyDescent="0.3">
      <c r="A52" s="25" t="s">
        <v>65</v>
      </c>
      <c r="B52" s="26"/>
      <c r="C52" s="26"/>
      <c r="D52" s="26"/>
      <c r="E52" s="26"/>
      <c r="F52" s="30"/>
      <c r="G52" s="30"/>
      <c r="H52" s="31"/>
      <c r="I52" s="25" t="s">
        <v>66</v>
      </c>
      <c r="J52" s="26"/>
      <c r="K52" s="26"/>
      <c r="L52" s="26"/>
      <c r="M52" s="26"/>
      <c r="N52" s="27"/>
    </row>
    <row r="53" spans="1:15" x14ac:dyDescent="0.3">
      <c r="A53" s="28"/>
      <c r="B53" s="29" t="s">
        <v>67</v>
      </c>
      <c r="C53" s="30" t="s">
        <v>68</v>
      </c>
      <c r="D53" s="30"/>
      <c r="E53" s="30"/>
      <c r="F53" s="30"/>
      <c r="G53" s="30"/>
      <c r="H53" s="31"/>
      <c r="I53" s="28"/>
      <c r="J53" s="32" t="s">
        <v>69</v>
      </c>
      <c r="K53" s="30" t="s">
        <v>70</v>
      </c>
      <c r="L53" s="30"/>
      <c r="M53" s="30"/>
      <c r="N53" s="31"/>
      <c r="O53" s="83"/>
    </row>
    <row r="54" spans="1:15" x14ac:dyDescent="0.3">
      <c r="A54" s="28"/>
      <c r="B54" s="29"/>
      <c r="C54" s="30"/>
      <c r="D54" s="30"/>
      <c r="E54" s="30"/>
      <c r="F54" s="30"/>
      <c r="G54" s="30"/>
      <c r="H54" s="31"/>
      <c r="I54" s="28"/>
      <c r="J54" s="32"/>
      <c r="K54" s="30"/>
      <c r="L54" s="30"/>
      <c r="M54" s="30"/>
      <c r="N54" s="31"/>
    </row>
    <row r="55" spans="1:15" x14ac:dyDescent="0.3">
      <c r="A55" s="28"/>
      <c r="B55" s="29" t="s">
        <v>71</v>
      </c>
      <c r="C55" s="36">
        <f>SQRT((C45^2)+(C50^2))</f>
        <v>1.2365608028671235E-3</v>
      </c>
      <c r="D55" s="30"/>
      <c r="E55" s="30"/>
      <c r="F55" s="30"/>
      <c r="G55" s="30"/>
      <c r="H55" s="31"/>
      <c r="I55" s="28"/>
      <c r="J55" s="32" t="s">
        <v>56</v>
      </c>
      <c r="K55" s="39">
        <f>100*(C55/C65)</f>
        <v>54.798202825306838</v>
      </c>
      <c r="L55" s="33" t="s">
        <v>57</v>
      </c>
      <c r="M55" s="30"/>
      <c r="N55" s="31"/>
      <c r="O55" s="83"/>
    </row>
    <row r="56" spans="1:15" ht="15" thickBot="1" x14ac:dyDescent="0.35">
      <c r="A56" s="49"/>
      <c r="B56" s="42"/>
      <c r="C56" s="42"/>
      <c r="D56" s="42"/>
      <c r="E56" s="42"/>
      <c r="F56" s="42"/>
      <c r="G56" s="30"/>
      <c r="H56" s="31"/>
      <c r="I56" s="49"/>
      <c r="J56" s="42"/>
      <c r="K56" s="42"/>
      <c r="L56" s="42"/>
      <c r="M56" s="42"/>
      <c r="N56" s="43"/>
    </row>
    <row r="57" spans="1:15" ht="15.6" x14ac:dyDescent="0.3">
      <c r="A57" s="25" t="s">
        <v>72</v>
      </c>
      <c r="B57" s="26"/>
      <c r="C57" s="26"/>
      <c r="D57" s="26"/>
      <c r="E57" s="26"/>
      <c r="F57" s="26"/>
      <c r="G57" s="34" t="s">
        <v>73</v>
      </c>
      <c r="H57" s="35" t="s">
        <v>74</v>
      </c>
      <c r="I57" s="26" t="s">
        <v>75</v>
      </c>
      <c r="J57" s="26"/>
      <c r="K57" s="26"/>
      <c r="L57" s="26"/>
      <c r="M57" s="26"/>
      <c r="N57" s="27"/>
      <c r="O57" s="83"/>
    </row>
    <row r="58" spans="1:15" ht="15.6" x14ac:dyDescent="0.3">
      <c r="A58" s="28"/>
      <c r="B58" s="29" t="s">
        <v>76</v>
      </c>
      <c r="C58" s="30" t="s">
        <v>77</v>
      </c>
      <c r="D58" s="30"/>
      <c r="E58" s="30"/>
      <c r="F58" s="30"/>
      <c r="G58" s="37">
        <v>2</v>
      </c>
      <c r="H58" s="38">
        <v>0.70709999999999995</v>
      </c>
      <c r="I58" s="30"/>
      <c r="J58" s="32" t="s">
        <v>78</v>
      </c>
      <c r="K58" s="30" t="s">
        <v>79</v>
      </c>
      <c r="L58" s="30"/>
      <c r="M58" s="30"/>
      <c r="N58" s="31"/>
    </row>
    <row r="59" spans="1:15" x14ac:dyDescent="0.3">
      <c r="A59" s="28"/>
      <c r="B59" s="30"/>
      <c r="C59" s="30"/>
      <c r="D59" s="30"/>
      <c r="E59" s="30"/>
      <c r="F59" s="30"/>
      <c r="G59" s="37">
        <v>3</v>
      </c>
      <c r="H59" s="38">
        <v>0.52310000000000001</v>
      </c>
      <c r="I59" s="30"/>
      <c r="J59" s="32"/>
      <c r="K59" s="30"/>
      <c r="L59" s="30"/>
      <c r="M59" s="30"/>
      <c r="N59" s="31"/>
      <c r="O59" s="83"/>
    </row>
    <row r="60" spans="1:15" x14ac:dyDescent="0.3">
      <c r="A60" s="28"/>
      <c r="B60" s="29" t="s">
        <v>53</v>
      </c>
      <c r="C60" s="33">
        <f>M38*H39</f>
        <v>1.8875999999999318E-3</v>
      </c>
      <c r="D60" s="30"/>
      <c r="E60" s="30"/>
      <c r="F60" s="30"/>
      <c r="G60" s="37">
        <v>4</v>
      </c>
      <c r="H60" s="38">
        <v>0.44669999999999999</v>
      </c>
      <c r="I60" s="30"/>
      <c r="J60" s="32" t="s">
        <v>80</v>
      </c>
      <c r="K60" s="39">
        <f>100*(C60/C65)</f>
        <v>83.649010556709726</v>
      </c>
      <c r="L60" s="33" t="s">
        <v>57</v>
      </c>
      <c r="M60" s="30"/>
      <c r="N60" s="31"/>
    </row>
    <row r="61" spans="1:15" x14ac:dyDescent="0.3">
      <c r="A61" s="49"/>
      <c r="B61" s="42"/>
      <c r="C61" s="42"/>
      <c r="D61" s="42"/>
      <c r="E61" s="42"/>
      <c r="F61" s="42"/>
      <c r="G61" s="37">
        <v>5</v>
      </c>
      <c r="H61" s="38">
        <v>0.40300000000000002</v>
      </c>
      <c r="I61" s="42"/>
      <c r="J61" s="42"/>
      <c r="K61" s="42"/>
      <c r="L61" s="42"/>
      <c r="M61" s="42"/>
      <c r="N61" s="43"/>
      <c r="O61" s="83"/>
    </row>
    <row r="62" spans="1:15" x14ac:dyDescent="0.3">
      <c r="A62" s="28" t="s">
        <v>81</v>
      </c>
      <c r="B62" s="30"/>
      <c r="C62" s="30"/>
      <c r="D62" s="30"/>
      <c r="E62" s="30"/>
      <c r="F62" s="30"/>
      <c r="G62" s="37">
        <v>6</v>
      </c>
      <c r="H62" s="38">
        <v>0.37419999999999998</v>
      </c>
      <c r="I62" s="26" t="s">
        <v>84</v>
      </c>
      <c r="J62" s="26"/>
      <c r="K62" s="26"/>
      <c r="L62" s="26"/>
      <c r="M62" s="26"/>
      <c r="N62" s="27"/>
    </row>
    <row r="63" spans="1:15" x14ac:dyDescent="0.3">
      <c r="A63" s="28"/>
      <c r="B63" s="29" t="s">
        <v>82</v>
      </c>
      <c r="C63" s="30" t="s">
        <v>83</v>
      </c>
      <c r="D63" s="30"/>
      <c r="E63" s="30"/>
      <c r="F63" s="30"/>
      <c r="G63" s="37">
        <v>7</v>
      </c>
      <c r="H63" s="38">
        <v>0.35339999999999999</v>
      </c>
      <c r="I63" s="30"/>
      <c r="J63" s="32" t="s">
        <v>85</v>
      </c>
      <c r="K63" s="30" t="s">
        <v>86</v>
      </c>
      <c r="L63" s="30"/>
      <c r="M63" s="30"/>
      <c r="N63" s="31"/>
      <c r="O63" s="83"/>
    </row>
    <row r="64" spans="1:15" x14ac:dyDescent="0.3">
      <c r="A64" s="28"/>
      <c r="B64" s="29"/>
      <c r="C64" s="30"/>
      <c r="D64" s="30"/>
      <c r="E64" s="30"/>
      <c r="F64" s="30"/>
      <c r="G64" s="37">
        <v>8</v>
      </c>
      <c r="H64" s="38">
        <v>0.33750000000000002</v>
      </c>
      <c r="I64" s="30"/>
      <c r="J64" s="32"/>
      <c r="K64" s="30"/>
      <c r="L64" s="30"/>
      <c r="M64" s="30"/>
      <c r="N64" s="31"/>
    </row>
    <row r="65" spans="1:15" x14ac:dyDescent="0.3">
      <c r="A65" s="28"/>
      <c r="B65" s="29" t="s">
        <v>53</v>
      </c>
      <c r="C65" s="36">
        <f>SQRT((C55^2)+(C60^2))</f>
        <v>2.2565718200817644E-3</v>
      </c>
      <c r="D65" s="30"/>
      <c r="E65" s="30"/>
      <c r="F65" s="30"/>
      <c r="G65" s="37">
        <v>9</v>
      </c>
      <c r="H65" s="38">
        <v>0.32490000000000002</v>
      </c>
      <c r="I65" s="30"/>
      <c r="J65" s="32" t="s">
        <v>80</v>
      </c>
      <c r="K65" s="39">
        <f>1.41*(C60/C55)</f>
        <v>2.1523535226321586</v>
      </c>
      <c r="L65" s="33" t="s">
        <v>87</v>
      </c>
      <c r="M65" s="30"/>
      <c r="N65" s="89">
        <f>ROUND(K65,0)</f>
        <v>2</v>
      </c>
      <c r="O65" s="83"/>
    </row>
    <row r="66" spans="1:15" ht="15" thickBot="1" x14ac:dyDescent="0.35">
      <c r="A66" s="49"/>
      <c r="B66" s="42"/>
      <c r="C66" s="42"/>
      <c r="D66" s="42"/>
      <c r="E66" s="42"/>
      <c r="F66" s="42"/>
      <c r="G66" s="40">
        <v>10</v>
      </c>
      <c r="H66" s="41">
        <v>0.31459999999999999</v>
      </c>
      <c r="I66" s="42"/>
      <c r="J66" s="42"/>
      <c r="K66" s="42"/>
      <c r="L66" s="42"/>
      <c r="M66" s="42"/>
      <c r="N66" s="43"/>
    </row>
    <row r="67" spans="1:15" ht="17.399999999999999" x14ac:dyDescent="0.3">
      <c r="A67" s="193" t="s">
        <v>88</v>
      </c>
      <c r="B67" s="194"/>
      <c r="C67" s="194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5"/>
      <c r="O67" s="83"/>
    </row>
    <row r="68" spans="1:15" x14ac:dyDescent="0.3">
      <c r="B68" s="2" t="s">
        <v>1</v>
      </c>
      <c r="C68" s="213" t="s">
        <v>136</v>
      </c>
      <c r="D68" s="213"/>
      <c r="E68" s="213"/>
      <c r="G68" s="2" t="s">
        <v>36</v>
      </c>
      <c r="H68" s="213" t="s">
        <v>136</v>
      </c>
      <c r="I68" s="213"/>
      <c r="J68" s="213"/>
      <c r="L68" s="2" t="s">
        <v>37</v>
      </c>
      <c r="M68" s="214" t="str">
        <f>IF(M2="","",M2)</f>
        <v/>
      </c>
      <c r="N68" s="214"/>
    </row>
    <row r="69" spans="1:15" x14ac:dyDescent="0.3">
      <c r="B69" s="2" t="s">
        <v>2</v>
      </c>
      <c r="C69" s="213" t="s">
        <v>136</v>
      </c>
      <c r="D69" s="213"/>
      <c r="E69" s="213"/>
      <c r="G69" s="2" t="s">
        <v>38</v>
      </c>
      <c r="H69" s="213" t="s">
        <v>136</v>
      </c>
      <c r="I69" s="213"/>
      <c r="J69" s="213"/>
      <c r="L69" s="2" t="s">
        <v>39</v>
      </c>
      <c r="M69" s="214" t="str">
        <f>IF(M3="","",M3)</f>
        <v/>
      </c>
      <c r="N69" s="214"/>
      <c r="O69" s="83"/>
    </row>
    <row r="70" spans="1:15" x14ac:dyDescent="0.3">
      <c r="B70" s="2" t="s">
        <v>3</v>
      </c>
      <c r="C70" s="213" t="s">
        <v>136</v>
      </c>
      <c r="D70" s="213"/>
      <c r="E70" s="213"/>
      <c r="G70" s="2" t="s">
        <v>40</v>
      </c>
      <c r="H70" s="213" t="s">
        <v>136</v>
      </c>
      <c r="I70" s="213"/>
      <c r="J70" s="213"/>
      <c r="N70" s="3"/>
    </row>
    <row r="71" spans="1:15" x14ac:dyDescent="0.3">
      <c r="N71" s="3"/>
      <c r="O71" s="83"/>
    </row>
    <row r="72" spans="1:15" ht="15.6" x14ac:dyDescent="0.3">
      <c r="B72" s="2" t="s">
        <v>4</v>
      </c>
      <c r="C72" s="18">
        <f>IF(C6="","",C6)</f>
        <v>1.3320000000000001</v>
      </c>
      <c r="E72" s="2" t="s">
        <v>5</v>
      </c>
      <c r="F72" s="18">
        <f>IF(F6="","",F6)</f>
        <v>3</v>
      </c>
      <c r="G72" s="2" t="s">
        <v>41</v>
      </c>
      <c r="H72" s="18">
        <f>IF(H6="","",H6)</f>
        <v>0.59079999999999999</v>
      </c>
      <c r="J72" s="2" t="s">
        <v>7</v>
      </c>
      <c r="K72" s="18">
        <f>IF(K6="","",K6)</f>
        <v>6.9999999999992291E-4</v>
      </c>
      <c r="L72" s="2" t="s">
        <v>42</v>
      </c>
      <c r="M72" s="18">
        <f>IF(M6="","",M6)</f>
        <v>2.5739999999999998</v>
      </c>
      <c r="N72" s="3"/>
    </row>
    <row r="73" spans="1:15" ht="15.6" x14ac:dyDescent="0.3">
      <c r="B73" s="2" t="s">
        <v>9</v>
      </c>
      <c r="C73" s="18">
        <f>IF(C7="","",C7)</f>
        <v>1.268</v>
      </c>
      <c r="E73" s="2" t="s">
        <v>10</v>
      </c>
      <c r="F73" s="18">
        <f>IF(F7="","",F7)</f>
        <v>3</v>
      </c>
      <c r="G73" s="2" t="s">
        <v>43</v>
      </c>
      <c r="H73" s="18">
        <f>IF(H7="","",H7)</f>
        <v>0.52310000000000001</v>
      </c>
      <c r="J73" s="2" t="s">
        <v>12</v>
      </c>
      <c r="K73" s="18">
        <f>IF(K7="","",K7)</f>
        <v>2.0333333333333388E-3</v>
      </c>
      <c r="L73" s="2" t="s">
        <v>32</v>
      </c>
      <c r="M73" s="18">
        <f>IF(M7="","",M7)</f>
        <v>5.9999999999997833E-3</v>
      </c>
      <c r="N73" s="3"/>
      <c r="O73" s="83"/>
    </row>
    <row r="74" spans="1:15" ht="15.6" x14ac:dyDescent="0.3">
      <c r="B74" s="2" t="s">
        <v>14</v>
      </c>
      <c r="C74" s="18">
        <f>IF(C8="","",C8)</f>
        <v>6.4000000000000057E-2</v>
      </c>
      <c r="E74" s="2" t="s">
        <v>15</v>
      </c>
      <c r="F74" s="18">
        <f>IF(F8="","",F8)</f>
        <v>10</v>
      </c>
      <c r="G74" s="2" t="s">
        <v>44</v>
      </c>
      <c r="H74" s="18">
        <f>IF(H8="","",H8)</f>
        <v>0.31459999999999999</v>
      </c>
      <c r="N74" s="3"/>
    </row>
    <row r="75" spans="1:15" x14ac:dyDescent="0.3">
      <c r="N75" s="3"/>
    </row>
    <row r="76" spans="1:15" x14ac:dyDescent="0.3">
      <c r="A76" s="215" t="s">
        <v>45</v>
      </c>
      <c r="B76" s="216"/>
      <c r="C76" s="216"/>
      <c r="D76" s="216"/>
      <c r="E76" s="216"/>
      <c r="F76" s="216"/>
      <c r="G76" s="216"/>
      <c r="H76" s="217"/>
      <c r="I76" s="208" t="s">
        <v>89</v>
      </c>
      <c r="J76" s="218"/>
      <c r="K76" s="218"/>
      <c r="L76" s="218"/>
      <c r="M76" s="218"/>
      <c r="N76" s="209"/>
    </row>
    <row r="77" spans="1:15" x14ac:dyDescent="0.3">
      <c r="A77" s="25" t="s">
        <v>47</v>
      </c>
      <c r="B77" s="26"/>
      <c r="C77" s="26"/>
      <c r="D77" s="26"/>
      <c r="E77" s="26"/>
      <c r="F77" s="26"/>
      <c r="G77" s="26"/>
      <c r="H77" s="27"/>
      <c r="I77" s="25" t="s">
        <v>48</v>
      </c>
      <c r="J77" s="26"/>
      <c r="K77" s="26"/>
      <c r="L77" s="26"/>
      <c r="M77" s="26"/>
      <c r="N77" s="27"/>
    </row>
    <row r="78" spans="1:15" ht="16.2" thickBot="1" x14ac:dyDescent="0.35">
      <c r="A78" s="28"/>
      <c r="B78" s="29" t="s">
        <v>49</v>
      </c>
      <c r="C78" s="30" t="s">
        <v>90</v>
      </c>
      <c r="D78" s="30"/>
      <c r="E78" s="30"/>
      <c r="F78" s="30"/>
      <c r="G78" s="30"/>
      <c r="H78" s="31"/>
      <c r="I78" s="28"/>
      <c r="J78" s="32" t="s">
        <v>51</v>
      </c>
      <c r="K78" s="30" t="s">
        <v>91</v>
      </c>
      <c r="L78" s="30"/>
      <c r="M78" s="30"/>
      <c r="N78" s="31"/>
    </row>
    <row r="79" spans="1:15" ht="15.6" x14ac:dyDescent="0.3">
      <c r="A79" s="28"/>
      <c r="B79" s="29"/>
      <c r="C79" s="33"/>
      <c r="D79" s="30"/>
      <c r="E79" s="30"/>
      <c r="F79" s="30"/>
      <c r="G79" s="34" t="s">
        <v>54</v>
      </c>
      <c r="H79" s="35" t="s">
        <v>55</v>
      </c>
      <c r="I79" s="30"/>
      <c r="J79" s="32"/>
      <c r="K79" s="30"/>
      <c r="L79" s="30"/>
      <c r="M79" s="30"/>
      <c r="N79" s="31"/>
    </row>
    <row r="80" spans="1:15" x14ac:dyDescent="0.3">
      <c r="A80" s="28"/>
      <c r="B80" s="29" t="s">
        <v>53</v>
      </c>
      <c r="C80" s="36">
        <f>5.15*C45</f>
        <v>6.1866606666666837E-3</v>
      </c>
      <c r="D80" s="30"/>
      <c r="E80" s="30"/>
      <c r="F80" s="30"/>
      <c r="G80" s="37">
        <v>2</v>
      </c>
      <c r="H80" s="38">
        <v>0.88619999999999999</v>
      </c>
      <c r="I80" s="30"/>
      <c r="J80" s="32" t="s">
        <v>56</v>
      </c>
      <c r="K80" s="88">
        <f>100*(C80/C100)</f>
        <v>9.6666572916666844</v>
      </c>
      <c r="L80" s="33" t="s">
        <v>57</v>
      </c>
      <c r="M80" s="30"/>
      <c r="N80" s="31"/>
    </row>
    <row r="81" spans="1:14" ht="15" thickBot="1" x14ac:dyDescent="0.35">
      <c r="A81" s="28"/>
      <c r="B81" s="30"/>
      <c r="C81" s="30"/>
      <c r="D81" s="30"/>
      <c r="E81" s="30"/>
      <c r="F81" s="30"/>
      <c r="G81" s="40">
        <v>3</v>
      </c>
      <c r="H81" s="41">
        <v>0.59079999999999999</v>
      </c>
      <c r="I81" s="42"/>
      <c r="J81" s="42"/>
      <c r="K81" s="42"/>
      <c r="L81" s="42"/>
      <c r="M81" s="42"/>
      <c r="N81" s="43"/>
    </row>
    <row r="82" spans="1:14" x14ac:dyDescent="0.3">
      <c r="A82" s="25" t="s">
        <v>58</v>
      </c>
      <c r="B82" s="26"/>
      <c r="C82" s="26"/>
      <c r="D82" s="26"/>
      <c r="E82" s="26"/>
      <c r="F82" s="26"/>
      <c r="G82" s="30"/>
      <c r="H82" s="31"/>
      <c r="I82" s="25" t="s">
        <v>59</v>
      </c>
      <c r="J82" s="26"/>
      <c r="K82" s="26"/>
      <c r="L82" s="26"/>
      <c r="M82" s="26"/>
      <c r="N82" s="27"/>
    </row>
    <row r="83" spans="1:14" x14ac:dyDescent="0.3">
      <c r="A83" s="28"/>
      <c r="B83" s="29" t="s">
        <v>60</v>
      </c>
      <c r="C83" s="44" t="s">
        <v>92</v>
      </c>
      <c r="D83" s="30"/>
      <c r="E83" s="30"/>
      <c r="F83" s="30"/>
      <c r="G83" s="32"/>
      <c r="H83" s="45"/>
      <c r="I83" s="28"/>
      <c r="J83" s="32" t="s">
        <v>61</v>
      </c>
      <c r="K83" s="30" t="s">
        <v>93</v>
      </c>
      <c r="L83" s="30"/>
      <c r="M83" s="30"/>
      <c r="N83" s="31"/>
    </row>
    <row r="84" spans="1:14" ht="15" thickBot="1" x14ac:dyDescent="0.35">
      <c r="A84" s="28"/>
      <c r="B84" s="29"/>
      <c r="C84" s="33"/>
      <c r="D84" s="30"/>
      <c r="E84" s="30"/>
      <c r="F84" s="30"/>
      <c r="G84" s="32"/>
      <c r="H84" s="45"/>
      <c r="I84" s="28"/>
      <c r="J84" s="32"/>
      <c r="K84" s="30"/>
      <c r="L84" s="30"/>
      <c r="M84" s="30"/>
      <c r="N84" s="31"/>
    </row>
    <row r="85" spans="1:14" x14ac:dyDescent="0.3">
      <c r="A85" s="28"/>
      <c r="B85" s="29" t="s">
        <v>53</v>
      </c>
      <c r="C85" s="46">
        <f>5.15*C50</f>
        <v>1.5100740256413852E-3</v>
      </c>
      <c r="D85" s="30"/>
      <c r="E85" s="30"/>
      <c r="F85" s="34" t="s">
        <v>63</v>
      </c>
      <c r="G85" s="47">
        <v>2</v>
      </c>
      <c r="H85" s="35">
        <v>3</v>
      </c>
      <c r="I85" s="30"/>
      <c r="J85" s="32" t="s">
        <v>56</v>
      </c>
      <c r="K85" s="39">
        <f>100*(C85/C100)</f>
        <v>2.3594906650646621</v>
      </c>
      <c r="L85" s="33" t="s">
        <v>57</v>
      </c>
      <c r="M85" s="30"/>
      <c r="N85" s="31"/>
    </row>
    <row r="86" spans="1:14" ht="15" thickBot="1" x14ac:dyDescent="0.35">
      <c r="A86" s="28"/>
      <c r="B86" s="30"/>
      <c r="C86" s="30"/>
      <c r="D86" s="30"/>
      <c r="E86" s="30"/>
      <c r="F86" s="40" t="s">
        <v>64</v>
      </c>
      <c r="G86" s="48">
        <v>0.70709999999999995</v>
      </c>
      <c r="H86" s="41">
        <v>0.52310000000000001</v>
      </c>
      <c r="I86" s="42"/>
      <c r="J86" s="42"/>
      <c r="K86" s="42"/>
      <c r="L86" s="42"/>
      <c r="M86" s="42"/>
      <c r="N86" s="43"/>
    </row>
    <row r="87" spans="1:14" x14ac:dyDescent="0.3">
      <c r="A87" s="25" t="s">
        <v>65</v>
      </c>
      <c r="B87" s="26"/>
      <c r="C87" s="26"/>
      <c r="D87" s="26"/>
      <c r="E87" s="26"/>
      <c r="F87" s="30"/>
      <c r="G87" s="30"/>
      <c r="H87" s="31"/>
      <c r="I87" s="25" t="s">
        <v>66</v>
      </c>
      <c r="J87" s="26"/>
      <c r="K87" s="26"/>
      <c r="L87" s="26"/>
      <c r="M87" s="26"/>
      <c r="N87" s="27"/>
    </row>
    <row r="88" spans="1:14" x14ac:dyDescent="0.3">
      <c r="A88" s="28"/>
      <c r="B88" s="29" t="s">
        <v>67</v>
      </c>
      <c r="C88" s="30" t="s">
        <v>68</v>
      </c>
      <c r="D88" s="30"/>
      <c r="E88" s="30"/>
      <c r="F88" s="30"/>
      <c r="G88" s="30"/>
      <c r="H88" s="31"/>
      <c r="I88" s="28"/>
      <c r="J88" s="32" t="s">
        <v>69</v>
      </c>
      <c r="K88" s="30" t="s">
        <v>94</v>
      </c>
      <c r="L88" s="30"/>
      <c r="M88" s="30"/>
      <c r="N88" s="31"/>
    </row>
    <row r="89" spans="1:14" x14ac:dyDescent="0.3">
      <c r="A89" s="28"/>
      <c r="B89" s="29"/>
      <c r="C89" s="30"/>
      <c r="D89" s="30"/>
      <c r="E89" s="30"/>
      <c r="F89" s="30"/>
      <c r="G89" s="30"/>
      <c r="H89" s="31"/>
      <c r="I89" s="28"/>
      <c r="J89" s="32"/>
      <c r="K89" s="30"/>
      <c r="L89" s="30"/>
      <c r="M89" s="30"/>
      <c r="N89" s="31"/>
    </row>
    <row r="90" spans="1:14" x14ac:dyDescent="0.3">
      <c r="A90" s="28"/>
      <c r="B90" s="29" t="s">
        <v>71</v>
      </c>
      <c r="C90" s="36">
        <f>SQRT((C80^2)+(C85^2))</f>
        <v>6.3682881347656871E-3</v>
      </c>
      <c r="D90" s="30"/>
      <c r="E90" s="30"/>
      <c r="F90" s="30"/>
      <c r="G90" s="30"/>
      <c r="H90" s="31"/>
      <c r="I90" s="28"/>
      <c r="J90" s="32" t="s">
        <v>56</v>
      </c>
      <c r="K90" s="39">
        <f>100*(C90/C100)</f>
        <v>9.9504502105713772</v>
      </c>
      <c r="L90" s="33" t="s">
        <v>57</v>
      </c>
      <c r="M90" s="30"/>
      <c r="N90" s="31"/>
    </row>
    <row r="91" spans="1:14" ht="15" thickBot="1" x14ac:dyDescent="0.35">
      <c r="A91" s="49"/>
      <c r="B91" s="42"/>
      <c r="C91" s="42"/>
      <c r="D91" s="42"/>
      <c r="E91" s="42"/>
      <c r="F91" s="42"/>
      <c r="G91" s="30"/>
      <c r="H91" s="31"/>
      <c r="I91" s="49"/>
      <c r="J91" s="42"/>
      <c r="K91" s="42"/>
      <c r="L91" s="42"/>
      <c r="M91" s="42"/>
      <c r="N91" s="43"/>
    </row>
    <row r="92" spans="1:14" ht="15.6" x14ac:dyDescent="0.3">
      <c r="A92" s="25" t="s">
        <v>72</v>
      </c>
      <c r="B92" s="26"/>
      <c r="C92" s="26"/>
      <c r="D92" s="26"/>
      <c r="E92" s="26"/>
      <c r="F92" s="26"/>
      <c r="G92" s="34" t="s">
        <v>73</v>
      </c>
      <c r="H92" s="35" t="s">
        <v>74</v>
      </c>
      <c r="I92" s="26" t="s">
        <v>75</v>
      </c>
      <c r="J92" s="26"/>
      <c r="K92" s="26"/>
      <c r="L92" s="26"/>
      <c r="M92" s="26"/>
      <c r="N92" s="27"/>
    </row>
    <row r="93" spans="1:14" ht="15.6" x14ac:dyDescent="0.3">
      <c r="A93" s="28"/>
      <c r="B93" s="29" t="s">
        <v>76</v>
      </c>
      <c r="C93" s="30" t="s">
        <v>95</v>
      </c>
      <c r="D93" s="30"/>
      <c r="E93" s="30"/>
      <c r="F93" s="30"/>
      <c r="G93" s="37">
        <v>2</v>
      </c>
      <c r="H93" s="38">
        <v>0.70709999999999995</v>
      </c>
      <c r="I93" s="30"/>
      <c r="J93" s="32" t="s">
        <v>78</v>
      </c>
      <c r="K93" s="30" t="s">
        <v>96</v>
      </c>
      <c r="L93" s="30"/>
      <c r="M93" s="30"/>
      <c r="N93" s="31"/>
    </row>
    <row r="94" spans="1:14" x14ac:dyDescent="0.3">
      <c r="A94" s="28"/>
      <c r="B94" s="29"/>
      <c r="C94" s="33"/>
      <c r="D94" s="30"/>
      <c r="E94" s="30"/>
      <c r="F94" s="30"/>
      <c r="G94" s="37">
        <v>3</v>
      </c>
      <c r="H94" s="38">
        <v>0.52310000000000001</v>
      </c>
      <c r="I94" s="30"/>
      <c r="J94" s="32"/>
      <c r="K94" s="30"/>
      <c r="L94" s="30"/>
      <c r="M94" s="30"/>
      <c r="N94" s="31"/>
    </row>
    <row r="95" spans="1:14" x14ac:dyDescent="0.3">
      <c r="A95" s="28"/>
      <c r="B95" s="29" t="s">
        <v>53</v>
      </c>
      <c r="C95" s="33">
        <f>5.15*C60</f>
        <v>9.7211399999996492E-3</v>
      </c>
      <c r="D95" s="30"/>
      <c r="E95" s="30"/>
      <c r="F95" s="30"/>
      <c r="G95" s="37">
        <v>4</v>
      </c>
      <c r="H95" s="38">
        <v>0.44669999999999999</v>
      </c>
      <c r="I95" s="30"/>
      <c r="J95" s="32" t="s">
        <v>80</v>
      </c>
      <c r="K95" s="39">
        <f>100*(C95/C100)</f>
        <v>15.189281249999439</v>
      </c>
      <c r="L95" s="33" t="s">
        <v>57</v>
      </c>
      <c r="M95" s="30"/>
      <c r="N95" s="31"/>
    </row>
    <row r="96" spans="1:14" x14ac:dyDescent="0.3">
      <c r="A96" s="49"/>
      <c r="B96" s="30"/>
      <c r="C96" s="30"/>
      <c r="D96" s="30"/>
      <c r="E96" s="30"/>
      <c r="F96" s="30"/>
      <c r="G96" s="37">
        <v>5</v>
      </c>
      <c r="H96" s="38">
        <v>0.40300000000000002</v>
      </c>
      <c r="I96" s="42"/>
      <c r="J96" s="42"/>
      <c r="K96" s="42"/>
      <c r="L96" s="42"/>
      <c r="M96" s="42"/>
      <c r="N96" s="43"/>
    </row>
    <row r="97" spans="1:14" x14ac:dyDescent="0.3">
      <c r="A97" s="25" t="s">
        <v>97</v>
      </c>
      <c r="B97" s="26"/>
      <c r="C97" s="26"/>
      <c r="D97" s="26"/>
      <c r="E97" s="26"/>
      <c r="F97" s="26"/>
      <c r="G97" s="37">
        <v>6</v>
      </c>
      <c r="H97" s="38">
        <v>0.37419999999999998</v>
      </c>
      <c r="I97" s="26" t="s">
        <v>84</v>
      </c>
      <c r="J97" s="26"/>
      <c r="K97" s="26"/>
      <c r="L97" s="26"/>
      <c r="M97" s="26"/>
      <c r="N97" s="27"/>
    </row>
    <row r="98" spans="1:14" x14ac:dyDescent="0.3">
      <c r="A98" s="90" t="s">
        <v>138</v>
      </c>
      <c r="B98" s="29" t="s">
        <v>82</v>
      </c>
      <c r="C98" s="30" t="s">
        <v>98</v>
      </c>
      <c r="D98" s="30"/>
      <c r="E98" s="30"/>
      <c r="F98" s="30"/>
      <c r="G98" s="37">
        <v>7</v>
      </c>
      <c r="H98" s="38">
        <v>0.35339999999999999</v>
      </c>
      <c r="I98" s="30"/>
      <c r="J98" s="32" t="s">
        <v>85</v>
      </c>
      <c r="K98" s="30" t="s">
        <v>86</v>
      </c>
      <c r="L98" s="30"/>
      <c r="M98" s="30"/>
      <c r="N98" s="31"/>
    </row>
    <row r="99" spans="1:14" x14ac:dyDescent="0.3">
      <c r="A99" s="28"/>
      <c r="B99" s="29"/>
      <c r="C99" s="30"/>
      <c r="D99" s="30"/>
      <c r="E99" s="30"/>
      <c r="F99" s="30"/>
      <c r="G99" s="37">
        <v>8</v>
      </c>
      <c r="H99" s="38">
        <v>0.33750000000000002</v>
      </c>
      <c r="I99" s="30"/>
      <c r="J99" s="32"/>
      <c r="K99" s="30"/>
      <c r="L99" s="30"/>
      <c r="M99" s="30"/>
      <c r="N99" s="31"/>
    </row>
    <row r="100" spans="1:14" x14ac:dyDescent="0.3">
      <c r="A100" s="28"/>
      <c r="B100" s="29" t="s">
        <v>53</v>
      </c>
      <c r="C100" s="33">
        <f>C74</f>
        <v>6.4000000000000057E-2</v>
      </c>
      <c r="D100" s="30"/>
      <c r="E100" s="30"/>
      <c r="F100" s="30"/>
      <c r="G100" s="37">
        <v>9</v>
      </c>
      <c r="H100" s="38">
        <v>0.32490000000000002</v>
      </c>
      <c r="I100" s="30"/>
      <c r="J100" s="32" t="s">
        <v>80</v>
      </c>
      <c r="K100" s="39">
        <f>1.41*(C95/C90)</f>
        <v>2.1523535226321582</v>
      </c>
      <c r="L100" s="33" t="s">
        <v>87</v>
      </c>
      <c r="M100" s="30"/>
      <c r="N100" s="89">
        <f>ROUND(K100,0)</f>
        <v>2</v>
      </c>
    </row>
    <row r="101" spans="1:14" x14ac:dyDescent="0.3">
      <c r="A101" s="49"/>
      <c r="B101" s="42"/>
      <c r="C101" s="42"/>
      <c r="D101" s="42"/>
      <c r="E101" s="42"/>
      <c r="F101" s="42"/>
      <c r="G101" s="37">
        <v>10</v>
      </c>
      <c r="H101" s="38">
        <v>0.31459999999999999</v>
      </c>
      <c r="I101" s="42"/>
      <c r="J101" s="42"/>
      <c r="K101" s="42"/>
      <c r="L101" s="42"/>
      <c r="M101" s="42"/>
      <c r="N101" s="43"/>
    </row>
    <row r="102" spans="1:14" hidden="1" x14ac:dyDescent="0.3"/>
    <row r="103" spans="1:14" hidden="1" x14ac:dyDescent="0.3"/>
    <row r="104" spans="1:14" hidden="1" x14ac:dyDescent="0.3"/>
    <row r="105" spans="1:14" hidden="1" x14ac:dyDescent="0.3"/>
    <row r="106" spans="1:14" hidden="1" x14ac:dyDescent="0.3"/>
    <row r="107" spans="1:14" hidden="1" x14ac:dyDescent="0.3"/>
    <row r="108" spans="1:14" hidden="1" x14ac:dyDescent="0.3"/>
    <row r="109" spans="1:14" hidden="1" x14ac:dyDescent="0.3"/>
    <row r="110" spans="1:14" hidden="1" x14ac:dyDescent="0.3"/>
    <row r="111" spans="1:14" hidden="1" x14ac:dyDescent="0.3"/>
    <row r="112" spans="1:14" hidden="1" x14ac:dyDescent="0.3"/>
    <row r="113" hidden="1" x14ac:dyDescent="0.3"/>
    <row r="114" hidden="1" x14ac:dyDescent="0.3"/>
    <row r="115" hidden="1" x14ac:dyDescent="0.3"/>
    <row r="116" hidden="1" x14ac:dyDescent="0.3"/>
    <row r="117" hidden="1" x14ac:dyDescent="0.3"/>
    <row r="118" hidden="1" x14ac:dyDescent="0.3"/>
    <row r="119" hidden="1" x14ac:dyDescent="0.3"/>
    <row r="120" hidden="1" x14ac:dyDescent="0.3"/>
    <row r="121" hidden="1" x14ac:dyDescent="0.3"/>
    <row r="122" hidden="1" x14ac:dyDescent="0.3"/>
    <row r="123" hidden="1" x14ac:dyDescent="0.3"/>
    <row r="124" hidden="1" x14ac:dyDescent="0.3"/>
    <row r="125" hidden="1" x14ac:dyDescent="0.3"/>
    <row r="126" hidden="1" x14ac:dyDescent="0.3"/>
    <row r="127" hidden="1" x14ac:dyDescent="0.3"/>
    <row r="128" hidden="1" x14ac:dyDescent="0.3"/>
    <row r="129" hidden="1" x14ac:dyDescent="0.3"/>
    <row r="130" hidden="1" x14ac:dyDescent="0.3"/>
    <row r="131" hidden="1" x14ac:dyDescent="0.3"/>
    <row r="132" hidden="1" x14ac:dyDescent="0.3"/>
    <row r="133" hidden="1" x14ac:dyDescent="0.3"/>
    <row r="134" hidden="1" x14ac:dyDescent="0.3"/>
    <row r="135" hidden="1" x14ac:dyDescent="0.3"/>
    <row r="136" hidden="1" x14ac:dyDescent="0.3"/>
  </sheetData>
  <mergeCells count="60">
    <mergeCell ref="A76:H76"/>
    <mergeCell ref="I76:N76"/>
    <mergeCell ref="C35:E35"/>
    <mergeCell ref="H35:J35"/>
    <mergeCell ref="A41:H41"/>
    <mergeCell ref="I41:N41"/>
    <mergeCell ref="A67:N67"/>
    <mergeCell ref="C68:E68"/>
    <mergeCell ref="H68:J68"/>
    <mergeCell ref="M68:N68"/>
    <mergeCell ref="C69:E69"/>
    <mergeCell ref="H69:J69"/>
    <mergeCell ref="M69:N69"/>
    <mergeCell ref="C70:E70"/>
    <mergeCell ref="H70:J70"/>
    <mergeCell ref="C33:E33"/>
    <mergeCell ref="H33:J33"/>
    <mergeCell ref="M33:N33"/>
    <mergeCell ref="C34:E34"/>
    <mergeCell ref="H34:J34"/>
    <mergeCell ref="M34:N34"/>
    <mergeCell ref="A32:N32"/>
    <mergeCell ref="A27:B28"/>
    <mergeCell ref="C27:C28"/>
    <mergeCell ref="D27:D28"/>
    <mergeCell ref="E27:E28"/>
    <mergeCell ref="F27:F28"/>
    <mergeCell ref="G27:G28"/>
    <mergeCell ref="H27:H28"/>
    <mergeCell ref="I27:I28"/>
    <mergeCell ref="J27:J28"/>
    <mergeCell ref="K27:K28"/>
    <mergeCell ref="L27:L28"/>
    <mergeCell ref="M24:N24"/>
    <mergeCell ref="A10:B11"/>
    <mergeCell ref="C10:L10"/>
    <mergeCell ref="M10:N11"/>
    <mergeCell ref="M12:N12"/>
    <mergeCell ref="M13:N13"/>
    <mergeCell ref="M14:N14"/>
    <mergeCell ref="M17:N17"/>
    <mergeCell ref="M18:N18"/>
    <mergeCell ref="M19:N19"/>
    <mergeCell ref="M22:N22"/>
    <mergeCell ref="M23:N23"/>
    <mergeCell ref="A8:B8"/>
    <mergeCell ref="A1:N1"/>
    <mergeCell ref="A2:B2"/>
    <mergeCell ref="C2:E2"/>
    <mergeCell ref="H2:J2"/>
    <mergeCell ref="M2:N2"/>
    <mergeCell ref="A3:B3"/>
    <mergeCell ref="C3:E3"/>
    <mergeCell ref="H3:J3"/>
    <mergeCell ref="M3:N3"/>
    <mergeCell ref="A4:B4"/>
    <mergeCell ref="C4:E4"/>
    <mergeCell ref="H4:J4"/>
    <mergeCell ref="A6:B6"/>
    <mergeCell ref="A7:B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81"/>
  <sheetViews>
    <sheetView zoomScale="80" zoomScaleNormal="80" workbookViewId="0">
      <selection activeCell="I2" sqref="I2"/>
    </sheetView>
  </sheetViews>
  <sheetFormatPr defaultColWidth="0" defaultRowHeight="13.2" customHeight="1" zeroHeight="1" x14ac:dyDescent="0.3"/>
  <cols>
    <col min="1" max="18" width="11" style="54" customWidth="1"/>
    <col min="19" max="19" width="9.88671875" style="78" hidden="1" customWidth="1"/>
    <col min="20" max="20" width="13.44140625" style="78" hidden="1" customWidth="1"/>
    <col min="21" max="21" width="13.33203125" style="78" hidden="1" customWidth="1"/>
    <col min="22" max="22" width="11.109375" style="78" hidden="1" customWidth="1"/>
    <col min="23" max="23" width="6.6640625" style="78" hidden="1" customWidth="1"/>
    <col min="24" max="24" width="9.109375" style="171" hidden="1" customWidth="1"/>
    <col min="25" max="25" width="9.109375" style="78" hidden="1" customWidth="1"/>
    <col min="26" max="26" width="13.44140625" style="78" hidden="1" customWidth="1"/>
    <col min="27" max="30" width="13.33203125" style="78" hidden="1" customWidth="1"/>
    <col min="31" max="31" width="12" style="78" hidden="1" customWidth="1"/>
    <col min="32" max="16384" width="9.109375" style="78" hidden="1"/>
  </cols>
  <sheetData>
    <row r="1" spans="1:64" ht="15.6" x14ac:dyDescent="0.3">
      <c r="A1" s="190" t="s">
        <v>203</v>
      </c>
      <c r="B1" s="219" t="s">
        <v>204</v>
      </c>
      <c r="C1" s="219"/>
      <c r="D1" s="219"/>
      <c r="E1" s="219"/>
      <c r="F1" s="219"/>
      <c r="G1" s="219"/>
      <c r="H1" s="219"/>
    </row>
    <row r="2" spans="1:64" ht="13.2" customHeight="1" x14ac:dyDescent="0.3"/>
    <row r="3" spans="1:64" s="91" customFormat="1" ht="15.6" x14ac:dyDescent="0.3">
      <c r="A3" s="50" t="s">
        <v>99</v>
      </c>
      <c r="B3" s="51"/>
      <c r="C3" s="52"/>
      <c r="D3" s="52"/>
      <c r="E3" s="52"/>
      <c r="F3" s="52"/>
      <c r="G3" s="52"/>
      <c r="H3" s="53"/>
      <c r="I3" s="53"/>
      <c r="J3" s="53"/>
      <c r="K3" s="53"/>
      <c r="L3" s="51"/>
      <c r="M3" s="51"/>
      <c r="N3" s="155" t="s">
        <v>196</v>
      </c>
      <c r="O3" s="156" t="s">
        <v>197</v>
      </c>
      <c r="P3" s="156" t="s">
        <v>198</v>
      </c>
      <c r="Q3" s="156" t="s">
        <v>199</v>
      </c>
      <c r="R3" s="53"/>
      <c r="X3" s="170"/>
      <c r="AE3" s="94"/>
    </row>
    <row r="4" spans="1:64" s="91" customFormat="1" ht="15.6" x14ac:dyDescent="0.3">
      <c r="A4" s="53"/>
      <c r="B4" s="220" t="s">
        <v>1</v>
      </c>
      <c r="C4" s="220"/>
      <c r="D4" s="221" t="str">
        <f>IF('Data Sheet'!C2="","",'Data Sheet'!C2)</f>
        <v/>
      </c>
      <c r="E4" s="222"/>
      <c r="F4" s="223"/>
      <c r="G4" s="51"/>
      <c r="H4" s="52" t="s">
        <v>36</v>
      </c>
      <c r="I4" s="52"/>
      <c r="J4" s="221" t="str">
        <f>IF('Data Sheet'!H2="","",'Data Sheet'!H2)</f>
        <v/>
      </c>
      <c r="K4" s="222"/>
      <c r="L4" s="223"/>
      <c r="M4" s="51"/>
      <c r="N4" s="220" t="s">
        <v>100</v>
      </c>
      <c r="O4" s="220"/>
      <c r="P4" s="228">
        <f>'Data Sheet'!C6</f>
        <v>1.3320000000000001</v>
      </c>
      <c r="Q4" s="228"/>
      <c r="R4" s="53"/>
      <c r="X4" s="170"/>
      <c r="AE4" s="94"/>
    </row>
    <row r="5" spans="1:64" s="91" customFormat="1" ht="15.6" x14ac:dyDescent="0.3">
      <c r="A5" s="53"/>
      <c r="B5" s="220" t="s">
        <v>2</v>
      </c>
      <c r="C5" s="220"/>
      <c r="D5" s="221" t="str">
        <f>IF('Data Sheet'!C3="","",'Data Sheet'!C3)</f>
        <v/>
      </c>
      <c r="E5" s="222"/>
      <c r="F5" s="223"/>
      <c r="G5" s="51"/>
      <c r="H5" s="52" t="s">
        <v>38</v>
      </c>
      <c r="I5" s="52"/>
      <c r="J5" s="224" t="str">
        <f>IF('Data Sheet'!H3="","",'Data Sheet'!H3)</f>
        <v/>
      </c>
      <c r="K5" s="225"/>
      <c r="L5" s="226"/>
      <c r="M5" s="51"/>
      <c r="N5" s="220" t="s">
        <v>101</v>
      </c>
      <c r="O5" s="220"/>
      <c r="P5" s="227">
        <f>'Data Sheet'!C7</f>
        <v>1.268</v>
      </c>
      <c r="Q5" s="227"/>
      <c r="R5" s="53"/>
      <c r="X5" s="170"/>
      <c r="AE5" s="94"/>
    </row>
    <row r="6" spans="1:64" s="91" customFormat="1" ht="15.6" x14ac:dyDescent="0.3">
      <c r="A6" s="53"/>
      <c r="B6" s="220" t="s">
        <v>3</v>
      </c>
      <c r="C6" s="220"/>
      <c r="D6" s="221" t="str">
        <f>IF('Data Sheet'!C4="","",'Data Sheet'!C4)</f>
        <v/>
      </c>
      <c r="E6" s="222"/>
      <c r="F6" s="223"/>
      <c r="G6" s="51"/>
      <c r="H6" s="52" t="s">
        <v>40</v>
      </c>
      <c r="I6" s="52"/>
      <c r="J6" s="221" t="str">
        <f>IF('Data Sheet'!H4="","",'Data Sheet'!H4)</f>
        <v/>
      </c>
      <c r="K6" s="222"/>
      <c r="L6" s="223"/>
      <c r="M6" s="53"/>
      <c r="N6" s="220" t="s">
        <v>102</v>
      </c>
      <c r="O6" s="220"/>
      <c r="P6" s="228">
        <f>'Data Sheet'!C8</f>
        <v>6.4000000000000057E-2</v>
      </c>
      <c r="Q6" s="228"/>
      <c r="R6" s="53"/>
      <c r="X6" s="170"/>
    </row>
    <row r="7" spans="1:64" ht="14.4" x14ac:dyDescent="0.3">
      <c r="B7" s="55"/>
      <c r="T7" s="229" t="s">
        <v>139</v>
      </c>
      <c r="U7" s="229"/>
      <c r="V7" s="229"/>
      <c r="W7" s="229"/>
      <c r="X7" s="229"/>
      <c r="Z7" s="229" t="s">
        <v>140</v>
      </c>
      <c r="AA7" s="229"/>
      <c r="AB7" s="229"/>
      <c r="AC7" s="229"/>
      <c r="AD7" s="229"/>
      <c r="AE7" s="229"/>
      <c r="AG7" s="230" t="s">
        <v>145</v>
      </c>
      <c r="AH7" s="231"/>
      <c r="AI7" s="231"/>
      <c r="AJ7" s="231"/>
      <c r="AK7" s="231"/>
      <c r="AL7" s="231"/>
      <c r="AM7" s="231"/>
      <c r="AN7" s="231"/>
      <c r="AO7" s="231"/>
      <c r="AP7" s="231"/>
      <c r="AQ7" s="231"/>
      <c r="AR7" s="231"/>
      <c r="AS7" s="231"/>
      <c r="AT7" s="231"/>
      <c r="AU7" s="231"/>
      <c r="AV7" s="231"/>
      <c r="AW7" s="231"/>
      <c r="AX7" s="231"/>
      <c r="AY7" s="231"/>
      <c r="AZ7" s="231"/>
      <c r="BA7" s="231"/>
      <c r="BB7" s="231"/>
      <c r="BC7" s="231"/>
      <c r="BD7" s="231"/>
      <c r="BE7" s="231"/>
      <c r="BF7" s="231"/>
      <c r="BG7" s="231"/>
      <c r="BH7" s="231"/>
      <c r="BI7" s="231"/>
      <c r="BJ7" s="231"/>
      <c r="BK7" s="231"/>
      <c r="BL7" s="232"/>
    </row>
    <row r="8" spans="1:64" ht="14.4" x14ac:dyDescent="0.3">
      <c r="A8" s="55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T8" s="92" t="s">
        <v>18</v>
      </c>
      <c r="U8" s="92" t="s">
        <v>141</v>
      </c>
      <c r="V8" s="92" t="s">
        <v>19</v>
      </c>
      <c r="W8" s="92" t="s">
        <v>200</v>
      </c>
      <c r="X8" s="150" t="s">
        <v>113</v>
      </c>
      <c r="Z8" s="92" t="s">
        <v>18</v>
      </c>
      <c r="AA8" s="92" t="s">
        <v>142</v>
      </c>
      <c r="AB8" s="92" t="s">
        <v>143</v>
      </c>
      <c r="AC8" s="92" t="s">
        <v>19</v>
      </c>
      <c r="AD8" s="92" t="s">
        <v>200</v>
      </c>
      <c r="AE8" s="92" t="s">
        <v>113</v>
      </c>
      <c r="AG8" s="100" t="s">
        <v>113</v>
      </c>
      <c r="AH8" s="99">
        <v>1</v>
      </c>
      <c r="AI8" s="105">
        <v>2</v>
      </c>
      <c r="AJ8" s="105">
        <v>3</v>
      </c>
      <c r="AK8" s="105">
        <v>4</v>
      </c>
      <c r="AL8" s="105">
        <v>5</v>
      </c>
      <c r="AM8" s="105">
        <v>6</v>
      </c>
      <c r="AN8" s="105">
        <v>7</v>
      </c>
      <c r="AO8" s="105">
        <v>8</v>
      </c>
      <c r="AP8" s="105">
        <v>9</v>
      </c>
      <c r="AQ8" s="105">
        <v>10</v>
      </c>
      <c r="AR8" s="105">
        <v>11</v>
      </c>
      <c r="AS8" s="105">
        <v>12</v>
      </c>
      <c r="AT8" s="105">
        <v>13</v>
      </c>
      <c r="AU8" s="105">
        <v>14</v>
      </c>
      <c r="AV8" s="105">
        <v>15</v>
      </c>
      <c r="AW8" s="105">
        <v>16</v>
      </c>
      <c r="AX8" s="105">
        <v>17</v>
      </c>
      <c r="AY8" s="105">
        <v>18</v>
      </c>
      <c r="AZ8" s="105">
        <v>19</v>
      </c>
      <c r="BA8" s="105">
        <v>20</v>
      </c>
      <c r="BB8" s="105">
        <v>21</v>
      </c>
      <c r="BC8" s="105">
        <v>22</v>
      </c>
      <c r="BD8" s="105">
        <v>23</v>
      </c>
      <c r="BE8" s="105">
        <v>24</v>
      </c>
      <c r="BF8" s="105">
        <v>25</v>
      </c>
      <c r="BG8" s="105">
        <v>26</v>
      </c>
      <c r="BH8" s="105">
        <v>27</v>
      </c>
      <c r="BI8" s="105">
        <v>28</v>
      </c>
      <c r="BJ8" s="105">
        <v>29</v>
      </c>
      <c r="BK8" s="105">
        <v>30</v>
      </c>
      <c r="BL8" s="106" t="s">
        <v>144</v>
      </c>
    </row>
    <row r="9" spans="1:64" ht="14.4" x14ac:dyDescent="0.3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T9" s="78">
        <v>1</v>
      </c>
      <c r="U9" s="78">
        <f>'Data Sheet'!N31</f>
        <v>5.2338000000000141E-3</v>
      </c>
      <c r="V9" s="78">
        <f>'Data Sheet'!N29</f>
        <v>2.0333333333333388E-3</v>
      </c>
      <c r="W9" s="78">
        <f>'Data Sheet'!$C16</f>
        <v>9.9999999999988987E-4</v>
      </c>
      <c r="X9" s="171" t="str">
        <f>IF(W9="","",'Data Sheet'!$A$12)</f>
        <v>A</v>
      </c>
      <c r="Z9" s="78">
        <v>1</v>
      </c>
      <c r="AA9" s="78">
        <f>'Data Sheet'!N27+(3*('Data Sheet'!N29/IF('Data Sheet'!F6=2,1.128,IF('Data Sheet'!F6=3,1.693,""))))</f>
        <v>1.3064697381374286</v>
      </c>
      <c r="AB9" s="78">
        <f>'Data Sheet'!N27-(3*('Data Sheet'!N29/IF('Data Sheet'!F6=2,1.128,IF('Data Sheet'!F6=3,1.693,""))))</f>
        <v>1.2992635951959046</v>
      </c>
      <c r="AC9" s="78">
        <f>'Data Sheet'!N27</f>
        <v>1.3028666666666666</v>
      </c>
      <c r="AD9" s="78">
        <f>'Data Sheet'!C15</f>
        <v>1.3003333333333333</v>
      </c>
      <c r="AE9" s="171" t="str">
        <f>IF(AD9="","",'Data Sheet'!$A$12)</f>
        <v>A</v>
      </c>
      <c r="AG9" s="104" t="str">
        <f>'Data Sheet'!A12</f>
        <v>A</v>
      </c>
      <c r="AH9" s="77">
        <f>SMALL('Data Sheet'!C$12:L$14,AH8)</f>
        <v>1.2969999999999999</v>
      </c>
      <c r="AI9" s="77">
        <f>SMALL('Data Sheet'!C$12:L$14,AI8)</f>
        <v>1.2989999999999999</v>
      </c>
      <c r="AJ9" s="77">
        <f>SMALL('Data Sheet'!C$12:L$14,AJ8)</f>
        <v>1.3</v>
      </c>
      <c r="AK9" s="77">
        <f>SMALL('Data Sheet'!C$12:L$14,AK8)</f>
        <v>1.3</v>
      </c>
      <c r="AL9" s="77">
        <f>SMALL('Data Sheet'!C$12:L$14,AL8)</f>
        <v>1.3</v>
      </c>
      <c r="AM9" s="77">
        <f>SMALL('Data Sheet'!C$12:L$14,AM8)</f>
        <v>1.3</v>
      </c>
      <c r="AN9" s="77">
        <f>SMALL('Data Sheet'!C$12:L$14,AN8)</f>
        <v>1.3</v>
      </c>
      <c r="AO9" s="77">
        <f>SMALL('Data Sheet'!C$12:L$14,AO8)</f>
        <v>1.3</v>
      </c>
      <c r="AP9" s="77">
        <f>SMALL('Data Sheet'!C$12:L$14,AP8)</f>
        <v>1.3</v>
      </c>
      <c r="AQ9" s="77">
        <f>SMALL('Data Sheet'!C$12:L$14,AQ8)</f>
        <v>1.3</v>
      </c>
      <c r="AR9" s="77">
        <f>SMALL('Data Sheet'!C$12:L$14,AR8)</f>
        <v>1.3</v>
      </c>
      <c r="AS9" s="77">
        <f>SMALL('Data Sheet'!C$12:L$14,AS8)</f>
        <v>1.3</v>
      </c>
      <c r="AT9" s="77">
        <f>SMALL('Data Sheet'!C$12:L$14,AT8)</f>
        <v>1.3009999999999999</v>
      </c>
      <c r="AU9" s="77">
        <f>SMALL('Data Sheet'!C$12:L$14,AU8)</f>
        <v>1.3009999999999999</v>
      </c>
      <c r="AV9" s="77">
        <f>SMALL('Data Sheet'!C$12:L$14,AV8)</f>
        <v>1.302</v>
      </c>
      <c r="AW9" s="77">
        <f>SMALL('Data Sheet'!C$12:L$14,AW8)</f>
        <v>1.3029999999999999</v>
      </c>
      <c r="AX9" s="77">
        <f>SMALL('Data Sheet'!C$12:L$14,AX8)</f>
        <v>1.3029999999999999</v>
      </c>
      <c r="AY9" s="77">
        <f>SMALL('Data Sheet'!C$12:L$14,AY8)</f>
        <v>1.3049999999999999</v>
      </c>
      <c r="AZ9" s="77">
        <f>SMALL('Data Sheet'!C$12:L$14,AZ8)</f>
        <v>1.3049999999999999</v>
      </c>
      <c r="BA9" s="77">
        <f>SMALL('Data Sheet'!C$12:L$14,BA8)</f>
        <v>1.3049999999999999</v>
      </c>
      <c r="BB9" s="77">
        <f>SMALL('Data Sheet'!C$12:L$14,BB8)</f>
        <v>1.3049999999999999</v>
      </c>
      <c r="BC9" s="77">
        <f>SMALL('Data Sheet'!C$12:L$14,BC8)</f>
        <v>1.3049999999999999</v>
      </c>
      <c r="BD9" s="77">
        <f>SMALL('Data Sheet'!C$12:L$14,BD8)</f>
        <v>1.306</v>
      </c>
      <c r="BE9" s="77">
        <f>SMALL('Data Sheet'!C$12:L$14,BE8)</f>
        <v>1.306</v>
      </c>
      <c r="BF9" s="77">
        <f>SMALL('Data Sheet'!C$12:L$14,BF8)</f>
        <v>1.306</v>
      </c>
      <c r="BG9" s="77">
        <f>SMALL('Data Sheet'!C$12:L$14,BG8)</f>
        <v>1.306</v>
      </c>
      <c r="BH9" s="77">
        <f>SMALL('Data Sheet'!C$12:L$14,BH8)</f>
        <v>1.306</v>
      </c>
      <c r="BI9" s="77">
        <f>SMALL('Data Sheet'!C$12:L$14,BI8)</f>
        <v>1.306</v>
      </c>
      <c r="BJ9" s="77">
        <f>SMALL('Data Sheet'!C$12:L$14,BJ8)</f>
        <v>1.306</v>
      </c>
      <c r="BK9" s="77">
        <f>SMALL('Data Sheet'!C$12:L$14,BK8)</f>
        <v>1.306</v>
      </c>
      <c r="BL9" s="101">
        <f>'Data Sheet'!N15</f>
        <v>1.3026333333333333</v>
      </c>
    </row>
    <row r="10" spans="1:64" ht="14.4" x14ac:dyDescent="0.3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T10" s="78">
        <v>2</v>
      </c>
      <c r="U10" s="78">
        <f>U9</f>
        <v>5.2338000000000141E-3</v>
      </c>
      <c r="V10" s="78">
        <f>V9</f>
        <v>2.0333333333333388E-3</v>
      </c>
      <c r="W10" s="78">
        <f>'Data Sheet'!D16</f>
        <v>9.9999999999988987E-4</v>
      </c>
      <c r="X10" s="171" t="str">
        <f>IF(W10="","",'Data Sheet'!$A$12)</f>
        <v>A</v>
      </c>
      <c r="Z10" s="78">
        <v>2</v>
      </c>
      <c r="AA10" s="78">
        <f>AA9</f>
        <v>1.3064697381374286</v>
      </c>
      <c r="AB10" s="78">
        <f>AB9</f>
        <v>1.2992635951959046</v>
      </c>
      <c r="AC10" s="78">
        <f>AC9</f>
        <v>1.3028666666666666</v>
      </c>
      <c r="AD10" s="78">
        <f>'Data Sheet'!D15</f>
        <v>1.3026666666666666</v>
      </c>
      <c r="AE10" s="171" t="str">
        <f>IF(AD10="","",'Data Sheet'!$A$12)</f>
        <v>A</v>
      </c>
      <c r="AG10" s="104" t="str">
        <f>'Data Sheet'!A17</f>
        <v>B</v>
      </c>
      <c r="AH10" s="77">
        <f>SMALL('Data Sheet'!C$17:L$19,AH8)</f>
        <v>1.2969999999999999</v>
      </c>
      <c r="AI10" s="77">
        <f>SMALL('Data Sheet'!C$17:L$19,AI8)</f>
        <v>1.2989999999999999</v>
      </c>
      <c r="AJ10" s="77">
        <f>SMALL('Data Sheet'!C$17:L$19,AJ8)</f>
        <v>1.3</v>
      </c>
      <c r="AK10" s="77">
        <f>SMALL('Data Sheet'!C$17:L$19,AK8)</f>
        <v>1.3</v>
      </c>
      <c r="AL10" s="77">
        <f>SMALL('Data Sheet'!C$17:L$19,AL8)</f>
        <v>1.3</v>
      </c>
      <c r="AM10" s="77">
        <f>SMALL('Data Sheet'!C$17:L$19,AM8)</f>
        <v>1.3</v>
      </c>
      <c r="AN10" s="77">
        <f>SMALL('Data Sheet'!C$17:L$19,AN8)</f>
        <v>1.3</v>
      </c>
      <c r="AO10" s="77">
        <f>SMALL('Data Sheet'!C$17:L$19,AO8)</f>
        <v>1.3</v>
      </c>
      <c r="AP10" s="77">
        <f>SMALL('Data Sheet'!C$17:L$19,AP8)</f>
        <v>1.3</v>
      </c>
      <c r="AQ10" s="77">
        <f>SMALL('Data Sheet'!C$17:L$19,AQ8)</f>
        <v>1.3</v>
      </c>
      <c r="AR10" s="77">
        <f>SMALL('Data Sheet'!C$17:L$19,AR8)</f>
        <v>1.3</v>
      </c>
      <c r="AS10" s="77">
        <f>SMALL('Data Sheet'!C$17:L$19,AS8)</f>
        <v>1.3</v>
      </c>
      <c r="AT10" s="77">
        <f>SMALL('Data Sheet'!C$17:L$19,AT8)</f>
        <v>1.3009999999999999</v>
      </c>
      <c r="AU10" s="77">
        <f>SMALL('Data Sheet'!C$17:L$19,AU8)</f>
        <v>1.3009999999999999</v>
      </c>
      <c r="AV10" s="77">
        <f>SMALL('Data Sheet'!C$17:L$19,AV8)</f>
        <v>1.302</v>
      </c>
      <c r="AW10" s="77">
        <f>SMALL('Data Sheet'!C$17:L$19,AW8)</f>
        <v>1.3029999999999999</v>
      </c>
      <c r="AX10" s="77">
        <f>SMALL('Data Sheet'!C$17:L$19,AX8)</f>
        <v>1.3029999999999999</v>
      </c>
      <c r="AY10" s="77">
        <f>SMALL('Data Sheet'!C$17:L$19,AY8)</f>
        <v>1.3049999999999999</v>
      </c>
      <c r="AZ10" s="77">
        <f>SMALL('Data Sheet'!C$17:L$19,AZ8)</f>
        <v>1.3049999999999999</v>
      </c>
      <c r="BA10" s="77">
        <f>SMALL('Data Sheet'!C$17:L$19,BA8)</f>
        <v>1.3049999999999999</v>
      </c>
      <c r="BB10" s="77">
        <f>SMALL('Data Sheet'!C$17:L$19,BB8)</f>
        <v>1.3049999999999999</v>
      </c>
      <c r="BC10" s="77">
        <f>SMALL('Data Sheet'!C$17:L$19,BC8)</f>
        <v>1.3049999999999999</v>
      </c>
      <c r="BD10" s="77">
        <f>SMALL('Data Sheet'!C$17:L$19,BD8)</f>
        <v>1.306</v>
      </c>
      <c r="BE10" s="77">
        <f>SMALL('Data Sheet'!C$17:L$19,BE8)</f>
        <v>1.306</v>
      </c>
      <c r="BF10" s="77">
        <f>SMALL('Data Sheet'!C$17:L$19,BF8)</f>
        <v>1.306</v>
      </c>
      <c r="BG10" s="77">
        <f>SMALL('Data Sheet'!C$17:L$19,BG8)</f>
        <v>1.306</v>
      </c>
      <c r="BH10" s="77">
        <f>SMALL('Data Sheet'!C$17:L$19,BH8)</f>
        <v>1.306</v>
      </c>
      <c r="BI10" s="77">
        <f>SMALL('Data Sheet'!C$17:L$19,BI8)</f>
        <v>1.306</v>
      </c>
      <c r="BJ10" s="77">
        <f>SMALL('Data Sheet'!C$17:L$19,BJ8)</f>
        <v>1.306</v>
      </c>
      <c r="BK10" s="77">
        <f>SMALL('Data Sheet'!C$17:L$19,BK8)</f>
        <v>1.306</v>
      </c>
      <c r="BL10" s="101">
        <f>'Data Sheet'!N20</f>
        <v>1.3026333333333333</v>
      </c>
    </row>
    <row r="11" spans="1:64" ht="14.4" x14ac:dyDescent="0.3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T11" s="78">
        <v>3</v>
      </c>
      <c r="U11" s="78">
        <f t="shared" ref="U11:U38" si="0">U10</f>
        <v>5.2338000000000141E-3</v>
      </c>
      <c r="V11" s="78">
        <f t="shared" ref="V11:V38" si="1">V10</f>
        <v>2.0333333333333388E-3</v>
      </c>
      <c r="W11" s="78">
        <f>'Data Sheet'!E16</f>
        <v>1.0000000000001119E-3</v>
      </c>
      <c r="X11" s="171" t="str">
        <f>IF(W11="","",'Data Sheet'!$A$12)</f>
        <v>A</v>
      </c>
      <c r="Z11" s="78">
        <v>3</v>
      </c>
      <c r="AA11" s="78">
        <f t="shared" ref="AA11:AA38" si="2">AA10</f>
        <v>1.3064697381374286</v>
      </c>
      <c r="AB11" s="78">
        <f t="shared" ref="AB11:AB38" si="3">AB10</f>
        <v>1.2992635951959046</v>
      </c>
      <c r="AC11" s="78">
        <f t="shared" ref="AC11:AC38" si="4">AC10</f>
        <v>1.3028666666666666</v>
      </c>
      <c r="AD11" s="78">
        <f>'Data Sheet'!E15</f>
        <v>1.3056666666666665</v>
      </c>
      <c r="AE11" s="171" t="str">
        <f>IF(AD11="","",'Data Sheet'!$A$12)</f>
        <v>A</v>
      </c>
      <c r="AG11" s="98" t="str">
        <f>'Data Sheet'!A22</f>
        <v>C</v>
      </c>
      <c r="AH11" s="102">
        <f>SMALL('Data Sheet'!C$22:L$24,AH8)</f>
        <v>1.2989999999999999</v>
      </c>
      <c r="AI11" s="102">
        <f>SMALL('Data Sheet'!C$22:L$24,AI8)</f>
        <v>1.2989999999999999</v>
      </c>
      <c r="AJ11" s="102">
        <f>SMALL('Data Sheet'!C$22:L$24,AJ8)</f>
        <v>1.3</v>
      </c>
      <c r="AK11" s="102">
        <f>SMALL('Data Sheet'!C$22:L$24,AK8)</f>
        <v>1.3</v>
      </c>
      <c r="AL11" s="102">
        <f>SMALL('Data Sheet'!C$22:L$24,AL8)</f>
        <v>1.3</v>
      </c>
      <c r="AM11" s="102">
        <f>SMALL('Data Sheet'!C$22:L$24,AM8)</f>
        <v>1.3</v>
      </c>
      <c r="AN11" s="102">
        <f>SMALL('Data Sheet'!C$22:L$24,AN8)</f>
        <v>1.3</v>
      </c>
      <c r="AO11" s="102">
        <f>SMALL('Data Sheet'!C$22:L$24,AO8)</f>
        <v>1.3</v>
      </c>
      <c r="AP11" s="102">
        <f>SMALL('Data Sheet'!C$22:L$24,AP8)</f>
        <v>1.3009999999999999</v>
      </c>
      <c r="AQ11" s="102">
        <f>SMALL('Data Sheet'!C$22:L$24,AQ8)</f>
        <v>1.3009999999999999</v>
      </c>
      <c r="AR11" s="102">
        <f>SMALL('Data Sheet'!C$22:L$24,AR8)</f>
        <v>1.302</v>
      </c>
      <c r="AS11" s="102">
        <f>SMALL('Data Sheet'!C$22:L$24,AS8)</f>
        <v>1.302</v>
      </c>
      <c r="AT11" s="102">
        <f>SMALL('Data Sheet'!C$22:L$24,AT8)</f>
        <v>1.3049999999999999</v>
      </c>
      <c r="AU11" s="102">
        <f>SMALL('Data Sheet'!C$22:L$24,AU8)</f>
        <v>1.3049999999999999</v>
      </c>
      <c r="AV11" s="102">
        <f>SMALL('Data Sheet'!C$22:L$24,AV8)</f>
        <v>1.3049999999999999</v>
      </c>
      <c r="AW11" s="102">
        <f>SMALL('Data Sheet'!C$22:L$24,AW8)</f>
        <v>1.3049999999999999</v>
      </c>
      <c r="AX11" s="102">
        <f>SMALL('Data Sheet'!C$22:L$24,AX8)</f>
        <v>1.3049999999999999</v>
      </c>
      <c r="AY11" s="102">
        <f>SMALL('Data Sheet'!C$22:L$24,AY8)</f>
        <v>1.3049999999999999</v>
      </c>
      <c r="AZ11" s="102">
        <f>SMALL('Data Sheet'!C$22:L$24,AZ8)</f>
        <v>1.3049999999999999</v>
      </c>
      <c r="BA11" s="102">
        <f>SMALL('Data Sheet'!C$22:L$24,BA8)</f>
        <v>1.3049999999999999</v>
      </c>
      <c r="BB11" s="102">
        <f>SMALL('Data Sheet'!C$22:L$24,BB8)</f>
        <v>1.3049999999999999</v>
      </c>
      <c r="BC11" s="102">
        <f>SMALL('Data Sheet'!C$22:L$24,BC8)</f>
        <v>1.3049999999999999</v>
      </c>
      <c r="BD11" s="102">
        <f>SMALL('Data Sheet'!C$22:L$24,BD8)</f>
        <v>1.3049999999999999</v>
      </c>
      <c r="BE11" s="102">
        <f>SMALL('Data Sheet'!C$22:L$24,BE8)</f>
        <v>1.3049999999999999</v>
      </c>
      <c r="BF11" s="102">
        <f>SMALL('Data Sheet'!C$22:L$24,BF8)</f>
        <v>1.306</v>
      </c>
      <c r="BG11" s="102">
        <f>SMALL('Data Sheet'!C$22:L$24,BG8)</f>
        <v>1.306</v>
      </c>
      <c r="BH11" s="102">
        <f>SMALL('Data Sheet'!C$22:L$24,BH8)</f>
        <v>1.306</v>
      </c>
      <c r="BI11" s="102">
        <f>SMALL('Data Sheet'!C$22:L$24,BI8)</f>
        <v>1.306</v>
      </c>
      <c r="BJ11" s="102">
        <f>SMALL('Data Sheet'!C$22:L$24,BJ8)</f>
        <v>1.306</v>
      </c>
      <c r="BK11" s="102">
        <f>SMALL('Data Sheet'!C$22:L$24,BK8)</f>
        <v>1.306</v>
      </c>
      <c r="BL11" s="103">
        <f>'Data Sheet'!N25</f>
        <v>1.3033333333333332</v>
      </c>
    </row>
    <row r="12" spans="1:64" ht="14.4" x14ac:dyDescent="0.3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T12" s="78">
        <v>4</v>
      </c>
      <c r="U12" s="78">
        <f t="shared" si="0"/>
        <v>5.2338000000000141E-3</v>
      </c>
      <c r="V12" s="78">
        <f t="shared" si="1"/>
        <v>2.0333333333333388E-3</v>
      </c>
      <c r="W12" s="93">
        <f>'Data Sheet'!F16</f>
        <v>0</v>
      </c>
      <c r="X12" s="171" t="str">
        <f>IF(W12="","",'Data Sheet'!$A$12)</f>
        <v>A</v>
      </c>
      <c r="Z12" s="78">
        <v>4</v>
      </c>
      <c r="AA12" s="78">
        <f t="shared" si="2"/>
        <v>1.3064697381374286</v>
      </c>
      <c r="AB12" s="78">
        <f t="shared" si="3"/>
        <v>1.2992635951959046</v>
      </c>
      <c r="AC12" s="78">
        <f t="shared" si="4"/>
        <v>1.3028666666666666</v>
      </c>
      <c r="AD12" s="78">
        <f>'Data Sheet'!F15</f>
        <v>1.3049999999999999</v>
      </c>
      <c r="AE12" s="171" t="str">
        <f>IF(AD12="","",'Data Sheet'!$A$12)</f>
        <v>A</v>
      </c>
    </row>
    <row r="13" spans="1:64" ht="14.4" x14ac:dyDescent="0.3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T13" s="78">
        <v>5</v>
      </c>
      <c r="U13" s="78">
        <f t="shared" si="0"/>
        <v>5.2338000000000141E-3</v>
      </c>
      <c r="V13" s="78">
        <f t="shared" si="1"/>
        <v>2.0333333333333388E-3</v>
      </c>
      <c r="W13" s="78">
        <f>'Data Sheet'!G16</f>
        <v>9.9999999999988987E-4</v>
      </c>
      <c r="X13" s="171" t="str">
        <f>IF(W13="","",'Data Sheet'!$A$12)</f>
        <v>A</v>
      </c>
      <c r="Z13" s="78">
        <v>5</v>
      </c>
      <c r="AA13" s="78">
        <f t="shared" si="2"/>
        <v>1.3064697381374286</v>
      </c>
      <c r="AB13" s="78">
        <f t="shared" si="3"/>
        <v>1.2992635951959046</v>
      </c>
      <c r="AC13" s="78">
        <f t="shared" si="4"/>
        <v>1.3028666666666666</v>
      </c>
      <c r="AD13" s="78">
        <f>'Data Sheet'!G15</f>
        <v>1.3003333333333333</v>
      </c>
      <c r="AE13" s="171" t="str">
        <f>IF(AD13="","",'Data Sheet'!$A$12)</f>
        <v>A</v>
      </c>
    </row>
    <row r="14" spans="1:64" ht="14.4" x14ac:dyDescent="0.3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T14" s="78">
        <v>6</v>
      </c>
      <c r="U14" s="78">
        <f t="shared" si="0"/>
        <v>5.2338000000000141E-3</v>
      </c>
      <c r="V14" s="78">
        <f t="shared" si="1"/>
        <v>2.0333333333333388E-3</v>
      </c>
      <c r="W14" s="93">
        <f>'Data Sheet'!H16</f>
        <v>0</v>
      </c>
      <c r="X14" s="171" t="str">
        <f>IF(W14="","",'Data Sheet'!$A$12)</f>
        <v>A</v>
      </c>
      <c r="Z14" s="78">
        <v>6</v>
      </c>
      <c r="AA14" s="78">
        <f t="shared" si="2"/>
        <v>1.3064697381374286</v>
      </c>
      <c r="AB14" s="78">
        <f t="shared" si="3"/>
        <v>1.2992635951959046</v>
      </c>
      <c r="AC14" s="78">
        <f t="shared" si="4"/>
        <v>1.3028666666666666</v>
      </c>
      <c r="AD14" s="78">
        <f>'Data Sheet'!H15</f>
        <v>1.3</v>
      </c>
      <c r="AE14" s="171" t="str">
        <f>IF(AD14="","",'Data Sheet'!$A$12)</f>
        <v>A</v>
      </c>
    </row>
    <row r="15" spans="1:64" ht="14.4" x14ac:dyDescent="0.3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T15" s="78">
        <v>7</v>
      </c>
      <c r="U15" s="78">
        <f t="shared" si="0"/>
        <v>5.2338000000000141E-3</v>
      </c>
      <c r="V15" s="78">
        <f t="shared" si="1"/>
        <v>2.0333333333333388E-3</v>
      </c>
      <c r="W15" s="78">
        <f>'Data Sheet'!I16</f>
        <v>3.0000000000001137E-3</v>
      </c>
      <c r="X15" s="171" t="str">
        <f>IF(W15="","",'Data Sheet'!$A$12)</f>
        <v>A</v>
      </c>
      <c r="Z15" s="78">
        <v>7</v>
      </c>
      <c r="AA15" s="78">
        <f t="shared" si="2"/>
        <v>1.3064697381374286</v>
      </c>
      <c r="AB15" s="78">
        <f t="shared" si="3"/>
        <v>1.2992635951959046</v>
      </c>
      <c r="AC15" s="78">
        <f t="shared" si="4"/>
        <v>1.3028666666666666</v>
      </c>
      <c r="AD15" s="78">
        <f>'Data Sheet'!I15</f>
        <v>1.2990000000000002</v>
      </c>
      <c r="AE15" s="171" t="str">
        <f>IF(AD15="","",'Data Sheet'!$A$12)</f>
        <v>A</v>
      </c>
    </row>
    <row r="16" spans="1:64" ht="14.4" x14ac:dyDescent="0.3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T16" s="78">
        <v>8</v>
      </c>
      <c r="U16" s="78">
        <f t="shared" si="0"/>
        <v>5.2338000000000141E-3</v>
      </c>
      <c r="V16" s="78">
        <f t="shared" si="1"/>
        <v>2.0333333333333388E-3</v>
      </c>
      <c r="W16" s="78">
        <f>'Data Sheet'!J16</f>
        <v>7.0000000000001172E-3</v>
      </c>
      <c r="X16" s="171" t="str">
        <f>IF(W16="","",'Data Sheet'!$A$12)</f>
        <v>A</v>
      </c>
      <c r="Z16" s="78">
        <v>8</v>
      </c>
      <c r="AA16" s="78">
        <f t="shared" si="2"/>
        <v>1.3064697381374286</v>
      </c>
      <c r="AB16" s="78">
        <f t="shared" si="3"/>
        <v>1.2992635951959046</v>
      </c>
      <c r="AC16" s="78">
        <f t="shared" si="4"/>
        <v>1.3028666666666666</v>
      </c>
      <c r="AD16" s="78">
        <f>'Data Sheet'!J15</f>
        <v>1.3016666666666665</v>
      </c>
      <c r="AE16" s="171" t="str">
        <f>IF(AD16="","",'Data Sheet'!$A$12)</f>
        <v>A</v>
      </c>
    </row>
    <row r="17" spans="1:64" ht="14.4" x14ac:dyDescent="0.3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T17" s="78">
        <v>9</v>
      </c>
      <c r="U17" s="78">
        <f t="shared" si="0"/>
        <v>5.2338000000000141E-3</v>
      </c>
      <c r="V17" s="78">
        <f t="shared" si="1"/>
        <v>2.0333333333333388E-3</v>
      </c>
      <c r="W17" s="93">
        <f>'Data Sheet'!K16</f>
        <v>0</v>
      </c>
      <c r="X17" s="171" t="str">
        <f>IF(W17="","",'Data Sheet'!$A$12)</f>
        <v>A</v>
      </c>
      <c r="Z17" s="78">
        <v>9</v>
      </c>
      <c r="AA17" s="78">
        <f t="shared" si="2"/>
        <v>1.3064697381374286</v>
      </c>
      <c r="AB17" s="78">
        <f t="shared" si="3"/>
        <v>1.2992635951959046</v>
      </c>
      <c r="AC17" s="78">
        <f t="shared" si="4"/>
        <v>1.3028666666666666</v>
      </c>
      <c r="AD17" s="78">
        <f>'Data Sheet'!K15</f>
        <v>1.306</v>
      </c>
      <c r="AE17" s="171" t="str">
        <f>IF(AD17="","",'Data Sheet'!$A$12)</f>
        <v>A</v>
      </c>
    </row>
    <row r="18" spans="1:64" ht="14.4" x14ac:dyDescent="0.3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T18" s="78">
        <v>10</v>
      </c>
      <c r="U18" s="78">
        <f t="shared" si="0"/>
        <v>5.2338000000000141E-3</v>
      </c>
      <c r="V18" s="78">
        <f t="shared" si="1"/>
        <v>2.0333333333333388E-3</v>
      </c>
      <c r="W18" s="78">
        <f>'Data Sheet'!L16</f>
        <v>1.0000000000001119E-3</v>
      </c>
      <c r="X18" s="171" t="str">
        <f>IF(W18="","",'Data Sheet'!$A$12)</f>
        <v>A</v>
      </c>
      <c r="Z18" s="78">
        <v>10</v>
      </c>
      <c r="AA18" s="78">
        <f t="shared" si="2"/>
        <v>1.3064697381374286</v>
      </c>
      <c r="AB18" s="78">
        <f t="shared" si="3"/>
        <v>1.2992635951959046</v>
      </c>
      <c r="AC18" s="78">
        <f t="shared" si="4"/>
        <v>1.3028666666666666</v>
      </c>
      <c r="AD18" s="78">
        <f>'Data Sheet'!L15</f>
        <v>1.3056666666666665</v>
      </c>
      <c r="AE18" s="171" t="str">
        <f>IF(AD18="","",'Data Sheet'!$A$12)</f>
        <v>A</v>
      </c>
    </row>
    <row r="19" spans="1:64" ht="14.4" x14ac:dyDescent="0.3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T19" s="78">
        <v>1</v>
      </c>
      <c r="U19" s="78">
        <f t="shared" si="0"/>
        <v>5.2338000000000141E-3</v>
      </c>
      <c r="V19" s="78">
        <f t="shared" si="1"/>
        <v>2.0333333333333388E-3</v>
      </c>
      <c r="W19" s="94">
        <f>'Data Sheet'!C21</f>
        <v>9.9999999999988987E-4</v>
      </c>
      <c r="X19" s="171" t="str">
        <f>IF(W19="","",'Data Sheet'!$A$17)</f>
        <v>B</v>
      </c>
      <c r="Z19" s="78">
        <v>1</v>
      </c>
      <c r="AA19" s="78">
        <f t="shared" si="2"/>
        <v>1.3064697381374286</v>
      </c>
      <c r="AB19" s="78">
        <f t="shared" si="3"/>
        <v>1.2992635951959046</v>
      </c>
      <c r="AC19" s="78">
        <f t="shared" si="4"/>
        <v>1.3028666666666666</v>
      </c>
      <c r="AD19" s="94">
        <f>'Data Sheet'!C20</f>
        <v>1.3003333333333333</v>
      </c>
      <c r="AE19" s="171" t="str">
        <f>IF(AD19="","",'Data Sheet'!$A$17)</f>
        <v>B</v>
      </c>
    </row>
    <row r="20" spans="1:64" ht="14.4" x14ac:dyDescent="0.3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T20" s="78">
        <v>2</v>
      </c>
      <c r="U20" s="78">
        <f t="shared" si="0"/>
        <v>5.2338000000000141E-3</v>
      </c>
      <c r="V20" s="78">
        <f t="shared" si="1"/>
        <v>2.0333333333333388E-3</v>
      </c>
      <c r="W20" s="94">
        <f>'Data Sheet'!D21</f>
        <v>9.9999999999988987E-4</v>
      </c>
      <c r="X20" s="171" t="str">
        <f>IF(W20="","",'Data Sheet'!$A$17)</f>
        <v>B</v>
      </c>
      <c r="Y20"/>
      <c r="Z20" s="78">
        <v>2</v>
      </c>
      <c r="AA20" s="78">
        <f t="shared" si="2"/>
        <v>1.3064697381374286</v>
      </c>
      <c r="AB20" s="78">
        <f t="shared" si="3"/>
        <v>1.2992635951959046</v>
      </c>
      <c r="AC20" s="78">
        <f t="shared" si="4"/>
        <v>1.3028666666666666</v>
      </c>
      <c r="AD20" s="94">
        <f>'Data Sheet'!D20</f>
        <v>1.3026666666666666</v>
      </c>
      <c r="AE20" s="171" t="str">
        <f>IF(AD20="","",'Data Sheet'!$A$17)</f>
        <v>B</v>
      </c>
      <c r="AF20"/>
      <c r="AG20" s="96" t="s">
        <v>148</v>
      </c>
      <c r="AH20" t="s">
        <v>150</v>
      </c>
      <c r="AI20" t="s">
        <v>151</v>
      </c>
      <c r="AJ20" t="s">
        <v>152</v>
      </c>
      <c r="AK20" t="s">
        <v>153</v>
      </c>
      <c r="AL20" t="s">
        <v>154</v>
      </c>
      <c r="AM20" t="s">
        <v>155</v>
      </c>
      <c r="AN20" t="s">
        <v>156</v>
      </c>
      <c r="AO20" t="s">
        <v>157</v>
      </c>
      <c r="AP20" t="s">
        <v>158</v>
      </c>
      <c r="AQ20" t="s">
        <v>159</v>
      </c>
      <c r="AR20" t="s">
        <v>160</v>
      </c>
      <c r="AS20" t="s">
        <v>161</v>
      </c>
      <c r="AT20" t="s">
        <v>162</v>
      </c>
      <c r="AU20" t="s">
        <v>163</v>
      </c>
      <c r="AV20" t="s">
        <v>164</v>
      </c>
      <c r="AW20" t="s">
        <v>165</v>
      </c>
      <c r="AX20" t="s">
        <v>166</v>
      </c>
      <c r="AY20" t="s">
        <v>167</v>
      </c>
      <c r="AZ20" t="s">
        <v>168</v>
      </c>
      <c r="BA20" t="s">
        <v>169</v>
      </c>
      <c r="BB20" t="s">
        <v>170</v>
      </c>
      <c r="BC20" t="s">
        <v>171</v>
      </c>
      <c r="BD20" t="s">
        <v>172</v>
      </c>
      <c r="BE20" t="s">
        <v>173</v>
      </c>
      <c r="BF20" t="s">
        <v>174</v>
      </c>
      <c r="BG20" t="s">
        <v>175</v>
      </c>
      <c r="BH20" t="s">
        <v>176</v>
      </c>
      <c r="BI20" t="s">
        <v>177</v>
      </c>
      <c r="BJ20" t="s">
        <v>178</v>
      </c>
      <c r="BK20" t="s">
        <v>179</v>
      </c>
      <c r="BL20" t="s">
        <v>180</v>
      </c>
    </row>
    <row r="21" spans="1:64" ht="14.4" x14ac:dyDescent="0.3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T21" s="78">
        <v>3</v>
      </c>
      <c r="U21" s="78">
        <f t="shared" si="0"/>
        <v>5.2338000000000141E-3</v>
      </c>
      <c r="V21" s="78">
        <f t="shared" si="1"/>
        <v>2.0333333333333388E-3</v>
      </c>
      <c r="W21" s="94">
        <f>'Data Sheet'!E21</f>
        <v>1.0000000000001119E-3</v>
      </c>
      <c r="X21" s="171" t="str">
        <f>IF(W21="","",'Data Sheet'!$A$17)</f>
        <v>B</v>
      </c>
      <c r="Y21"/>
      <c r="Z21" s="78">
        <v>3</v>
      </c>
      <c r="AA21" s="78">
        <f t="shared" si="2"/>
        <v>1.3064697381374286</v>
      </c>
      <c r="AB21" s="78">
        <f t="shared" si="3"/>
        <v>1.2992635951959046</v>
      </c>
      <c r="AC21" s="78">
        <f t="shared" si="4"/>
        <v>1.3028666666666666</v>
      </c>
      <c r="AD21" s="94">
        <f>'Data Sheet'!E20</f>
        <v>1.3056666666666665</v>
      </c>
      <c r="AE21" s="171" t="str">
        <f>IF(AD21="","",'Data Sheet'!$A$17)</f>
        <v>B</v>
      </c>
      <c r="AF21"/>
      <c r="AG21" s="97" t="s">
        <v>20</v>
      </c>
      <c r="AH21" s="95">
        <v>1.2969999999999999</v>
      </c>
      <c r="AI21" s="95">
        <v>1.2989999999999999</v>
      </c>
      <c r="AJ21" s="95">
        <v>1.3</v>
      </c>
      <c r="AK21" s="95">
        <v>1.3</v>
      </c>
      <c r="AL21" s="95">
        <v>1.3</v>
      </c>
      <c r="AM21" s="95">
        <v>1.3</v>
      </c>
      <c r="AN21" s="95">
        <v>1.3</v>
      </c>
      <c r="AO21" s="95">
        <v>1.3</v>
      </c>
      <c r="AP21" s="95">
        <v>1.3</v>
      </c>
      <c r="AQ21" s="95">
        <v>1.3</v>
      </c>
      <c r="AR21" s="95">
        <v>1.3</v>
      </c>
      <c r="AS21" s="95">
        <v>1.3</v>
      </c>
      <c r="AT21" s="95">
        <v>1.3009999999999999</v>
      </c>
      <c r="AU21" s="95">
        <v>1.3009999999999999</v>
      </c>
      <c r="AV21" s="95">
        <v>1.302</v>
      </c>
      <c r="AW21" s="95">
        <v>1.3029999999999999</v>
      </c>
      <c r="AX21" s="95">
        <v>1.3029999999999999</v>
      </c>
      <c r="AY21" s="95">
        <v>1.3049999999999999</v>
      </c>
      <c r="AZ21" s="95">
        <v>1.3049999999999999</v>
      </c>
      <c r="BA21" s="95">
        <v>1.3049999999999999</v>
      </c>
      <c r="BB21" s="95">
        <v>1.3049999999999999</v>
      </c>
      <c r="BC21" s="95">
        <v>1.3049999999999999</v>
      </c>
      <c r="BD21" s="95">
        <v>1.306</v>
      </c>
      <c r="BE21" s="95">
        <v>1.306</v>
      </c>
      <c r="BF21" s="95">
        <v>1.306</v>
      </c>
      <c r="BG21" s="95">
        <v>1.306</v>
      </c>
      <c r="BH21" s="95">
        <v>1.306</v>
      </c>
      <c r="BI21" s="95">
        <v>1.306</v>
      </c>
      <c r="BJ21" s="95">
        <v>1.306</v>
      </c>
      <c r="BK21" s="95">
        <v>1.306</v>
      </c>
      <c r="BL21" s="95">
        <v>1.3026333333333333</v>
      </c>
    </row>
    <row r="22" spans="1:64" ht="14.4" x14ac:dyDescent="0.3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T22" s="78">
        <v>4</v>
      </c>
      <c r="U22" s="78">
        <f t="shared" si="0"/>
        <v>5.2338000000000141E-3</v>
      </c>
      <c r="V22" s="78">
        <f t="shared" si="1"/>
        <v>2.0333333333333388E-3</v>
      </c>
      <c r="W22" s="94">
        <f>'Data Sheet'!F21</f>
        <v>0</v>
      </c>
      <c r="X22" s="171" t="str">
        <f>IF(W22="","",'Data Sheet'!$A$17)</f>
        <v>B</v>
      </c>
      <c r="Y22"/>
      <c r="Z22" s="78">
        <v>4</v>
      </c>
      <c r="AA22" s="78">
        <f t="shared" si="2"/>
        <v>1.3064697381374286</v>
      </c>
      <c r="AB22" s="78">
        <f t="shared" si="3"/>
        <v>1.2992635951959046</v>
      </c>
      <c r="AC22" s="78">
        <f t="shared" si="4"/>
        <v>1.3028666666666666</v>
      </c>
      <c r="AD22" s="94">
        <f>'Data Sheet'!F20</f>
        <v>1.3049999999999999</v>
      </c>
      <c r="AE22" s="171" t="str">
        <f>IF(AD22="","",'Data Sheet'!$A$17)</f>
        <v>B</v>
      </c>
      <c r="AF22"/>
      <c r="AG22" s="97" t="s">
        <v>24</v>
      </c>
      <c r="AH22" s="95">
        <v>1.2969999999999999</v>
      </c>
      <c r="AI22" s="95">
        <v>1.2989999999999999</v>
      </c>
      <c r="AJ22" s="95">
        <v>1.3</v>
      </c>
      <c r="AK22" s="95">
        <v>1.3</v>
      </c>
      <c r="AL22" s="95">
        <v>1.3</v>
      </c>
      <c r="AM22" s="95">
        <v>1.3</v>
      </c>
      <c r="AN22" s="95">
        <v>1.3</v>
      </c>
      <c r="AO22" s="95">
        <v>1.3</v>
      </c>
      <c r="AP22" s="95">
        <v>1.3</v>
      </c>
      <c r="AQ22" s="95">
        <v>1.3</v>
      </c>
      <c r="AR22" s="95">
        <v>1.3</v>
      </c>
      <c r="AS22" s="95">
        <v>1.3</v>
      </c>
      <c r="AT22" s="95">
        <v>1.3009999999999999</v>
      </c>
      <c r="AU22" s="95">
        <v>1.3009999999999999</v>
      </c>
      <c r="AV22" s="95">
        <v>1.302</v>
      </c>
      <c r="AW22" s="95">
        <v>1.3029999999999999</v>
      </c>
      <c r="AX22" s="95">
        <v>1.3029999999999999</v>
      </c>
      <c r="AY22" s="95">
        <v>1.3049999999999999</v>
      </c>
      <c r="AZ22" s="95">
        <v>1.3049999999999999</v>
      </c>
      <c r="BA22" s="95">
        <v>1.3049999999999999</v>
      </c>
      <c r="BB22" s="95">
        <v>1.3049999999999999</v>
      </c>
      <c r="BC22" s="95">
        <v>1.3049999999999999</v>
      </c>
      <c r="BD22" s="95">
        <v>1.306</v>
      </c>
      <c r="BE22" s="95">
        <v>1.306</v>
      </c>
      <c r="BF22" s="95">
        <v>1.306</v>
      </c>
      <c r="BG22" s="95">
        <v>1.306</v>
      </c>
      <c r="BH22" s="95">
        <v>1.306</v>
      </c>
      <c r="BI22" s="95">
        <v>1.306</v>
      </c>
      <c r="BJ22" s="95">
        <v>1.306</v>
      </c>
      <c r="BK22" s="95">
        <v>1.306</v>
      </c>
      <c r="BL22" s="95">
        <v>1.3026333333333333</v>
      </c>
    </row>
    <row r="23" spans="1:64" ht="14.4" x14ac:dyDescent="0.3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T23" s="78">
        <v>5</v>
      </c>
      <c r="U23" s="78">
        <f t="shared" si="0"/>
        <v>5.2338000000000141E-3</v>
      </c>
      <c r="V23" s="78">
        <f t="shared" si="1"/>
        <v>2.0333333333333388E-3</v>
      </c>
      <c r="W23" s="94">
        <f>'Data Sheet'!G21</f>
        <v>9.9999999999988987E-4</v>
      </c>
      <c r="X23" s="171" t="str">
        <f>IF(W23="","",'Data Sheet'!$A$17)</f>
        <v>B</v>
      </c>
      <c r="Y23"/>
      <c r="Z23" s="78">
        <v>5</v>
      </c>
      <c r="AA23" s="78">
        <f t="shared" si="2"/>
        <v>1.3064697381374286</v>
      </c>
      <c r="AB23" s="78">
        <f t="shared" si="3"/>
        <v>1.2992635951959046</v>
      </c>
      <c r="AC23" s="78">
        <f t="shared" si="4"/>
        <v>1.3028666666666666</v>
      </c>
      <c r="AD23" s="94">
        <f>'Data Sheet'!G20</f>
        <v>1.3003333333333333</v>
      </c>
      <c r="AE23" s="171" t="str">
        <f>IF(AD23="","",'Data Sheet'!$A$17)</f>
        <v>B</v>
      </c>
      <c r="AF23"/>
      <c r="AG23" s="97" t="s">
        <v>27</v>
      </c>
      <c r="AH23" s="95">
        <v>1.2989999999999999</v>
      </c>
      <c r="AI23" s="95">
        <v>1.2989999999999999</v>
      </c>
      <c r="AJ23" s="95">
        <v>1.3</v>
      </c>
      <c r="AK23" s="95">
        <v>1.3</v>
      </c>
      <c r="AL23" s="95">
        <v>1.3</v>
      </c>
      <c r="AM23" s="95">
        <v>1.3</v>
      </c>
      <c r="AN23" s="95">
        <v>1.3</v>
      </c>
      <c r="AO23" s="95">
        <v>1.3</v>
      </c>
      <c r="AP23" s="95">
        <v>1.3009999999999999</v>
      </c>
      <c r="AQ23" s="95">
        <v>1.3009999999999999</v>
      </c>
      <c r="AR23" s="95">
        <v>1.302</v>
      </c>
      <c r="AS23" s="95">
        <v>1.302</v>
      </c>
      <c r="AT23" s="95">
        <v>1.3049999999999999</v>
      </c>
      <c r="AU23" s="95">
        <v>1.3049999999999999</v>
      </c>
      <c r="AV23" s="95">
        <v>1.3049999999999999</v>
      </c>
      <c r="AW23" s="95">
        <v>1.3049999999999999</v>
      </c>
      <c r="AX23" s="95">
        <v>1.3049999999999999</v>
      </c>
      <c r="AY23" s="95">
        <v>1.3049999999999999</v>
      </c>
      <c r="AZ23" s="95">
        <v>1.3049999999999999</v>
      </c>
      <c r="BA23" s="95">
        <v>1.3049999999999999</v>
      </c>
      <c r="BB23" s="95">
        <v>1.3049999999999999</v>
      </c>
      <c r="BC23" s="95">
        <v>1.3049999999999999</v>
      </c>
      <c r="BD23" s="95">
        <v>1.3049999999999999</v>
      </c>
      <c r="BE23" s="95">
        <v>1.3049999999999999</v>
      </c>
      <c r="BF23" s="95">
        <v>1.306</v>
      </c>
      <c r="BG23" s="95">
        <v>1.306</v>
      </c>
      <c r="BH23" s="95">
        <v>1.306</v>
      </c>
      <c r="BI23" s="95">
        <v>1.306</v>
      </c>
      <c r="BJ23" s="95">
        <v>1.306</v>
      </c>
      <c r="BK23" s="95">
        <v>1.306</v>
      </c>
      <c r="BL23" s="95">
        <v>1.3033333333333332</v>
      </c>
    </row>
    <row r="24" spans="1:64" ht="14.4" x14ac:dyDescent="0.3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T24" s="78">
        <v>6</v>
      </c>
      <c r="U24" s="78">
        <f t="shared" si="0"/>
        <v>5.2338000000000141E-3</v>
      </c>
      <c r="V24" s="78">
        <f t="shared" si="1"/>
        <v>2.0333333333333388E-3</v>
      </c>
      <c r="W24" s="94">
        <f>'Data Sheet'!H21</f>
        <v>0</v>
      </c>
      <c r="X24" s="171" t="str">
        <f>IF(W24="","",'Data Sheet'!$A$17)</f>
        <v>B</v>
      </c>
      <c r="Y24"/>
      <c r="Z24" s="78">
        <v>6</v>
      </c>
      <c r="AA24" s="78">
        <f t="shared" si="2"/>
        <v>1.3064697381374286</v>
      </c>
      <c r="AB24" s="78">
        <f t="shared" si="3"/>
        <v>1.2992635951959046</v>
      </c>
      <c r="AC24" s="78">
        <f t="shared" si="4"/>
        <v>1.3028666666666666</v>
      </c>
      <c r="AD24" s="94">
        <f>'Data Sheet'!H20</f>
        <v>1.3</v>
      </c>
      <c r="AE24" s="171" t="str">
        <f>IF(AD24="","",'Data Sheet'!$A$17)</f>
        <v>B</v>
      </c>
      <c r="AF24"/>
      <c r="AG24" s="97" t="s">
        <v>149</v>
      </c>
      <c r="AH24" s="95">
        <v>3.8929999999999998</v>
      </c>
      <c r="AI24" s="95">
        <v>3.8969999999999998</v>
      </c>
      <c r="AJ24" s="95">
        <v>3.9000000000000004</v>
      </c>
      <c r="AK24" s="95">
        <v>3.9000000000000004</v>
      </c>
      <c r="AL24" s="95">
        <v>3.9000000000000004</v>
      </c>
      <c r="AM24" s="95">
        <v>3.9000000000000004</v>
      </c>
      <c r="AN24" s="95">
        <v>3.9000000000000004</v>
      </c>
      <c r="AO24" s="95">
        <v>3.9000000000000004</v>
      </c>
      <c r="AP24" s="95">
        <v>3.9009999999999998</v>
      </c>
      <c r="AQ24" s="95">
        <v>3.9009999999999998</v>
      </c>
      <c r="AR24" s="95">
        <v>3.9020000000000001</v>
      </c>
      <c r="AS24" s="95">
        <v>3.9020000000000001</v>
      </c>
      <c r="AT24" s="95">
        <v>3.907</v>
      </c>
      <c r="AU24" s="95">
        <v>3.907</v>
      </c>
      <c r="AV24" s="95">
        <v>3.9089999999999998</v>
      </c>
      <c r="AW24" s="95">
        <v>3.9109999999999996</v>
      </c>
      <c r="AX24" s="95">
        <v>3.9109999999999996</v>
      </c>
      <c r="AY24" s="95">
        <v>3.915</v>
      </c>
      <c r="AZ24" s="95">
        <v>3.915</v>
      </c>
      <c r="BA24" s="95">
        <v>3.915</v>
      </c>
      <c r="BB24" s="95">
        <v>3.915</v>
      </c>
      <c r="BC24" s="95">
        <v>3.915</v>
      </c>
      <c r="BD24" s="95">
        <v>3.9169999999999998</v>
      </c>
      <c r="BE24" s="95">
        <v>3.9169999999999998</v>
      </c>
      <c r="BF24" s="95">
        <v>3.9180000000000001</v>
      </c>
      <c r="BG24" s="95">
        <v>3.9180000000000001</v>
      </c>
      <c r="BH24" s="95">
        <v>3.9180000000000001</v>
      </c>
      <c r="BI24" s="95">
        <v>3.9180000000000001</v>
      </c>
      <c r="BJ24" s="95">
        <v>3.9180000000000001</v>
      </c>
      <c r="BK24" s="95">
        <v>3.9180000000000001</v>
      </c>
      <c r="BL24" s="95">
        <v>3.9085999999999999</v>
      </c>
    </row>
    <row r="25" spans="1:64" ht="14.4" x14ac:dyDescent="0.3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T25" s="78">
        <v>7</v>
      </c>
      <c r="U25" s="78">
        <f t="shared" si="0"/>
        <v>5.2338000000000141E-3</v>
      </c>
      <c r="V25" s="78">
        <f t="shared" si="1"/>
        <v>2.0333333333333388E-3</v>
      </c>
      <c r="W25" s="94">
        <f>'Data Sheet'!I21</f>
        <v>3.0000000000001137E-3</v>
      </c>
      <c r="X25" s="171" t="str">
        <f>IF(W25="","",'Data Sheet'!$A$17)</f>
        <v>B</v>
      </c>
      <c r="Y25"/>
      <c r="Z25" s="78">
        <v>7</v>
      </c>
      <c r="AA25" s="78">
        <f t="shared" si="2"/>
        <v>1.3064697381374286</v>
      </c>
      <c r="AB25" s="78">
        <f t="shared" si="3"/>
        <v>1.2992635951959046</v>
      </c>
      <c r="AC25" s="78">
        <f t="shared" si="4"/>
        <v>1.3028666666666666</v>
      </c>
      <c r="AD25" s="94">
        <f>'Data Sheet'!I20</f>
        <v>1.2990000000000002</v>
      </c>
      <c r="AE25" s="171" t="str">
        <f>IF(AD25="","",'Data Sheet'!$A$17)</f>
        <v>B</v>
      </c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</row>
    <row r="26" spans="1:64" ht="14.4" x14ac:dyDescent="0.3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T26" s="78">
        <v>8</v>
      </c>
      <c r="U26" s="78">
        <f t="shared" si="0"/>
        <v>5.2338000000000141E-3</v>
      </c>
      <c r="V26" s="78">
        <f t="shared" si="1"/>
        <v>2.0333333333333388E-3</v>
      </c>
      <c r="W26" s="94">
        <f>'Data Sheet'!J21</f>
        <v>7.0000000000001172E-3</v>
      </c>
      <c r="X26" s="171" t="str">
        <f>IF(W26="","",'Data Sheet'!$A$17)</f>
        <v>B</v>
      </c>
      <c r="Y26"/>
      <c r="Z26" s="78">
        <v>8</v>
      </c>
      <c r="AA26" s="78">
        <f t="shared" si="2"/>
        <v>1.3064697381374286</v>
      </c>
      <c r="AB26" s="78">
        <f t="shared" si="3"/>
        <v>1.2992635951959046</v>
      </c>
      <c r="AC26" s="78">
        <f t="shared" si="4"/>
        <v>1.3028666666666666</v>
      </c>
      <c r="AD26" s="94">
        <f>'Data Sheet'!J20</f>
        <v>1.3016666666666665</v>
      </c>
      <c r="AE26" s="171" t="str">
        <f>IF(AD26="","",'Data Sheet'!$A$17)</f>
        <v>B</v>
      </c>
      <c r="AF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</row>
    <row r="27" spans="1:64" ht="14.4" x14ac:dyDescent="0.3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T27" s="78">
        <v>9</v>
      </c>
      <c r="U27" s="78">
        <f t="shared" si="0"/>
        <v>5.2338000000000141E-3</v>
      </c>
      <c r="V27" s="78">
        <f t="shared" si="1"/>
        <v>2.0333333333333388E-3</v>
      </c>
      <c r="W27" s="94">
        <f>'Data Sheet'!K21</f>
        <v>0</v>
      </c>
      <c r="X27" s="171" t="str">
        <f>IF(W27="","",'Data Sheet'!$A$17)</f>
        <v>B</v>
      </c>
      <c r="Y27"/>
      <c r="Z27" s="78">
        <v>9</v>
      </c>
      <c r="AA27" s="78">
        <f t="shared" si="2"/>
        <v>1.3064697381374286</v>
      </c>
      <c r="AB27" s="78">
        <f t="shared" si="3"/>
        <v>1.2992635951959046</v>
      </c>
      <c r="AC27" s="78">
        <f t="shared" si="4"/>
        <v>1.3028666666666666</v>
      </c>
      <c r="AD27" s="94">
        <f>'Data Sheet'!K20</f>
        <v>1.306</v>
      </c>
      <c r="AE27" s="171" t="str">
        <f>IF(AD27="","",'Data Sheet'!$A$17)</f>
        <v>B</v>
      </c>
      <c r="AF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</row>
    <row r="28" spans="1:64" ht="14.4" x14ac:dyDescent="0.3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T28" s="78">
        <v>10</v>
      </c>
      <c r="U28" s="78">
        <f t="shared" si="0"/>
        <v>5.2338000000000141E-3</v>
      </c>
      <c r="V28" s="78">
        <f t="shared" si="1"/>
        <v>2.0333333333333388E-3</v>
      </c>
      <c r="W28" s="94">
        <f>'Data Sheet'!L21</f>
        <v>1.0000000000001119E-3</v>
      </c>
      <c r="X28" s="171" t="str">
        <f>IF(W28="","",'Data Sheet'!$A$17)</f>
        <v>B</v>
      </c>
      <c r="Y28"/>
      <c r="Z28" s="78">
        <v>10</v>
      </c>
      <c r="AA28" s="78">
        <f t="shared" si="2"/>
        <v>1.3064697381374286</v>
      </c>
      <c r="AB28" s="78">
        <f t="shared" si="3"/>
        <v>1.2992635951959046</v>
      </c>
      <c r="AC28" s="78">
        <f t="shared" si="4"/>
        <v>1.3028666666666666</v>
      </c>
      <c r="AD28" s="94">
        <f>'Data Sheet'!L20</f>
        <v>1.3056666666666665</v>
      </c>
      <c r="AE28" s="171" t="str">
        <f>IF(AD28="","",'Data Sheet'!$A$17)</f>
        <v>B</v>
      </c>
      <c r="AF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</row>
    <row r="29" spans="1:64" ht="14.4" x14ac:dyDescent="0.3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T29" s="78">
        <v>1</v>
      </c>
      <c r="U29" s="78">
        <f t="shared" si="0"/>
        <v>5.2338000000000141E-3</v>
      </c>
      <c r="V29" s="78">
        <f t="shared" si="1"/>
        <v>2.0333333333333388E-3</v>
      </c>
      <c r="W29" s="94">
        <f>'Data Sheet'!C26</f>
        <v>4.9999999999998934E-3</v>
      </c>
      <c r="X29" s="171" t="str">
        <f>IF(W29="","",'Data Sheet'!$A$22)</f>
        <v>C</v>
      </c>
      <c r="Y29"/>
      <c r="Z29" s="78">
        <v>1</v>
      </c>
      <c r="AA29" s="78">
        <f t="shared" si="2"/>
        <v>1.3064697381374286</v>
      </c>
      <c r="AB29" s="78">
        <f t="shared" si="3"/>
        <v>1.2992635951959046</v>
      </c>
      <c r="AC29" s="78">
        <f t="shared" si="4"/>
        <v>1.3028666666666666</v>
      </c>
      <c r="AD29" s="94">
        <f>'Data Sheet'!C25</f>
        <v>1.3016666666666667</v>
      </c>
      <c r="AE29" s="171" t="str">
        <f>IF(AD29="","",'Data Sheet'!$A$22)</f>
        <v>C</v>
      </c>
      <c r="AF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</row>
    <row r="30" spans="1:64" ht="14.4" x14ac:dyDescent="0.3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T30" s="78">
        <v>2</v>
      </c>
      <c r="U30" s="78">
        <f t="shared" si="0"/>
        <v>5.2338000000000141E-3</v>
      </c>
      <c r="V30" s="78">
        <f t="shared" si="1"/>
        <v>2.0333333333333388E-3</v>
      </c>
      <c r="W30" s="94">
        <f>'Data Sheet'!D26</f>
        <v>2.9999999999998916E-3</v>
      </c>
      <c r="X30" s="171" t="str">
        <f>IF(W30="","",'Data Sheet'!$A$22)</f>
        <v>C</v>
      </c>
      <c r="Y30"/>
      <c r="Z30" s="78">
        <v>2</v>
      </c>
      <c r="AA30" s="78">
        <f t="shared" si="2"/>
        <v>1.3064697381374286</v>
      </c>
      <c r="AB30" s="78">
        <f t="shared" si="3"/>
        <v>1.2992635951959046</v>
      </c>
      <c r="AC30" s="78">
        <f t="shared" si="4"/>
        <v>1.3028666666666666</v>
      </c>
      <c r="AD30" s="94">
        <f>'Data Sheet'!D25</f>
        <v>1.3029999999999999</v>
      </c>
      <c r="AE30" s="171" t="str">
        <f>IF(AD30="","",'Data Sheet'!$A$22)</f>
        <v>C</v>
      </c>
      <c r="AF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</row>
    <row r="31" spans="1:64" ht="14.4" x14ac:dyDescent="0.3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T31" s="78">
        <v>3</v>
      </c>
      <c r="U31" s="78">
        <f t="shared" si="0"/>
        <v>5.2338000000000141E-3</v>
      </c>
      <c r="V31" s="78">
        <f t="shared" si="1"/>
        <v>2.0333333333333388E-3</v>
      </c>
      <c r="W31" s="94">
        <f>'Data Sheet'!E26</f>
        <v>1.0000000000001119E-3</v>
      </c>
      <c r="X31" s="171" t="str">
        <f>IF(W31="","",'Data Sheet'!$A$22)</f>
        <v>C</v>
      </c>
      <c r="Y31"/>
      <c r="Z31" s="78">
        <v>3</v>
      </c>
      <c r="AA31" s="78">
        <f t="shared" si="2"/>
        <v>1.3064697381374286</v>
      </c>
      <c r="AB31" s="78">
        <f t="shared" si="3"/>
        <v>1.2992635951959046</v>
      </c>
      <c r="AC31" s="78">
        <f t="shared" si="4"/>
        <v>1.3028666666666666</v>
      </c>
      <c r="AD31" s="94">
        <f>'Data Sheet'!E25</f>
        <v>1.3056666666666665</v>
      </c>
      <c r="AE31" s="171" t="str">
        <f>IF(AD31="","",'Data Sheet'!$A$22)</f>
        <v>C</v>
      </c>
      <c r="AF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</row>
    <row r="32" spans="1:64" ht="14.4" x14ac:dyDescent="0.3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T32" s="78">
        <v>4</v>
      </c>
      <c r="U32" s="78">
        <f t="shared" si="0"/>
        <v>5.2338000000000141E-3</v>
      </c>
      <c r="V32" s="78">
        <f t="shared" si="1"/>
        <v>2.0333333333333388E-3</v>
      </c>
      <c r="W32" s="94">
        <f>'Data Sheet'!F26</f>
        <v>0</v>
      </c>
      <c r="X32" s="171" t="str">
        <f>IF(W32="","",'Data Sheet'!$A$22)</f>
        <v>C</v>
      </c>
      <c r="Y32"/>
      <c r="Z32" s="78">
        <v>4</v>
      </c>
      <c r="AA32" s="78">
        <f t="shared" si="2"/>
        <v>1.3064697381374286</v>
      </c>
      <c r="AB32" s="78">
        <f t="shared" si="3"/>
        <v>1.2992635951959046</v>
      </c>
      <c r="AC32" s="78">
        <f t="shared" si="4"/>
        <v>1.3028666666666666</v>
      </c>
      <c r="AD32" s="94">
        <f>'Data Sheet'!F25</f>
        <v>1.3049999999999999</v>
      </c>
      <c r="AE32" s="171" t="str">
        <f>IF(AD32="","",'Data Sheet'!$A$22)</f>
        <v>C</v>
      </c>
      <c r="AF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</row>
    <row r="33" spans="1:64" ht="14.4" x14ac:dyDescent="0.3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T33" s="78">
        <v>5</v>
      </c>
      <c r="U33" s="78">
        <f t="shared" si="0"/>
        <v>5.2338000000000141E-3</v>
      </c>
      <c r="V33" s="78">
        <f t="shared" si="1"/>
        <v>2.0333333333333388E-3</v>
      </c>
      <c r="W33" s="94">
        <f>'Data Sheet'!G26</f>
        <v>4.0000000000000036E-3</v>
      </c>
      <c r="X33" s="171" t="str">
        <f>IF(W33="","",'Data Sheet'!$A$22)</f>
        <v>C</v>
      </c>
      <c r="Y33"/>
      <c r="Z33" s="78">
        <v>5</v>
      </c>
      <c r="AA33" s="78">
        <f t="shared" si="2"/>
        <v>1.3064697381374286</v>
      </c>
      <c r="AB33" s="78">
        <f t="shared" si="3"/>
        <v>1.2992635951959046</v>
      </c>
      <c r="AC33" s="78">
        <f t="shared" si="4"/>
        <v>1.3028666666666666</v>
      </c>
      <c r="AD33" s="94">
        <f>'Data Sheet'!G25</f>
        <v>1.3023333333333333</v>
      </c>
      <c r="AE33" s="171" t="str">
        <f>IF(AD33="","",'Data Sheet'!$A$22)</f>
        <v>C</v>
      </c>
      <c r="AF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</row>
    <row r="34" spans="1:64" ht="14.4" x14ac:dyDescent="0.3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T34" s="78">
        <v>6</v>
      </c>
      <c r="U34" s="78">
        <f t="shared" si="0"/>
        <v>5.2338000000000141E-3</v>
      </c>
      <c r="V34" s="78">
        <f t="shared" si="1"/>
        <v>2.0333333333333388E-3</v>
      </c>
      <c r="W34" s="94">
        <f>'Data Sheet'!H26</f>
        <v>4.9999999999998934E-3</v>
      </c>
      <c r="X34" s="171" t="str">
        <f>IF(W34="","",'Data Sheet'!$A$22)</f>
        <v>C</v>
      </c>
      <c r="Y34"/>
      <c r="Z34" s="78">
        <v>6</v>
      </c>
      <c r="AA34" s="78">
        <f t="shared" si="2"/>
        <v>1.3064697381374286</v>
      </c>
      <c r="AB34" s="78">
        <f t="shared" si="3"/>
        <v>1.2992635951959046</v>
      </c>
      <c r="AC34" s="78">
        <f t="shared" si="4"/>
        <v>1.3028666666666666</v>
      </c>
      <c r="AD34" s="94">
        <f>'Data Sheet'!H25</f>
        <v>1.3016666666666667</v>
      </c>
      <c r="AE34" s="171" t="str">
        <f>IF(AD34="","",'Data Sheet'!$A$22)</f>
        <v>C</v>
      </c>
      <c r="AF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</row>
    <row r="35" spans="1:64" ht="14.4" x14ac:dyDescent="0.3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T35" s="78">
        <v>7</v>
      </c>
      <c r="U35" s="78">
        <f t="shared" si="0"/>
        <v>5.2338000000000141E-3</v>
      </c>
      <c r="V35" s="78">
        <f t="shared" si="1"/>
        <v>2.0333333333333388E-3</v>
      </c>
      <c r="W35" s="94">
        <f>'Data Sheet'!I26</f>
        <v>4.9999999999998934E-3</v>
      </c>
      <c r="X35" s="171" t="str">
        <f>IF(W35="","",'Data Sheet'!$A$22)</f>
        <v>C</v>
      </c>
      <c r="Z35" s="78">
        <v>7</v>
      </c>
      <c r="AA35" s="78">
        <f t="shared" si="2"/>
        <v>1.3064697381374286</v>
      </c>
      <c r="AB35" s="78">
        <f t="shared" si="3"/>
        <v>1.2992635951959046</v>
      </c>
      <c r="AC35" s="78">
        <f t="shared" si="4"/>
        <v>1.3028666666666666</v>
      </c>
      <c r="AD35" s="94">
        <f>'Data Sheet'!I25</f>
        <v>1.3016666666666667</v>
      </c>
      <c r="AE35" s="171" t="str">
        <f>IF(AD35="","",'Data Sheet'!$A$22)</f>
        <v>C</v>
      </c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</row>
    <row r="36" spans="1:64" ht="14.4" x14ac:dyDescent="0.3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T36" s="78">
        <v>8</v>
      </c>
      <c r="U36" s="78">
        <f t="shared" si="0"/>
        <v>5.2338000000000141E-3</v>
      </c>
      <c r="V36" s="78">
        <f t="shared" si="1"/>
        <v>2.0333333333333388E-3</v>
      </c>
      <c r="W36" s="94">
        <f>'Data Sheet'!J26</f>
        <v>6.0000000000000053E-3</v>
      </c>
      <c r="X36" s="171" t="str">
        <f>IF(W36="","",'Data Sheet'!$A$22)</f>
        <v>C</v>
      </c>
      <c r="Z36" s="78">
        <v>8</v>
      </c>
      <c r="AA36" s="78">
        <f t="shared" si="2"/>
        <v>1.3064697381374286</v>
      </c>
      <c r="AB36" s="78">
        <f t="shared" si="3"/>
        <v>1.2992635951959046</v>
      </c>
      <c r="AC36" s="78">
        <f t="shared" si="4"/>
        <v>1.3028666666666666</v>
      </c>
      <c r="AD36" s="94">
        <f>'Data Sheet'!J25</f>
        <v>1.3009999999999999</v>
      </c>
      <c r="AE36" s="171" t="str">
        <f>IF(AD36="","",'Data Sheet'!$A$22)</f>
        <v>C</v>
      </c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</row>
    <row r="37" spans="1:64" ht="14.4" x14ac:dyDescent="0.3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T37" s="78">
        <v>9</v>
      </c>
      <c r="U37" s="78">
        <f t="shared" si="0"/>
        <v>5.2338000000000141E-3</v>
      </c>
      <c r="V37" s="78">
        <f t="shared" si="1"/>
        <v>2.0333333333333388E-3</v>
      </c>
      <c r="W37" s="94">
        <f>'Data Sheet'!K26</f>
        <v>1.0000000000001119E-3</v>
      </c>
      <c r="X37" s="171" t="str">
        <f>IF(W37="","",'Data Sheet'!$A$22)</f>
        <v>C</v>
      </c>
      <c r="Z37" s="78">
        <v>9</v>
      </c>
      <c r="AA37" s="78">
        <f t="shared" si="2"/>
        <v>1.3064697381374286</v>
      </c>
      <c r="AB37" s="78">
        <f t="shared" si="3"/>
        <v>1.2992635951959046</v>
      </c>
      <c r="AC37" s="78">
        <f t="shared" si="4"/>
        <v>1.3028666666666666</v>
      </c>
      <c r="AD37" s="94">
        <f>'Data Sheet'!K25</f>
        <v>1.3056666666666665</v>
      </c>
      <c r="AE37" s="171" t="str">
        <f>IF(AD37="","",'Data Sheet'!$A$22)</f>
        <v>C</v>
      </c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</row>
    <row r="38" spans="1:64" ht="14.4" x14ac:dyDescent="0.3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T38" s="78">
        <v>10</v>
      </c>
      <c r="U38" s="78">
        <f t="shared" si="0"/>
        <v>5.2338000000000141E-3</v>
      </c>
      <c r="V38" s="78">
        <f t="shared" si="1"/>
        <v>2.0333333333333388E-3</v>
      </c>
      <c r="W38" s="94">
        <f>'Data Sheet'!L26</f>
        <v>1.0000000000001119E-3</v>
      </c>
      <c r="X38" s="171" t="str">
        <f>IF(W38="","",'Data Sheet'!$A$22)</f>
        <v>C</v>
      </c>
      <c r="Z38" s="78">
        <v>10</v>
      </c>
      <c r="AA38" s="78">
        <f t="shared" si="2"/>
        <v>1.3064697381374286</v>
      </c>
      <c r="AB38" s="78">
        <f t="shared" si="3"/>
        <v>1.2992635951959046</v>
      </c>
      <c r="AC38" s="78">
        <f t="shared" si="4"/>
        <v>1.3028666666666666</v>
      </c>
      <c r="AD38" s="94">
        <f>'Data Sheet'!L25</f>
        <v>1.3056666666666665</v>
      </c>
      <c r="AE38" s="171" t="str">
        <f>IF(AD38="","",'Data Sheet'!$A$22)</f>
        <v>C</v>
      </c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</row>
    <row r="39" spans="1:64" ht="14.4" x14ac:dyDescent="0.3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</row>
    <row r="40" spans="1:64" ht="14.4" x14ac:dyDescent="0.3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T40" s="96" t="s">
        <v>148</v>
      </c>
      <c r="U40" t="s">
        <v>146</v>
      </c>
      <c r="V40" t="s">
        <v>147</v>
      </c>
      <c r="W40" t="s">
        <v>201</v>
      </c>
      <c r="X40"/>
      <c r="Y40"/>
      <c r="Z40" s="96" t="s">
        <v>148</v>
      </c>
      <c r="AA40" t="s">
        <v>181</v>
      </c>
      <c r="AB40" t="s">
        <v>201</v>
      </c>
      <c r="AC40" t="s">
        <v>182</v>
      </c>
      <c r="AD40" t="s">
        <v>146</v>
      </c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</row>
    <row r="41" spans="1:64" ht="14.4" x14ac:dyDescent="0.3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T41" s="97" t="s">
        <v>20</v>
      </c>
      <c r="U41" s="95"/>
      <c r="V41" s="95"/>
      <c r="W41" s="95"/>
      <c r="X41"/>
      <c r="Y41"/>
      <c r="Z41" s="97" t="s">
        <v>20</v>
      </c>
      <c r="AA41" s="95"/>
      <c r="AB41" s="95"/>
      <c r="AC41" s="95"/>
      <c r="AD41" s="95"/>
      <c r="AE41"/>
      <c r="AF41"/>
    </row>
    <row r="42" spans="1:64" ht="14.4" x14ac:dyDescent="0.3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T42" s="172">
        <v>1</v>
      </c>
      <c r="U42" s="95">
        <v>2.0333333333333388E-3</v>
      </c>
      <c r="V42" s="95">
        <v>5.2338000000000141E-3</v>
      </c>
      <c r="W42" s="95">
        <v>9.9999999999988987E-4</v>
      </c>
      <c r="X42"/>
      <c r="Y42"/>
      <c r="Z42" s="172">
        <v>1</v>
      </c>
      <c r="AA42" s="95">
        <v>1.3064697381374286</v>
      </c>
      <c r="AB42" s="95">
        <v>1.3003333333333333</v>
      </c>
      <c r="AC42" s="95">
        <v>1.2992635951959046</v>
      </c>
      <c r="AD42" s="95">
        <v>1.3028666666666666</v>
      </c>
      <c r="AE42"/>
      <c r="AF42"/>
    </row>
    <row r="43" spans="1:64" ht="14.4" x14ac:dyDescent="0.3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T43" s="172">
        <v>2</v>
      </c>
      <c r="U43" s="95">
        <v>2.0333333333333388E-3</v>
      </c>
      <c r="V43" s="95">
        <v>5.2338000000000141E-3</v>
      </c>
      <c r="W43" s="95">
        <v>9.9999999999988987E-4</v>
      </c>
      <c r="X43"/>
      <c r="Y43"/>
      <c r="Z43" s="172">
        <v>2</v>
      </c>
      <c r="AA43" s="95">
        <v>1.3064697381374286</v>
      </c>
      <c r="AB43" s="95">
        <v>1.3026666666666666</v>
      </c>
      <c r="AC43" s="95">
        <v>1.2992635951959046</v>
      </c>
      <c r="AD43" s="95">
        <v>1.3028666666666666</v>
      </c>
      <c r="AE43"/>
      <c r="AF43"/>
    </row>
    <row r="44" spans="1:64" ht="14.4" x14ac:dyDescent="0.3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T44" s="172">
        <v>3</v>
      </c>
      <c r="U44" s="95">
        <v>2.0333333333333388E-3</v>
      </c>
      <c r="V44" s="95">
        <v>5.2338000000000141E-3</v>
      </c>
      <c r="W44" s="95">
        <v>1.0000000000001119E-3</v>
      </c>
      <c r="X44"/>
      <c r="Y44"/>
      <c r="Z44" s="172">
        <v>3</v>
      </c>
      <c r="AA44" s="95">
        <v>1.3064697381374286</v>
      </c>
      <c r="AB44" s="95">
        <v>1.3056666666666665</v>
      </c>
      <c r="AC44" s="95">
        <v>1.2992635951959046</v>
      </c>
      <c r="AD44" s="95">
        <v>1.3028666666666666</v>
      </c>
      <c r="AE44"/>
      <c r="AF44"/>
    </row>
    <row r="45" spans="1:64" ht="14.4" x14ac:dyDescent="0.3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T45" s="172">
        <v>4</v>
      </c>
      <c r="U45" s="95">
        <v>2.0333333333333388E-3</v>
      </c>
      <c r="V45" s="95">
        <v>5.2338000000000141E-3</v>
      </c>
      <c r="W45" s="95">
        <v>0</v>
      </c>
      <c r="X45"/>
      <c r="Y45"/>
      <c r="Z45" s="172">
        <v>4</v>
      </c>
      <c r="AA45" s="95">
        <v>1.3064697381374286</v>
      </c>
      <c r="AB45" s="95">
        <v>1.3049999999999999</v>
      </c>
      <c r="AC45" s="95">
        <v>1.2992635951959046</v>
      </c>
      <c r="AD45" s="95">
        <v>1.3028666666666666</v>
      </c>
      <c r="AE45"/>
      <c r="AF45"/>
    </row>
    <row r="46" spans="1:64" ht="14.4" x14ac:dyDescent="0.3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T46" s="172">
        <v>5</v>
      </c>
      <c r="U46" s="95">
        <v>2.0333333333333388E-3</v>
      </c>
      <c r="V46" s="95">
        <v>5.2338000000000141E-3</v>
      </c>
      <c r="W46" s="95">
        <v>9.9999999999988987E-4</v>
      </c>
      <c r="X46"/>
      <c r="Y46"/>
      <c r="Z46" s="172">
        <v>5</v>
      </c>
      <c r="AA46" s="95">
        <v>1.3064697381374286</v>
      </c>
      <c r="AB46" s="95">
        <v>1.3003333333333333</v>
      </c>
      <c r="AC46" s="95">
        <v>1.2992635951959046</v>
      </c>
      <c r="AD46" s="95">
        <v>1.3028666666666666</v>
      </c>
      <c r="AE46"/>
      <c r="AF46"/>
    </row>
    <row r="47" spans="1:64" ht="14.4" x14ac:dyDescent="0.3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T47" s="172">
        <v>6</v>
      </c>
      <c r="U47" s="95">
        <v>2.0333333333333388E-3</v>
      </c>
      <c r="V47" s="95">
        <v>5.2338000000000141E-3</v>
      </c>
      <c r="W47" s="95">
        <v>0</v>
      </c>
      <c r="X47"/>
      <c r="Y47"/>
      <c r="Z47" s="172">
        <v>6</v>
      </c>
      <c r="AA47" s="95">
        <v>1.3064697381374286</v>
      </c>
      <c r="AB47" s="95">
        <v>1.3</v>
      </c>
      <c r="AC47" s="95">
        <v>1.2992635951959046</v>
      </c>
      <c r="AD47" s="95">
        <v>1.3028666666666666</v>
      </c>
      <c r="AE47"/>
      <c r="AF47"/>
    </row>
    <row r="48" spans="1:64" ht="13.2" hidden="1" customHeight="1" x14ac:dyDescent="0.3">
      <c r="T48" s="172">
        <v>7</v>
      </c>
      <c r="U48" s="95">
        <v>2.0333333333333388E-3</v>
      </c>
      <c r="V48" s="95">
        <v>5.2338000000000141E-3</v>
      </c>
      <c r="W48" s="95">
        <v>3.0000000000001137E-3</v>
      </c>
      <c r="X48"/>
      <c r="Y48"/>
      <c r="Z48" s="172">
        <v>7</v>
      </c>
      <c r="AA48" s="95">
        <v>1.3064697381374286</v>
      </c>
      <c r="AB48" s="95">
        <v>1.2990000000000002</v>
      </c>
      <c r="AC48" s="95">
        <v>1.2992635951959046</v>
      </c>
      <c r="AD48" s="95">
        <v>1.3028666666666666</v>
      </c>
      <c r="AE48"/>
      <c r="AF48"/>
    </row>
    <row r="49" spans="20:32" ht="13.2" hidden="1" customHeight="1" x14ac:dyDescent="0.3">
      <c r="T49" s="172">
        <v>8</v>
      </c>
      <c r="U49" s="95">
        <v>2.0333333333333388E-3</v>
      </c>
      <c r="V49" s="95">
        <v>5.2338000000000141E-3</v>
      </c>
      <c r="W49" s="95">
        <v>7.0000000000001172E-3</v>
      </c>
      <c r="X49"/>
      <c r="Y49"/>
      <c r="Z49" s="172">
        <v>8</v>
      </c>
      <c r="AA49" s="95">
        <v>1.3064697381374286</v>
      </c>
      <c r="AB49" s="95">
        <v>1.3016666666666665</v>
      </c>
      <c r="AC49" s="95">
        <v>1.2992635951959046</v>
      </c>
      <c r="AD49" s="95">
        <v>1.3028666666666666</v>
      </c>
      <c r="AE49"/>
      <c r="AF49"/>
    </row>
    <row r="50" spans="20:32" ht="13.2" hidden="1" customHeight="1" x14ac:dyDescent="0.3">
      <c r="T50" s="172">
        <v>9</v>
      </c>
      <c r="U50" s="95">
        <v>2.0333333333333388E-3</v>
      </c>
      <c r="V50" s="95">
        <v>5.2338000000000141E-3</v>
      </c>
      <c r="W50" s="95">
        <v>0</v>
      </c>
      <c r="X50"/>
      <c r="Y50"/>
      <c r="Z50" s="172">
        <v>9</v>
      </c>
      <c r="AA50" s="95">
        <v>1.3064697381374286</v>
      </c>
      <c r="AB50" s="95">
        <v>1.306</v>
      </c>
      <c r="AC50" s="95">
        <v>1.2992635951959046</v>
      </c>
      <c r="AD50" s="95">
        <v>1.3028666666666666</v>
      </c>
      <c r="AE50"/>
      <c r="AF50"/>
    </row>
    <row r="51" spans="20:32" ht="13.2" hidden="1" customHeight="1" x14ac:dyDescent="0.3">
      <c r="T51" s="172">
        <v>10</v>
      </c>
      <c r="U51" s="95">
        <v>2.0333333333333388E-3</v>
      </c>
      <c r="V51" s="95">
        <v>5.2338000000000141E-3</v>
      </c>
      <c r="W51" s="95">
        <v>1.0000000000001119E-3</v>
      </c>
      <c r="X51"/>
      <c r="Y51"/>
      <c r="Z51" s="172">
        <v>10</v>
      </c>
      <c r="AA51" s="95">
        <v>1.3064697381374286</v>
      </c>
      <c r="AB51" s="95">
        <v>1.3056666666666665</v>
      </c>
      <c r="AC51" s="95">
        <v>1.2992635951959046</v>
      </c>
      <c r="AD51" s="95">
        <v>1.3028666666666666</v>
      </c>
      <c r="AE51"/>
      <c r="AF51"/>
    </row>
    <row r="52" spans="20:32" ht="13.2" hidden="1" customHeight="1" x14ac:dyDescent="0.3">
      <c r="T52" s="97" t="s">
        <v>24</v>
      </c>
      <c r="U52" s="95"/>
      <c r="V52" s="95"/>
      <c r="W52" s="95"/>
      <c r="X52" s="78"/>
      <c r="Z52" s="97" t="s">
        <v>24</v>
      </c>
      <c r="AA52" s="95"/>
      <c r="AB52" s="95"/>
      <c r="AC52" s="95"/>
      <c r="AD52" s="95"/>
    </row>
    <row r="53" spans="20:32" ht="13.2" hidden="1" customHeight="1" x14ac:dyDescent="0.3">
      <c r="T53" s="172">
        <v>1</v>
      </c>
      <c r="U53" s="95">
        <v>2.0333333333333388E-3</v>
      </c>
      <c r="V53" s="95">
        <v>5.2338000000000141E-3</v>
      </c>
      <c r="W53" s="95">
        <v>9.9999999999988987E-4</v>
      </c>
      <c r="Z53" s="172">
        <v>1</v>
      </c>
      <c r="AA53" s="95">
        <v>1.3064697381374286</v>
      </c>
      <c r="AB53" s="95">
        <v>1.3003333333333333</v>
      </c>
      <c r="AC53" s="95">
        <v>1.2992635951959046</v>
      </c>
      <c r="AD53" s="95">
        <v>1.3028666666666666</v>
      </c>
    </row>
    <row r="54" spans="20:32" ht="13.2" hidden="1" customHeight="1" x14ac:dyDescent="0.3">
      <c r="T54" s="172">
        <v>2</v>
      </c>
      <c r="U54" s="95">
        <v>2.0333333333333388E-3</v>
      </c>
      <c r="V54" s="95">
        <v>5.2338000000000141E-3</v>
      </c>
      <c r="W54" s="95">
        <v>9.9999999999988987E-4</v>
      </c>
      <c r="Z54" s="172">
        <v>2</v>
      </c>
      <c r="AA54" s="95">
        <v>1.3064697381374286</v>
      </c>
      <c r="AB54" s="95">
        <v>1.3026666666666666</v>
      </c>
      <c r="AC54" s="95">
        <v>1.2992635951959046</v>
      </c>
      <c r="AD54" s="95">
        <v>1.3028666666666666</v>
      </c>
    </row>
    <row r="55" spans="20:32" ht="13.2" hidden="1" customHeight="1" x14ac:dyDescent="0.3">
      <c r="T55" s="172">
        <v>3</v>
      </c>
      <c r="U55" s="95">
        <v>2.0333333333333388E-3</v>
      </c>
      <c r="V55" s="95">
        <v>5.2338000000000141E-3</v>
      </c>
      <c r="W55" s="95">
        <v>1.0000000000001119E-3</v>
      </c>
      <c r="Z55" s="172">
        <v>3</v>
      </c>
      <c r="AA55" s="95">
        <v>1.3064697381374286</v>
      </c>
      <c r="AB55" s="95">
        <v>1.3056666666666665</v>
      </c>
      <c r="AC55" s="95">
        <v>1.2992635951959046</v>
      </c>
      <c r="AD55" s="95">
        <v>1.3028666666666666</v>
      </c>
    </row>
    <row r="56" spans="20:32" ht="13.2" hidden="1" customHeight="1" x14ac:dyDescent="0.3">
      <c r="T56" s="172">
        <v>4</v>
      </c>
      <c r="U56" s="95">
        <v>2.0333333333333388E-3</v>
      </c>
      <c r="V56" s="95">
        <v>5.2338000000000141E-3</v>
      </c>
      <c r="W56" s="95">
        <v>0</v>
      </c>
      <c r="Z56" s="172">
        <v>4</v>
      </c>
      <c r="AA56" s="95">
        <v>1.3064697381374286</v>
      </c>
      <c r="AB56" s="95">
        <v>1.3049999999999999</v>
      </c>
      <c r="AC56" s="95">
        <v>1.2992635951959046</v>
      </c>
      <c r="AD56" s="95">
        <v>1.3028666666666666</v>
      </c>
    </row>
    <row r="57" spans="20:32" ht="13.2" hidden="1" customHeight="1" x14ac:dyDescent="0.3">
      <c r="T57" s="172">
        <v>5</v>
      </c>
      <c r="U57" s="95">
        <v>2.0333333333333388E-3</v>
      </c>
      <c r="V57" s="95">
        <v>5.2338000000000141E-3</v>
      </c>
      <c r="W57" s="95">
        <v>9.9999999999988987E-4</v>
      </c>
      <c r="Z57" s="172">
        <v>5</v>
      </c>
      <c r="AA57" s="95">
        <v>1.3064697381374286</v>
      </c>
      <c r="AB57" s="95">
        <v>1.3003333333333333</v>
      </c>
      <c r="AC57" s="95">
        <v>1.2992635951959046</v>
      </c>
      <c r="AD57" s="95">
        <v>1.3028666666666666</v>
      </c>
    </row>
    <row r="58" spans="20:32" ht="13.2" hidden="1" customHeight="1" x14ac:dyDescent="0.3">
      <c r="T58" s="172">
        <v>6</v>
      </c>
      <c r="U58" s="95">
        <v>2.0333333333333388E-3</v>
      </c>
      <c r="V58" s="95">
        <v>5.2338000000000141E-3</v>
      </c>
      <c r="W58" s="95">
        <v>0</v>
      </c>
      <c r="Z58" s="172">
        <v>6</v>
      </c>
      <c r="AA58" s="95">
        <v>1.3064697381374286</v>
      </c>
      <c r="AB58" s="95">
        <v>1.3</v>
      </c>
      <c r="AC58" s="95">
        <v>1.2992635951959046</v>
      </c>
      <c r="AD58" s="95">
        <v>1.3028666666666666</v>
      </c>
    </row>
    <row r="59" spans="20:32" ht="13.2" hidden="1" customHeight="1" x14ac:dyDescent="0.3">
      <c r="T59" s="172">
        <v>7</v>
      </c>
      <c r="U59" s="95">
        <v>2.0333333333333388E-3</v>
      </c>
      <c r="V59" s="95">
        <v>5.2338000000000141E-3</v>
      </c>
      <c r="W59" s="95">
        <v>3.0000000000001137E-3</v>
      </c>
      <c r="Z59" s="172">
        <v>7</v>
      </c>
      <c r="AA59" s="95">
        <v>1.3064697381374286</v>
      </c>
      <c r="AB59" s="95">
        <v>1.2990000000000002</v>
      </c>
      <c r="AC59" s="95">
        <v>1.2992635951959046</v>
      </c>
      <c r="AD59" s="95">
        <v>1.3028666666666666</v>
      </c>
    </row>
    <row r="60" spans="20:32" ht="13.2" hidden="1" customHeight="1" x14ac:dyDescent="0.3">
      <c r="T60" s="172">
        <v>8</v>
      </c>
      <c r="U60" s="95">
        <v>2.0333333333333388E-3</v>
      </c>
      <c r="V60" s="95">
        <v>5.2338000000000141E-3</v>
      </c>
      <c r="W60" s="95">
        <v>7.0000000000001172E-3</v>
      </c>
      <c r="Z60" s="172">
        <v>8</v>
      </c>
      <c r="AA60" s="95">
        <v>1.3064697381374286</v>
      </c>
      <c r="AB60" s="95">
        <v>1.3016666666666665</v>
      </c>
      <c r="AC60" s="95">
        <v>1.2992635951959046</v>
      </c>
      <c r="AD60" s="95">
        <v>1.3028666666666666</v>
      </c>
    </row>
    <row r="61" spans="20:32" ht="13.2" hidden="1" customHeight="1" x14ac:dyDescent="0.3">
      <c r="T61" s="172">
        <v>9</v>
      </c>
      <c r="U61" s="95">
        <v>2.0333333333333388E-3</v>
      </c>
      <c r="V61" s="95">
        <v>5.2338000000000141E-3</v>
      </c>
      <c r="W61" s="95">
        <v>0</v>
      </c>
      <c r="Z61" s="172">
        <v>9</v>
      </c>
      <c r="AA61" s="95">
        <v>1.3064697381374286</v>
      </c>
      <c r="AB61" s="95">
        <v>1.306</v>
      </c>
      <c r="AC61" s="95">
        <v>1.2992635951959046</v>
      </c>
      <c r="AD61" s="95">
        <v>1.3028666666666666</v>
      </c>
    </row>
    <row r="62" spans="20:32" ht="13.2" hidden="1" customHeight="1" x14ac:dyDescent="0.3">
      <c r="T62" s="172">
        <v>10</v>
      </c>
      <c r="U62" s="95">
        <v>2.0333333333333388E-3</v>
      </c>
      <c r="V62" s="95">
        <v>5.2338000000000141E-3</v>
      </c>
      <c r="W62" s="95">
        <v>1.0000000000001119E-3</v>
      </c>
      <c r="Z62" s="172">
        <v>10</v>
      </c>
      <c r="AA62" s="95">
        <v>1.3064697381374286</v>
      </c>
      <c r="AB62" s="95">
        <v>1.3056666666666665</v>
      </c>
      <c r="AC62" s="95">
        <v>1.2992635951959046</v>
      </c>
      <c r="AD62" s="95">
        <v>1.3028666666666666</v>
      </c>
    </row>
    <row r="63" spans="20:32" ht="13.2" hidden="1" customHeight="1" x14ac:dyDescent="0.3">
      <c r="T63" s="97" t="s">
        <v>27</v>
      </c>
      <c r="U63" s="95"/>
      <c r="V63" s="95"/>
      <c r="W63" s="95"/>
      <c r="Z63" s="97" t="s">
        <v>27</v>
      </c>
      <c r="AA63" s="95"/>
      <c r="AB63" s="95"/>
      <c r="AC63" s="95"/>
      <c r="AD63" s="95"/>
    </row>
    <row r="64" spans="20:32" ht="13.2" hidden="1" customHeight="1" x14ac:dyDescent="0.3">
      <c r="T64" s="172">
        <v>1</v>
      </c>
      <c r="U64" s="95">
        <v>2.0333333333333388E-3</v>
      </c>
      <c r="V64" s="95">
        <v>5.2338000000000141E-3</v>
      </c>
      <c r="W64" s="95">
        <v>4.9999999999998934E-3</v>
      </c>
      <c r="Z64" s="172">
        <v>1</v>
      </c>
      <c r="AA64" s="95">
        <v>1.3064697381374286</v>
      </c>
      <c r="AB64" s="95">
        <v>1.3016666666666667</v>
      </c>
      <c r="AC64" s="95">
        <v>1.2992635951959046</v>
      </c>
      <c r="AD64" s="95">
        <v>1.3028666666666666</v>
      </c>
    </row>
    <row r="65" spans="20:30" ht="13.2" hidden="1" customHeight="1" x14ac:dyDescent="0.3">
      <c r="T65" s="172">
        <v>2</v>
      </c>
      <c r="U65" s="95">
        <v>2.0333333333333388E-3</v>
      </c>
      <c r="V65" s="95">
        <v>5.2338000000000141E-3</v>
      </c>
      <c r="W65" s="95">
        <v>2.9999999999998916E-3</v>
      </c>
      <c r="Z65" s="172">
        <v>2</v>
      </c>
      <c r="AA65" s="95">
        <v>1.3064697381374286</v>
      </c>
      <c r="AB65" s="95">
        <v>1.3029999999999999</v>
      </c>
      <c r="AC65" s="95">
        <v>1.2992635951959046</v>
      </c>
      <c r="AD65" s="95">
        <v>1.3028666666666666</v>
      </c>
    </row>
    <row r="66" spans="20:30" ht="13.2" hidden="1" customHeight="1" x14ac:dyDescent="0.3">
      <c r="T66" s="172">
        <v>3</v>
      </c>
      <c r="U66" s="95">
        <v>2.0333333333333388E-3</v>
      </c>
      <c r="V66" s="95">
        <v>5.2338000000000141E-3</v>
      </c>
      <c r="W66" s="95">
        <v>1.0000000000001119E-3</v>
      </c>
      <c r="Z66" s="172">
        <v>3</v>
      </c>
      <c r="AA66" s="95">
        <v>1.3064697381374286</v>
      </c>
      <c r="AB66" s="95">
        <v>1.3056666666666665</v>
      </c>
      <c r="AC66" s="95">
        <v>1.2992635951959046</v>
      </c>
      <c r="AD66" s="95">
        <v>1.3028666666666666</v>
      </c>
    </row>
    <row r="67" spans="20:30" ht="13.2" hidden="1" customHeight="1" x14ac:dyDescent="0.3">
      <c r="T67" s="172">
        <v>4</v>
      </c>
      <c r="U67" s="95">
        <v>2.0333333333333388E-3</v>
      </c>
      <c r="V67" s="95">
        <v>5.2338000000000141E-3</v>
      </c>
      <c r="W67" s="95">
        <v>0</v>
      </c>
      <c r="Z67" s="172">
        <v>4</v>
      </c>
      <c r="AA67" s="95">
        <v>1.3064697381374286</v>
      </c>
      <c r="AB67" s="95">
        <v>1.3049999999999999</v>
      </c>
      <c r="AC67" s="95">
        <v>1.2992635951959046</v>
      </c>
      <c r="AD67" s="95">
        <v>1.3028666666666666</v>
      </c>
    </row>
    <row r="68" spans="20:30" ht="13.2" hidden="1" customHeight="1" x14ac:dyDescent="0.3">
      <c r="T68" s="172">
        <v>5</v>
      </c>
      <c r="U68" s="95">
        <v>2.0333333333333388E-3</v>
      </c>
      <c r="V68" s="95">
        <v>5.2338000000000141E-3</v>
      </c>
      <c r="W68" s="95">
        <v>4.0000000000000036E-3</v>
      </c>
      <c r="Z68" s="172">
        <v>5</v>
      </c>
      <c r="AA68" s="95">
        <v>1.3064697381374286</v>
      </c>
      <c r="AB68" s="95">
        <v>1.3023333333333333</v>
      </c>
      <c r="AC68" s="95">
        <v>1.2992635951959046</v>
      </c>
      <c r="AD68" s="95">
        <v>1.3028666666666666</v>
      </c>
    </row>
    <row r="69" spans="20:30" ht="13.2" hidden="1" customHeight="1" x14ac:dyDescent="0.3">
      <c r="T69" s="172">
        <v>6</v>
      </c>
      <c r="U69" s="95">
        <v>2.0333333333333388E-3</v>
      </c>
      <c r="V69" s="95">
        <v>5.2338000000000141E-3</v>
      </c>
      <c r="W69" s="95">
        <v>4.9999999999998934E-3</v>
      </c>
      <c r="Z69" s="172">
        <v>6</v>
      </c>
      <c r="AA69" s="95">
        <v>1.3064697381374286</v>
      </c>
      <c r="AB69" s="95">
        <v>1.3016666666666667</v>
      </c>
      <c r="AC69" s="95">
        <v>1.2992635951959046</v>
      </c>
      <c r="AD69" s="95">
        <v>1.3028666666666666</v>
      </c>
    </row>
    <row r="70" spans="20:30" ht="13.2" hidden="1" customHeight="1" x14ac:dyDescent="0.3">
      <c r="T70" s="172">
        <v>7</v>
      </c>
      <c r="U70" s="95">
        <v>2.0333333333333388E-3</v>
      </c>
      <c r="V70" s="95">
        <v>5.2338000000000141E-3</v>
      </c>
      <c r="W70" s="95">
        <v>4.9999999999998934E-3</v>
      </c>
      <c r="Z70" s="172">
        <v>7</v>
      </c>
      <c r="AA70" s="95">
        <v>1.3064697381374286</v>
      </c>
      <c r="AB70" s="95">
        <v>1.3016666666666667</v>
      </c>
      <c r="AC70" s="95">
        <v>1.2992635951959046</v>
      </c>
      <c r="AD70" s="95">
        <v>1.3028666666666666</v>
      </c>
    </row>
    <row r="71" spans="20:30" ht="13.2" hidden="1" customHeight="1" x14ac:dyDescent="0.3">
      <c r="T71" s="172">
        <v>8</v>
      </c>
      <c r="U71" s="95">
        <v>2.0333333333333388E-3</v>
      </c>
      <c r="V71" s="95">
        <v>5.2338000000000141E-3</v>
      </c>
      <c r="W71" s="95">
        <v>6.0000000000000053E-3</v>
      </c>
      <c r="Z71" s="172">
        <v>8</v>
      </c>
      <c r="AA71" s="95">
        <v>1.3064697381374286</v>
      </c>
      <c r="AB71" s="95">
        <v>1.3009999999999999</v>
      </c>
      <c r="AC71" s="95">
        <v>1.2992635951959046</v>
      </c>
      <c r="AD71" s="95">
        <v>1.3028666666666666</v>
      </c>
    </row>
    <row r="72" spans="20:30" ht="13.2" hidden="1" customHeight="1" x14ac:dyDescent="0.3">
      <c r="T72" s="172">
        <v>9</v>
      </c>
      <c r="U72" s="95">
        <v>2.0333333333333388E-3</v>
      </c>
      <c r="V72" s="95">
        <v>5.2338000000000141E-3</v>
      </c>
      <c r="W72" s="95">
        <v>1.0000000000001119E-3</v>
      </c>
      <c r="Z72" s="172">
        <v>9</v>
      </c>
      <c r="AA72" s="95">
        <v>1.3064697381374286</v>
      </c>
      <c r="AB72" s="95">
        <v>1.3056666666666665</v>
      </c>
      <c r="AC72" s="95">
        <v>1.2992635951959046</v>
      </c>
      <c r="AD72" s="95">
        <v>1.3028666666666666</v>
      </c>
    </row>
    <row r="73" spans="20:30" ht="13.2" hidden="1" customHeight="1" x14ac:dyDescent="0.3">
      <c r="T73" s="172">
        <v>10</v>
      </c>
      <c r="U73" s="95">
        <v>2.0333333333333388E-3</v>
      </c>
      <c r="V73" s="95">
        <v>5.2338000000000141E-3</v>
      </c>
      <c r="W73" s="95">
        <v>1.0000000000001119E-3</v>
      </c>
      <c r="Z73" s="172">
        <v>10</v>
      </c>
      <c r="AA73" s="95">
        <v>1.3064697381374286</v>
      </c>
      <c r="AB73" s="95">
        <v>1.3056666666666665</v>
      </c>
      <c r="AC73" s="95">
        <v>1.2992635951959046</v>
      </c>
      <c r="AD73" s="95">
        <v>1.3028666666666666</v>
      </c>
    </row>
    <row r="74" spans="20:30" ht="13.2" hidden="1" customHeight="1" x14ac:dyDescent="0.3">
      <c r="T74" s="97" t="s">
        <v>149</v>
      </c>
      <c r="U74" s="95">
        <v>6.1000000000000158E-2</v>
      </c>
      <c r="V74" s="95">
        <v>0.15701400000000035</v>
      </c>
      <c r="W74" s="95">
        <v>6.1000000000000165E-2</v>
      </c>
      <c r="Z74" s="97" t="s">
        <v>149</v>
      </c>
      <c r="AA74" s="95">
        <v>39.194092144122884</v>
      </c>
      <c r="AB74" s="95">
        <v>39.086000000000013</v>
      </c>
      <c r="AC74" s="95">
        <v>38.977907855877113</v>
      </c>
      <c r="AD74" s="95">
        <v>39.085999999999999</v>
      </c>
    </row>
    <row r="75" spans="20:30" ht="13.2" hidden="1" customHeight="1" x14ac:dyDescent="0.3">
      <c r="T75"/>
      <c r="U75"/>
      <c r="V75"/>
      <c r="W75"/>
    </row>
    <row r="76" spans="20:30" ht="13.2" hidden="1" customHeight="1" x14ac:dyDescent="0.3">
      <c r="T76"/>
      <c r="U76"/>
      <c r="V76"/>
      <c r="W76"/>
    </row>
    <row r="77" spans="20:30" ht="13.2" hidden="1" customHeight="1" x14ac:dyDescent="0.3">
      <c r="T77"/>
      <c r="U77"/>
      <c r="V77"/>
      <c r="W77"/>
    </row>
    <row r="78" spans="20:30" ht="13.2" hidden="1" customHeight="1" x14ac:dyDescent="0.3">
      <c r="T78"/>
      <c r="U78"/>
      <c r="V78"/>
      <c r="W78"/>
    </row>
    <row r="79" spans="20:30" ht="13.2" hidden="1" customHeight="1" x14ac:dyDescent="0.3">
      <c r="T79"/>
      <c r="U79"/>
      <c r="V79"/>
      <c r="W79"/>
    </row>
    <row r="80" spans="20:30" ht="13.2" hidden="1" customHeight="1" x14ac:dyDescent="0.3">
      <c r="T80"/>
      <c r="U80"/>
      <c r="V80"/>
      <c r="W80"/>
    </row>
    <row r="81" spans="20:23" ht="13.2" hidden="1" customHeight="1" x14ac:dyDescent="0.3">
      <c r="T81"/>
      <c r="U81"/>
      <c r="V81"/>
      <c r="W81"/>
    </row>
  </sheetData>
  <mergeCells count="19">
    <mergeCell ref="Z7:AE7"/>
    <mergeCell ref="AG7:BL7"/>
    <mergeCell ref="J6:L6"/>
    <mergeCell ref="N6:O6"/>
    <mergeCell ref="T7:X7"/>
    <mergeCell ref="P6:Q6"/>
    <mergeCell ref="J5:L5"/>
    <mergeCell ref="N5:O5"/>
    <mergeCell ref="P5:Q5"/>
    <mergeCell ref="P4:Q4"/>
    <mergeCell ref="B4:C4"/>
    <mergeCell ref="D4:F4"/>
    <mergeCell ref="J4:L4"/>
    <mergeCell ref="N4:O4"/>
    <mergeCell ref="B1:H1"/>
    <mergeCell ref="B6:C6"/>
    <mergeCell ref="D6:F6"/>
    <mergeCell ref="B5:C5"/>
    <mergeCell ref="D5:F5"/>
  </mergeCells>
  <pageMargins left="0.7" right="0.7" top="0.75" bottom="0.75" header="0.3" footer="0.3"/>
  <pageSetup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3"/>
  <sheetViews>
    <sheetView tabSelected="1" zoomScale="80" zoomScaleNormal="80" workbookViewId="0">
      <selection activeCell="H3" sqref="H3"/>
    </sheetView>
  </sheetViews>
  <sheetFormatPr defaultColWidth="0" defaultRowHeight="0" customHeight="1" zeroHeight="1" x14ac:dyDescent="0.3"/>
  <cols>
    <col min="1" max="1" width="8.44140625" style="77" customWidth="1"/>
    <col min="2" max="2" width="11" style="77" customWidth="1"/>
    <col min="3" max="3" width="11.33203125" style="77" customWidth="1"/>
    <col min="4" max="17" width="11" style="77" customWidth="1"/>
    <col min="18" max="18" width="8.44140625" style="77" customWidth="1"/>
    <col min="19" max="32" width="8.88671875" hidden="1" customWidth="1"/>
    <col min="33" max="33" width="14.6640625" hidden="1" customWidth="1"/>
    <col min="34" max="38" width="8.88671875" hidden="1" customWidth="1"/>
    <col min="39" max="39" width="9.5546875" hidden="1" customWidth="1"/>
    <col min="40" max="16384" width="8.88671875" hidden="1"/>
  </cols>
  <sheetData>
    <row r="1" spans="1:42" ht="15" customHeight="1" x14ac:dyDescent="0.3">
      <c r="A1" s="50" t="s">
        <v>99</v>
      </c>
      <c r="B1" s="51"/>
      <c r="C1" s="52"/>
      <c r="D1" s="52"/>
      <c r="E1" s="52"/>
      <c r="F1" s="52"/>
      <c r="G1" s="52"/>
      <c r="H1" s="53"/>
      <c r="I1" s="53"/>
      <c r="J1" s="53"/>
      <c r="K1" s="53"/>
      <c r="L1" s="51"/>
      <c r="M1" s="51"/>
      <c r="N1" s="51"/>
      <c r="O1" s="53"/>
      <c r="P1" s="53"/>
      <c r="Q1" s="53"/>
      <c r="R1" s="53"/>
      <c r="AA1" s="117" t="s">
        <v>184</v>
      </c>
      <c r="AB1" t="s">
        <v>192</v>
      </c>
      <c r="AC1" t="s">
        <v>192</v>
      </c>
      <c r="AD1" t="s">
        <v>192</v>
      </c>
      <c r="AF1" t="s">
        <v>183</v>
      </c>
      <c r="AG1" s="119"/>
      <c r="AH1">
        <v>0</v>
      </c>
      <c r="AI1">
        <v>1</v>
      </c>
      <c r="AJ1">
        <v>2</v>
      </c>
      <c r="AM1" t="s">
        <v>196</v>
      </c>
      <c r="AN1" t="s">
        <v>197</v>
      </c>
      <c r="AO1" t="s">
        <v>198</v>
      </c>
      <c r="AP1" t="s">
        <v>199</v>
      </c>
    </row>
    <row r="2" spans="1:42" ht="15" customHeight="1" x14ac:dyDescent="0.3">
      <c r="A2" s="53"/>
      <c r="B2" s="220" t="s">
        <v>1</v>
      </c>
      <c r="C2" s="220"/>
      <c r="D2" s="221" t="str">
        <f>IF('Data Sheet'!C2="","",'Data Sheet'!C2)</f>
        <v/>
      </c>
      <c r="E2" s="222"/>
      <c r="F2" s="223"/>
      <c r="G2" s="51"/>
      <c r="H2" s="52" t="s">
        <v>36</v>
      </c>
      <c r="I2" s="52"/>
      <c r="J2" s="221" t="str">
        <f>IF('Data Sheet'!H2="","",'Data Sheet'!H2)</f>
        <v/>
      </c>
      <c r="K2" s="222"/>
      <c r="L2" s="223"/>
      <c r="M2" s="51"/>
      <c r="N2" s="220" t="s">
        <v>100</v>
      </c>
      <c r="O2" s="220"/>
      <c r="P2" s="228">
        <f>'Data Sheet'!C6</f>
        <v>1.3320000000000001</v>
      </c>
      <c r="Q2" s="228"/>
      <c r="R2" s="56"/>
      <c r="T2" s="107">
        <v>1</v>
      </c>
      <c r="U2" s="108">
        <f t="shared" ref="U2:U11" ca="1" si="0">AH2</f>
        <v>1.3</v>
      </c>
      <c r="V2" s="108">
        <f t="shared" ref="V2:V11" ca="1" si="1">AI2</f>
        <v>1.3009999999999999</v>
      </c>
      <c r="W2" s="109">
        <f t="shared" ref="W2:W11" ca="1" si="2">AJ2</f>
        <v>1.3</v>
      </c>
      <c r="X2" s="107">
        <f t="shared" ref="X2:X11" ca="1" si="3">(U2-$AF$2)^2</f>
        <v>8.2177777777772413E-6</v>
      </c>
      <c r="Y2" s="108">
        <f t="shared" ref="Y2:Y11" ca="1" si="4">(V2-$AF$2)^2</f>
        <v>3.4844444444445059E-6</v>
      </c>
      <c r="Z2" s="109">
        <f t="shared" ref="Z2:Z11" ca="1" si="5">(W2-$AF$2)^2</f>
        <v>8.2177777777772413E-6</v>
      </c>
      <c r="AA2" s="111">
        <f ca="1">AVERAGE(U2:W2)</f>
        <v>1.3003333333333333</v>
      </c>
      <c r="AB2">
        <f ca="1">(U2-$AA2)^2</f>
        <v>1.1111111111108664E-7</v>
      </c>
      <c r="AC2">
        <f ca="1">(V2-$AA2)^2</f>
        <v>4.4444444444434655E-7</v>
      </c>
      <c r="AD2">
        <f ca="1">(W2-$AA2)^2</f>
        <v>1.1111111111108664E-7</v>
      </c>
      <c r="AF2" s="111">
        <f ca="1">AVERAGE(U12:W12,U26:W26,U40:W40)</f>
        <v>1.3028666666666666</v>
      </c>
      <c r="AH2">
        <f ca="1">OFFSET('Data Sheet'!$C$12,AH$1,$AK2)</f>
        <v>1.3</v>
      </c>
      <c r="AI2">
        <f ca="1">OFFSET('Data Sheet'!$C$12,AI$1,$AK2)</f>
        <v>1.3009999999999999</v>
      </c>
      <c r="AJ2">
        <f ca="1">OFFSET('Data Sheet'!$C$12,AJ$1,$AK2)</f>
        <v>1.3</v>
      </c>
      <c r="AK2">
        <v>0</v>
      </c>
    </row>
    <row r="3" spans="1:42" ht="15" customHeight="1" x14ac:dyDescent="0.3">
      <c r="A3" s="53"/>
      <c r="B3" s="220" t="s">
        <v>2</v>
      </c>
      <c r="C3" s="220"/>
      <c r="D3" s="221" t="str">
        <f>IF('Data Sheet'!C3="","",'Data Sheet'!C3)</f>
        <v/>
      </c>
      <c r="E3" s="222"/>
      <c r="F3" s="223"/>
      <c r="G3" s="51"/>
      <c r="H3" s="52" t="s">
        <v>38</v>
      </c>
      <c r="I3" s="52"/>
      <c r="J3" s="221" t="str">
        <f>IF('Data Sheet'!H3="","",'Data Sheet'!H3)</f>
        <v/>
      </c>
      <c r="K3" s="222"/>
      <c r="L3" s="223"/>
      <c r="M3" s="51"/>
      <c r="N3" s="220" t="s">
        <v>101</v>
      </c>
      <c r="O3" s="220"/>
      <c r="P3" s="227">
        <f>'Data Sheet'!C7</f>
        <v>1.268</v>
      </c>
      <c r="Q3" s="227"/>
      <c r="R3" s="56"/>
      <c r="T3" s="110">
        <v>2</v>
      </c>
      <c r="U3" s="111">
        <f t="shared" ca="1" si="0"/>
        <v>1.3029999999999999</v>
      </c>
      <c r="V3" s="111">
        <f t="shared" ca="1" si="1"/>
        <v>1.3029999999999999</v>
      </c>
      <c r="W3" s="112">
        <f t="shared" ca="1" si="2"/>
        <v>1.302</v>
      </c>
      <c r="X3" s="110">
        <f t="shared" ca="1" si="3"/>
        <v>1.7777777777773863E-8</v>
      </c>
      <c r="Y3" s="111">
        <f t="shared" ca="1" si="4"/>
        <v>1.7777777777773863E-8</v>
      </c>
      <c r="Z3" s="112">
        <f t="shared" ca="1" si="5"/>
        <v>7.5111111111094571E-7</v>
      </c>
      <c r="AA3" s="111">
        <f ca="1">AVERAGE(U3:W3)</f>
        <v>1.3026666666666666</v>
      </c>
      <c r="AB3">
        <f ca="1">(U3-$AA3)^2</f>
        <v>1.1111111111108664E-7</v>
      </c>
      <c r="AC3">
        <f ca="1">(V3-$AA3)^2</f>
        <v>1.1111111111108664E-7</v>
      </c>
      <c r="AD3">
        <f t="shared" ref="AD3:AD11" ca="1" si="6">(W3-$AA3)^2</f>
        <v>4.4444444444434655E-7</v>
      </c>
      <c r="AH3">
        <f ca="1">OFFSET('Data Sheet'!$C$12,AH$1,$AK3)</f>
        <v>1.3029999999999999</v>
      </c>
      <c r="AI3">
        <f ca="1">OFFSET('Data Sheet'!$C$12,AI$1,$AK3)</f>
        <v>1.3029999999999999</v>
      </c>
      <c r="AJ3">
        <f ca="1">OFFSET('Data Sheet'!$C$12,AJ$1,$AK3)</f>
        <v>1.302</v>
      </c>
      <c r="AK3">
        <v>1</v>
      </c>
    </row>
    <row r="4" spans="1:42" ht="15" customHeight="1" x14ac:dyDescent="0.3">
      <c r="A4" s="53"/>
      <c r="B4" s="220" t="s">
        <v>3</v>
      </c>
      <c r="C4" s="220"/>
      <c r="D4" s="221" t="str">
        <f>IF('Data Sheet'!C4="","",'Data Sheet'!C4)</f>
        <v/>
      </c>
      <c r="E4" s="222"/>
      <c r="F4" s="223"/>
      <c r="G4" s="51"/>
      <c r="H4" s="52" t="s">
        <v>40</v>
      </c>
      <c r="I4" s="52"/>
      <c r="J4" s="221" t="str">
        <f>IF('Data Sheet'!H4="","",'Data Sheet'!H4)</f>
        <v/>
      </c>
      <c r="K4" s="222"/>
      <c r="L4" s="223"/>
      <c r="M4" s="53"/>
      <c r="N4" s="220" t="s">
        <v>102</v>
      </c>
      <c r="O4" s="220"/>
      <c r="P4" s="228">
        <f>'Data Sheet'!C8</f>
        <v>6.4000000000000057E-2</v>
      </c>
      <c r="Q4" s="228"/>
      <c r="R4" s="56"/>
      <c r="T4" s="110">
        <v>3</v>
      </c>
      <c r="U4" s="111">
        <f t="shared" ca="1" si="0"/>
        <v>1.306</v>
      </c>
      <c r="V4" s="111">
        <f t="shared" ca="1" si="1"/>
        <v>1.3049999999999999</v>
      </c>
      <c r="W4" s="112">
        <f t="shared" ca="1" si="2"/>
        <v>1.306</v>
      </c>
      <c r="X4" s="110">
        <f t="shared" ca="1" si="3"/>
        <v>9.8177777777783983E-6</v>
      </c>
      <c r="Y4" s="111">
        <f t="shared" ca="1" si="4"/>
        <v>4.5511111111110559E-6</v>
      </c>
      <c r="Z4" s="112">
        <f t="shared" ca="1" si="5"/>
        <v>9.8177777777783983E-6</v>
      </c>
      <c r="AA4" s="111">
        <f t="shared" ref="AA4:AA10" ca="1" si="7">AVERAGE(U4:W4)</f>
        <v>1.3056666666666665</v>
      </c>
      <c r="AB4">
        <f ca="1">(U4-$AA4)^2</f>
        <v>1.1111111111123467E-7</v>
      </c>
      <c r="AC4">
        <f t="shared" ref="AC4:AC11" ca="1" si="8">(V4-$AA4)^2</f>
        <v>4.4444444444434655E-7</v>
      </c>
      <c r="AD4">
        <f t="shared" ca="1" si="6"/>
        <v>1.1111111111123467E-7</v>
      </c>
      <c r="AE4" s="111"/>
      <c r="AF4" s="111"/>
      <c r="AH4">
        <f ca="1">OFFSET('Data Sheet'!$C$12,AH$1,$AK4)</f>
        <v>1.306</v>
      </c>
      <c r="AI4">
        <f ca="1">OFFSET('Data Sheet'!$C$12,AI$1,$AK4)</f>
        <v>1.3049999999999999</v>
      </c>
      <c r="AJ4">
        <f ca="1">OFFSET('Data Sheet'!$C$12,AJ$1,$AK4)</f>
        <v>1.306</v>
      </c>
      <c r="AK4">
        <v>2</v>
      </c>
    </row>
    <row r="5" spans="1:42" ht="15" customHeight="1" x14ac:dyDescent="0.3">
      <c r="A5" s="53"/>
      <c r="B5" s="50"/>
      <c r="C5" s="50"/>
      <c r="D5" s="56"/>
      <c r="E5" s="56"/>
      <c r="F5" s="56"/>
      <c r="G5" s="51"/>
      <c r="H5" s="50"/>
      <c r="I5" s="146"/>
      <c r="J5" s="56"/>
      <c r="K5" s="56"/>
      <c r="L5" s="56"/>
      <c r="M5" s="53"/>
      <c r="N5" s="50"/>
      <c r="O5" s="50"/>
      <c r="P5" s="56"/>
      <c r="Q5" s="56"/>
      <c r="R5" s="56"/>
      <c r="T5" s="110">
        <v>4</v>
      </c>
      <c r="U5" s="111">
        <f t="shared" ca="1" si="0"/>
        <v>1.3049999999999999</v>
      </c>
      <c r="V5" s="111">
        <f t="shared" ca="1" si="1"/>
        <v>1.3049999999999999</v>
      </c>
      <c r="W5" s="112">
        <f t="shared" ca="1" si="2"/>
        <v>1.3049999999999999</v>
      </c>
      <c r="X5" s="110">
        <f t="shared" ca="1" si="3"/>
        <v>4.5511111111110559E-6</v>
      </c>
      <c r="Y5" s="111">
        <f t="shared" ca="1" si="4"/>
        <v>4.5511111111110559E-6</v>
      </c>
      <c r="Z5" s="112">
        <f t="shared" ca="1" si="5"/>
        <v>4.5511111111110559E-6</v>
      </c>
      <c r="AA5" s="111">
        <f t="shared" ca="1" si="7"/>
        <v>1.3049999999999999</v>
      </c>
      <c r="AB5">
        <f ca="1">(U5-$AA5)^2</f>
        <v>0</v>
      </c>
      <c r="AC5">
        <f t="shared" ca="1" si="8"/>
        <v>0</v>
      </c>
      <c r="AD5">
        <f t="shared" ca="1" si="6"/>
        <v>0</v>
      </c>
      <c r="AE5" s="111"/>
      <c r="AF5" s="111"/>
      <c r="AH5">
        <f ca="1">OFFSET('Data Sheet'!$C$12,AH$1,$AK5)</f>
        <v>1.3049999999999999</v>
      </c>
      <c r="AI5">
        <f ca="1">OFFSET('Data Sheet'!$C$12,AI$1,$AK5)</f>
        <v>1.3049999999999999</v>
      </c>
      <c r="AJ5">
        <f ca="1">OFFSET('Data Sheet'!$C$12,AJ$1,$AK5)</f>
        <v>1.3049999999999999</v>
      </c>
      <c r="AK5">
        <v>3</v>
      </c>
    </row>
    <row r="6" spans="1:42" ht="15" customHeight="1" x14ac:dyDescent="0.3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T6" s="110">
        <v>5</v>
      </c>
      <c r="U6" s="111">
        <f t="shared" ca="1" si="0"/>
        <v>1.3</v>
      </c>
      <c r="V6" s="111">
        <f t="shared" ca="1" si="1"/>
        <v>1.3</v>
      </c>
      <c r="W6" s="112">
        <f t="shared" ca="1" si="2"/>
        <v>1.3009999999999999</v>
      </c>
      <c r="X6" s="110">
        <f t="shared" ca="1" si="3"/>
        <v>8.2177777777772413E-6</v>
      </c>
      <c r="Y6" s="111">
        <f t="shared" ca="1" si="4"/>
        <v>8.2177777777772413E-6</v>
      </c>
      <c r="Z6" s="112">
        <f t="shared" ca="1" si="5"/>
        <v>3.4844444444445059E-6</v>
      </c>
      <c r="AA6" s="111">
        <f t="shared" ca="1" si="7"/>
        <v>1.3003333333333333</v>
      </c>
      <c r="AB6">
        <f t="shared" ref="AB6:AB10" ca="1" si="9">(U6-$AA6)^2</f>
        <v>1.1111111111108664E-7</v>
      </c>
      <c r="AC6">
        <f t="shared" ca="1" si="8"/>
        <v>1.1111111111108664E-7</v>
      </c>
      <c r="AD6">
        <f t="shared" ca="1" si="6"/>
        <v>4.4444444444434655E-7</v>
      </c>
      <c r="AE6" s="111"/>
      <c r="AF6" s="111"/>
      <c r="AG6" s="118"/>
      <c r="AH6">
        <f ca="1">OFFSET('Data Sheet'!$C$12,AH$1,$AK6)</f>
        <v>1.3</v>
      </c>
      <c r="AI6">
        <f ca="1">OFFSET('Data Sheet'!$C$12,AI$1,$AK6)</f>
        <v>1.3</v>
      </c>
      <c r="AJ6">
        <f ca="1">OFFSET('Data Sheet'!$C$12,AJ$1,$AK6)</f>
        <v>1.3009999999999999</v>
      </c>
      <c r="AK6">
        <v>4</v>
      </c>
      <c r="AL6" s="118"/>
    </row>
    <row r="7" spans="1:42" ht="15" customHeight="1" x14ac:dyDescent="0.3">
      <c r="A7" s="53"/>
      <c r="B7" s="233" t="s">
        <v>103</v>
      </c>
      <c r="C7" s="234"/>
      <c r="D7" s="234"/>
      <c r="E7" s="234"/>
      <c r="F7" s="234"/>
      <c r="G7" s="234"/>
      <c r="H7" s="235"/>
      <c r="I7" s="54"/>
      <c r="J7" s="51"/>
      <c r="K7" s="233" t="s">
        <v>104</v>
      </c>
      <c r="L7" s="234"/>
      <c r="M7" s="234"/>
      <c r="N7" s="234"/>
      <c r="O7" s="234"/>
      <c r="P7" s="234"/>
      <c r="Q7" s="235"/>
      <c r="R7" s="53"/>
      <c r="T7" s="110">
        <v>6</v>
      </c>
      <c r="U7" s="111">
        <f t="shared" ca="1" si="0"/>
        <v>1.3</v>
      </c>
      <c r="V7" s="111">
        <f t="shared" ca="1" si="1"/>
        <v>1.3</v>
      </c>
      <c r="W7" s="112">
        <f t="shared" ca="1" si="2"/>
        <v>1.3</v>
      </c>
      <c r="X7" s="110">
        <f t="shared" ca="1" si="3"/>
        <v>8.2177777777772413E-6</v>
      </c>
      <c r="Y7" s="111">
        <f t="shared" ca="1" si="4"/>
        <v>8.2177777777772413E-6</v>
      </c>
      <c r="Z7" s="112">
        <f t="shared" ca="1" si="5"/>
        <v>8.2177777777772413E-6</v>
      </c>
      <c r="AA7" s="111">
        <f t="shared" ca="1" si="7"/>
        <v>1.3</v>
      </c>
      <c r="AB7">
        <f t="shared" ca="1" si="9"/>
        <v>0</v>
      </c>
      <c r="AC7">
        <f t="shared" ca="1" si="8"/>
        <v>0</v>
      </c>
      <c r="AD7">
        <f t="shared" ca="1" si="6"/>
        <v>0</v>
      </c>
      <c r="AE7" s="111"/>
      <c r="AF7" s="111"/>
      <c r="AG7" s="118"/>
      <c r="AH7">
        <f ca="1">OFFSET('Data Sheet'!$C$12,AH$1,$AK7)</f>
        <v>1.3</v>
      </c>
      <c r="AI7">
        <f ca="1">OFFSET('Data Sheet'!$C$12,AI$1,$AK7)</f>
        <v>1.3</v>
      </c>
      <c r="AJ7">
        <f ca="1">OFFSET('Data Sheet'!$C$12,AJ$1,$AK7)</f>
        <v>1.3</v>
      </c>
      <c r="AK7">
        <v>5</v>
      </c>
      <c r="AL7" s="118"/>
    </row>
    <row r="8" spans="1:42" ht="15" customHeight="1" x14ac:dyDescent="0.3">
      <c r="A8" s="53"/>
      <c r="B8" s="53"/>
      <c r="C8" s="53"/>
      <c r="D8" s="53"/>
      <c r="E8" s="53"/>
      <c r="F8" s="53"/>
      <c r="G8" s="53"/>
      <c r="H8" s="53"/>
      <c r="I8" s="54"/>
      <c r="J8" s="51"/>
      <c r="K8" s="53"/>
      <c r="L8" s="53"/>
      <c r="M8" s="53"/>
      <c r="N8" s="53"/>
      <c r="O8" s="53"/>
      <c r="P8" s="53"/>
      <c r="Q8" s="51"/>
      <c r="R8" s="53"/>
      <c r="T8" s="110">
        <v>7</v>
      </c>
      <c r="U8" s="111">
        <f t="shared" ca="1" si="0"/>
        <v>1.2969999999999999</v>
      </c>
      <c r="V8" s="111">
        <f t="shared" ca="1" si="1"/>
        <v>1.3</v>
      </c>
      <c r="W8" s="112">
        <f t="shared" ca="1" si="2"/>
        <v>1.3</v>
      </c>
      <c r="X8" s="110">
        <f t="shared" ca="1" si="3"/>
        <v>3.4417777777778014E-5</v>
      </c>
      <c r="Y8" s="111">
        <f t="shared" ca="1" si="4"/>
        <v>8.2177777777772413E-6</v>
      </c>
      <c r="Z8" s="112">
        <f t="shared" ca="1" si="5"/>
        <v>8.2177777777772413E-6</v>
      </c>
      <c r="AA8" s="111">
        <f t="shared" ca="1" si="7"/>
        <v>1.2990000000000002</v>
      </c>
      <c r="AB8">
        <f t="shared" ca="1" si="9"/>
        <v>4.0000000000008951E-6</v>
      </c>
      <c r="AC8">
        <f t="shared" ca="1" si="8"/>
        <v>9.9999999999977973E-7</v>
      </c>
      <c r="AD8">
        <f t="shared" ca="1" si="6"/>
        <v>9.9999999999977973E-7</v>
      </c>
      <c r="AE8" s="111"/>
      <c r="AF8" s="111"/>
      <c r="AG8" s="118"/>
      <c r="AH8">
        <f ca="1">OFFSET('Data Sheet'!$C$12,AH$1,$AK8)</f>
        <v>1.2969999999999999</v>
      </c>
      <c r="AI8">
        <f ca="1">OFFSET('Data Sheet'!$C$12,AI$1,$AK8)</f>
        <v>1.3</v>
      </c>
      <c r="AJ8">
        <f ca="1">OFFSET('Data Sheet'!$C$12,AJ$1,$AK8)</f>
        <v>1.3</v>
      </c>
      <c r="AK8">
        <v>6</v>
      </c>
      <c r="AL8" s="118"/>
    </row>
    <row r="9" spans="1:42" ht="15" customHeight="1" x14ac:dyDescent="0.3">
      <c r="A9" s="53"/>
      <c r="B9" s="186" t="s">
        <v>105</v>
      </c>
      <c r="C9" s="187"/>
      <c r="D9" s="187"/>
      <c r="E9" s="187"/>
      <c r="F9" s="187"/>
      <c r="G9" s="187"/>
      <c r="H9" s="185"/>
      <c r="I9" s="54"/>
      <c r="J9" s="53"/>
      <c r="K9" s="186" t="s">
        <v>105</v>
      </c>
      <c r="L9" s="184"/>
      <c r="M9" s="184"/>
      <c r="N9" s="184"/>
      <c r="O9" s="184"/>
      <c r="P9" s="184"/>
      <c r="Q9" s="185"/>
      <c r="R9" s="53"/>
      <c r="T9" s="110">
        <v>8</v>
      </c>
      <c r="U9" s="111">
        <f t="shared" ca="1" si="0"/>
        <v>1.3</v>
      </c>
      <c r="V9" s="111">
        <f t="shared" ca="1" si="1"/>
        <v>1.306</v>
      </c>
      <c r="W9" s="112">
        <f t="shared" ca="1" si="2"/>
        <v>1.2989999999999999</v>
      </c>
      <c r="X9" s="110">
        <f t="shared" ca="1" si="3"/>
        <v>8.2177777777772413E-6</v>
      </c>
      <c r="Y9" s="111">
        <f t="shared" ca="1" si="4"/>
        <v>9.8177777777783983E-6</v>
      </c>
      <c r="Z9" s="112">
        <f t="shared" ca="1" si="5"/>
        <v>1.4951111111111253E-5</v>
      </c>
      <c r="AA9" s="111">
        <f t="shared" ca="1" si="7"/>
        <v>1.3016666666666665</v>
      </c>
      <c r="AB9">
        <f t="shared" ca="1" si="9"/>
        <v>2.7777777777771659E-6</v>
      </c>
      <c r="AC9">
        <f t="shared" ca="1" si="8"/>
        <v>1.8777777777779414E-5</v>
      </c>
      <c r="AD9">
        <f t="shared" ca="1" si="6"/>
        <v>7.111111111110729E-6</v>
      </c>
      <c r="AE9" s="111"/>
      <c r="AF9" s="111"/>
      <c r="AG9" s="111"/>
      <c r="AH9">
        <f ca="1">OFFSET('Data Sheet'!$C$12,AH$1,$AK9)</f>
        <v>1.3</v>
      </c>
      <c r="AI9">
        <f ca="1">OFFSET('Data Sheet'!$C$12,AI$1,$AK9)</f>
        <v>1.306</v>
      </c>
      <c r="AJ9">
        <f ca="1">OFFSET('Data Sheet'!$C$12,AJ$1,$AK9)</f>
        <v>1.2989999999999999</v>
      </c>
      <c r="AK9">
        <v>7</v>
      </c>
      <c r="AL9" s="111"/>
    </row>
    <row r="10" spans="1:42" ht="15" customHeight="1" x14ac:dyDescent="0.3">
      <c r="A10" s="53"/>
      <c r="B10" s="57"/>
      <c r="C10" s="153"/>
      <c r="D10" s="58"/>
      <c r="E10" s="58"/>
      <c r="F10" s="153"/>
      <c r="G10" s="58"/>
      <c r="H10" s="236" t="s">
        <v>106</v>
      </c>
      <c r="I10" s="54"/>
      <c r="J10" s="53"/>
      <c r="K10" s="127"/>
      <c r="L10" s="121"/>
      <c r="M10" s="121"/>
      <c r="N10" s="128"/>
      <c r="O10" s="128"/>
      <c r="P10" s="128"/>
      <c r="Q10" s="237" t="s">
        <v>106</v>
      </c>
      <c r="R10" s="53"/>
      <c r="T10" s="110">
        <v>9</v>
      </c>
      <c r="U10" s="111">
        <f t="shared" ca="1" si="0"/>
        <v>1.306</v>
      </c>
      <c r="V10" s="111">
        <f t="shared" ca="1" si="1"/>
        <v>1.306</v>
      </c>
      <c r="W10" s="112">
        <f t="shared" ca="1" si="2"/>
        <v>1.306</v>
      </c>
      <c r="X10" s="110">
        <f t="shared" ca="1" si="3"/>
        <v>9.8177777777783983E-6</v>
      </c>
      <c r="Y10" s="111">
        <f t="shared" ca="1" si="4"/>
        <v>9.8177777777783983E-6</v>
      </c>
      <c r="Z10" s="112">
        <f t="shared" ca="1" si="5"/>
        <v>9.8177777777783983E-6</v>
      </c>
      <c r="AA10" s="111">
        <f t="shared" ca="1" si="7"/>
        <v>1.306</v>
      </c>
      <c r="AB10">
        <f t="shared" ca="1" si="9"/>
        <v>0</v>
      </c>
      <c r="AC10">
        <f t="shared" ca="1" si="8"/>
        <v>0</v>
      </c>
      <c r="AD10">
        <f t="shared" ca="1" si="6"/>
        <v>0</v>
      </c>
      <c r="AE10" s="111"/>
      <c r="AF10" s="111"/>
      <c r="AG10" s="111"/>
      <c r="AH10">
        <f ca="1">OFFSET('Data Sheet'!$C$12,AH$1,$AK10)</f>
        <v>1.306</v>
      </c>
      <c r="AI10">
        <f ca="1">OFFSET('Data Sheet'!$C$12,AI$1,$AK10)</f>
        <v>1.306</v>
      </c>
      <c r="AJ10">
        <f ca="1">OFFSET('Data Sheet'!$C$12,AJ$1,$AK10)</f>
        <v>1.306</v>
      </c>
      <c r="AK10">
        <v>8</v>
      </c>
      <c r="AL10" s="111"/>
    </row>
    <row r="11" spans="1:42" ht="15" customHeight="1" x14ac:dyDescent="0.3">
      <c r="A11" s="53"/>
      <c r="B11" s="238" t="s">
        <v>107</v>
      </c>
      <c r="C11" s="239"/>
      <c r="D11" s="59" t="s">
        <v>108</v>
      </c>
      <c r="E11" s="58"/>
      <c r="F11" s="59" t="s">
        <v>109</v>
      </c>
      <c r="G11" s="58"/>
      <c r="H11" s="236"/>
      <c r="I11" s="54"/>
      <c r="J11" s="53"/>
      <c r="K11" s="238" t="s">
        <v>107</v>
      </c>
      <c r="L11" s="239"/>
      <c r="M11" s="59" t="s">
        <v>108</v>
      </c>
      <c r="N11" s="58"/>
      <c r="O11" s="59" t="s">
        <v>109</v>
      </c>
      <c r="P11" s="58"/>
      <c r="Q11" s="236"/>
      <c r="R11" s="53"/>
      <c r="T11" s="113">
        <v>10</v>
      </c>
      <c r="U11" s="114">
        <f t="shared" ca="1" si="0"/>
        <v>1.3049999999999999</v>
      </c>
      <c r="V11" s="114">
        <f t="shared" ca="1" si="1"/>
        <v>1.306</v>
      </c>
      <c r="W11" s="115">
        <f t="shared" ca="1" si="2"/>
        <v>1.306</v>
      </c>
      <c r="X11" s="113">
        <f t="shared" ca="1" si="3"/>
        <v>4.5511111111110559E-6</v>
      </c>
      <c r="Y11" s="114">
        <f t="shared" ca="1" si="4"/>
        <v>9.8177777777783983E-6</v>
      </c>
      <c r="Z11" s="115">
        <f t="shared" ca="1" si="5"/>
        <v>9.8177777777783983E-6</v>
      </c>
      <c r="AA11" s="111">
        <f ca="1">AVERAGE(U11:W11)</f>
        <v>1.3056666666666665</v>
      </c>
      <c r="AB11">
        <f ca="1">(U11-$AA11)^2</f>
        <v>4.4444444444434655E-7</v>
      </c>
      <c r="AC11">
        <f t="shared" ca="1" si="8"/>
        <v>1.1111111111123467E-7</v>
      </c>
      <c r="AD11">
        <f t="shared" ca="1" si="6"/>
        <v>1.1111111111123467E-7</v>
      </c>
      <c r="AE11" s="111"/>
      <c r="AF11" s="111"/>
      <c r="AG11" s="118"/>
      <c r="AH11">
        <f ca="1">OFFSET('Data Sheet'!$C$12,AH$1,$AK11)</f>
        <v>1.3049999999999999</v>
      </c>
      <c r="AI11">
        <f ca="1">OFFSET('Data Sheet'!$C$12,AI$1,$AK11)</f>
        <v>1.306</v>
      </c>
      <c r="AJ11">
        <f ca="1">OFFSET('Data Sheet'!$C$12,AJ$1,$AK11)</f>
        <v>1.306</v>
      </c>
      <c r="AK11">
        <v>9</v>
      </c>
      <c r="AL11" s="118"/>
    </row>
    <row r="12" spans="1:42" ht="15" customHeight="1" x14ac:dyDescent="0.3">
      <c r="A12" s="53"/>
      <c r="B12" s="240" t="s">
        <v>110</v>
      </c>
      <c r="C12" s="241"/>
      <c r="D12" s="151">
        <f ca="1">SQRT(D13^2+D15^2)</f>
        <v>1.5928079096478945E-3</v>
      </c>
      <c r="E12" s="58"/>
      <c r="F12" s="139">
        <f ca="1">D12^2</f>
        <v>2.5370370370368951E-6</v>
      </c>
      <c r="G12" s="58"/>
      <c r="H12" s="141">
        <f ca="1">F12/F$18</f>
        <v>0.30927059295673864</v>
      </c>
      <c r="I12" s="54"/>
      <c r="J12" s="53"/>
      <c r="K12" s="240" t="s">
        <v>110</v>
      </c>
      <c r="L12" s="241"/>
      <c r="M12" s="152">
        <f>'Data Sheet'!C55</f>
        <v>1.2365608028671235E-3</v>
      </c>
      <c r="N12" s="58"/>
      <c r="O12" s="58">
        <f>M12^2</f>
        <v>1.5290826191873851E-6</v>
      </c>
      <c r="P12" s="126"/>
      <c r="Q12" s="137">
        <f>(O12/O$16)</f>
        <v>0.30028430328834671</v>
      </c>
      <c r="R12" s="53"/>
      <c r="T12" s="111" t="s">
        <v>184</v>
      </c>
      <c r="U12" s="111">
        <f ca="1">AVERAGE(U2:U11)</f>
        <v>1.3021999999999998</v>
      </c>
      <c r="V12" s="111">
        <f ca="1">AVERAGE(V2:V11)</f>
        <v>1.3031999999999999</v>
      </c>
      <c r="W12" s="111">
        <f ca="1">AVERAGE(W2:W11)</f>
        <v>1.3025000000000002</v>
      </c>
      <c r="Y12" s="111"/>
      <c r="Z12" s="111"/>
      <c r="AA12" s="111"/>
      <c r="AB12" s="111"/>
      <c r="AC12" s="111"/>
      <c r="AD12" s="111"/>
      <c r="AE12" s="111"/>
      <c r="AF12" s="111"/>
      <c r="AG12" s="148"/>
      <c r="AL12" s="118"/>
    </row>
    <row r="13" spans="1:42" ht="15" customHeight="1" x14ac:dyDescent="0.3">
      <c r="A13" s="53"/>
      <c r="B13" s="240" t="s">
        <v>111</v>
      </c>
      <c r="C13" s="241"/>
      <c r="D13" s="151">
        <f ca="1">SQRT(F64)</f>
        <v>1.5670212364723519E-3</v>
      </c>
      <c r="E13" s="58"/>
      <c r="F13" s="139">
        <f ca="1">D13^2</f>
        <v>2.4555555555553386E-6</v>
      </c>
      <c r="G13" s="58"/>
      <c r="H13" s="141">
        <f t="shared" ref="H13:H18" ca="1" si="10">F13/F$18</f>
        <v>0.2993378147887753</v>
      </c>
      <c r="I13" s="54"/>
      <c r="J13" s="53"/>
      <c r="K13" s="240" t="s">
        <v>111</v>
      </c>
      <c r="L13" s="241"/>
      <c r="M13" s="152">
        <f>'Data Sheet'!C45</f>
        <v>1.2012933333333366E-3</v>
      </c>
      <c r="N13" s="58"/>
      <c r="O13" s="58">
        <f>M13^2</f>
        <v>1.4431056727111189E-6</v>
      </c>
      <c r="P13" s="126"/>
      <c r="Q13" s="137">
        <f>(O13/O$16)</f>
        <v>0.28339997856480398</v>
      </c>
      <c r="R13" s="53"/>
      <c r="T13" s="111" t="s">
        <v>188</v>
      </c>
      <c r="U13">
        <f ca="1">AVERAGE(U12:W12)</f>
        <v>1.3026333333333333</v>
      </c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48"/>
      <c r="AL13" s="118"/>
    </row>
    <row r="14" spans="1:42" ht="15" customHeight="1" x14ac:dyDescent="0.3">
      <c r="A14" s="53"/>
      <c r="B14" s="240" t="s">
        <v>112</v>
      </c>
      <c r="C14" s="241"/>
      <c r="D14" s="151">
        <f ca="1">SQRT(D15^2 + D16^2)</f>
        <v>2.8544961285935621E-4</v>
      </c>
      <c r="E14" s="152"/>
      <c r="F14" s="139">
        <f t="shared" ref="F14:F16" ca="1" si="11">D14^2</f>
        <v>8.1481481481556334E-8</v>
      </c>
      <c r="G14" s="58"/>
      <c r="H14" s="141">
        <f t="shared" ca="1" si="10"/>
        <v>9.9327781679633305E-3</v>
      </c>
      <c r="I14" s="54"/>
      <c r="J14" s="53"/>
      <c r="K14" s="240" t="s">
        <v>112</v>
      </c>
      <c r="L14" s="241"/>
      <c r="M14" s="152">
        <f>'Data Sheet'!C50</f>
        <v>2.932182574060942E-4</v>
      </c>
      <c r="N14" s="58"/>
      <c r="O14" s="169">
        <f>M14^2</f>
        <v>8.5976946476266515E-8</v>
      </c>
      <c r="P14" s="126"/>
      <c r="Q14" s="137">
        <f>(O14/O$16)</f>
        <v>1.6884324723542815E-2</v>
      </c>
      <c r="R14" s="53"/>
      <c r="T14" s="111" t="s">
        <v>185</v>
      </c>
      <c r="U14" s="111">
        <f ca="1">(U13-$AF$2)^2</f>
        <v>5.4444444444432454E-8</v>
      </c>
      <c r="V14" s="111"/>
      <c r="AE14" s="111"/>
      <c r="AF14" s="111"/>
      <c r="AG14" s="149"/>
      <c r="AL14" s="111"/>
    </row>
    <row r="15" spans="1:42" ht="15" customHeight="1" x14ac:dyDescent="0.3">
      <c r="A15" s="53"/>
      <c r="B15" s="147"/>
      <c r="C15" s="62" t="s">
        <v>113</v>
      </c>
      <c r="D15" s="151">
        <f ca="1">SQRT((F52-(D13^2))/(3*10))</f>
        <v>2.8544961285935621E-4</v>
      </c>
      <c r="E15" s="58"/>
      <c r="F15" s="139">
        <f t="shared" ca="1" si="11"/>
        <v>8.1481481481556334E-8</v>
      </c>
      <c r="G15" s="58"/>
      <c r="H15" s="141">
        <f t="shared" ca="1" si="10"/>
        <v>9.9327781679633305E-3</v>
      </c>
      <c r="I15" s="54"/>
      <c r="J15" s="53"/>
      <c r="K15" s="240" t="s">
        <v>114</v>
      </c>
      <c r="L15" s="241"/>
      <c r="M15" s="152">
        <f>'Data Sheet'!C60</f>
        <v>1.8875999999999318E-3</v>
      </c>
      <c r="N15" s="58"/>
      <c r="O15" s="58">
        <f>M15^2</f>
        <v>3.5630337599997426E-6</v>
      </c>
      <c r="P15" s="126"/>
      <c r="Q15" s="137">
        <f>(O15/O$16)</f>
        <v>0.69971569671165346</v>
      </c>
      <c r="R15" s="53"/>
      <c r="T15" s="116"/>
      <c r="U15" s="111"/>
      <c r="V15" s="111"/>
      <c r="AA15" s="117" t="s">
        <v>184</v>
      </c>
      <c r="AB15" t="s">
        <v>192</v>
      </c>
      <c r="AC15" t="s">
        <v>192</v>
      </c>
      <c r="AD15" t="s">
        <v>192</v>
      </c>
      <c r="AE15" s="111"/>
      <c r="AF15" s="111"/>
      <c r="AG15" s="149"/>
      <c r="AH15">
        <v>0</v>
      </c>
      <c r="AI15">
        <v>1</v>
      </c>
      <c r="AJ15">
        <v>2</v>
      </c>
      <c r="AL15" s="111"/>
    </row>
    <row r="16" spans="1:42" ht="15" customHeight="1" x14ac:dyDescent="0.3">
      <c r="A16" s="53"/>
      <c r="B16" s="147"/>
      <c r="C16" s="62" t="s">
        <v>115</v>
      </c>
      <c r="D16" s="140">
        <f ca="1">IF(ISERROR(SQRT((F53-(D13^2))/COUNT(U2:W2))),0,SQRT((F53-(D13^2))/COUNT(U2:W2)))</f>
        <v>0</v>
      </c>
      <c r="E16" s="58"/>
      <c r="F16" s="139">
        <f t="shared" ca="1" si="11"/>
        <v>0</v>
      </c>
      <c r="G16" s="58"/>
      <c r="H16" s="141">
        <f t="shared" ca="1" si="10"/>
        <v>0</v>
      </c>
      <c r="I16" s="54"/>
      <c r="J16" s="53"/>
      <c r="K16" s="242" t="s">
        <v>116</v>
      </c>
      <c r="L16" s="243"/>
      <c r="M16" s="168">
        <f>'Data Sheet'!C65</f>
        <v>2.2565718200817644E-3</v>
      </c>
      <c r="N16" s="63"/>
      <c r="O16" s="63">
        <f>M16^2</f>
        <v>5.0921163791871267E-6</v>
      </c>
      <c r="P16" s="129"/>
      <c r="Q16" s="138">
        <f>(O16/O$16)</f>
        <v>1</v>
      </c>
      <c r="R16" s="53"/>
      <c r="T16" s="107">
        <v>1</v>
      </c>
      <c r="U16" s="108">
        <f t="shared" ref="U16:U25" ca="1" si="12">AH16</f>
        <v>1.3</v>
      </c>
      <c r="V16" s="108">
        <f t="shared" ref="V16:V25" ca="1" si="13">AI16</f>
        <v>1.3009999999999999</v>
      </c>
      <c r="W16" s="109">
        <f t="shared" ref="W16:W25" ca="1" si="14">AJ16</f>
        <v>1.3</v>
      </c>
      <c r="X16" s="107">
        <f t="shared" ref="X16:X25" ca="1" si="15">(U16-$AF$2)^2</f>
        <v>8.2177777777772413E-6</v>
      </c>
      <c r="Y16" s="108">
        <f t="shared" ref="Y16:Y25" ca="1" si="16">(V16-$AF$2)^2</f>
        <v>3.4844444444445059E-6</v>
      </c>
      <c r="Z16" s="109">
        <f t="shared" ref="Z16:Z25" ca="1" si="17">(W16-$AF$2)^2</f>
        <v>8.2177777777772413E-6</v>
      </c>
      <c r="AA16" s="111">
        <f ca="1">AVERAGE(U16:W16)</f>
        <v>1.3003333333333333</v>
      </c>
      <c r="AB16">
        <f ca="1">(U16-$AA16)^2</f>
        <v>1.1111111111108664E-7</v>
      </c>
      <c r="AC16">
        <f ca="1">(V16-$AA16)^2</f>
        <v>4.4444444444434655E-7</v>
      </c>
      <c r="AD16">
        <f ca="1">(W16-$AA16)^2</f>
        <v>1.1111111111108664E-7</v>
      </c>
      <c r="AE16" s="111"/>
      <c r="AF16" s="111"/>
      <c r="AG16" s="148"/>
      <c r="AH16">
        <f ca="1">OFFSET('Data Sheet'!$C$17,AH$15,$AK16)</f>
        <v>1.3</v>
      </c>
      <c r="AI16">
        <f ca="1">OFFSET('Data Sheet'!$C$17,AI$15,$AK16)</f>
        <v>1.3009999999999999</v>
      </c>
      <c r="AJ16">
        <f ca="1">OFFSET('Data Sheet'!$C$17,AJ$15,$AK16)</f>
        <v>1.3</v>
      </c>
      <c r="AK16">
        <v>0</v>
      </c>
      <c r="AL16" s="118"/>
    </row>
    <row r="17" spans="1:38" ht="15" customHeight="1" x14ac:dyDescent="0.3">
      <c r="A17" s="53"/>
      <c r="B17" s="240" t="s">
        <v>114</v>
      </c>
      <c r="C17" s="241"/>
      <c r="D17" s="151">
        <f ca="1">SQRT((F51-(3*(D16^2))-(D13^2))/(COUNT(U2:W2)*COUNT(U2,U16,U30)))</f>
        <v>2.3803897042360728E-3</v>
      </c>
      <c r="E17" s="58"/>
      <c r="F17" s="139">
        <f ca="1">D17^2</f>
        <v>5.666255144033098E-6</v>
      </c>
      <c r="G17" s="58"/>
      <c r="H17" s="141">
        <f t="shared" ca="1" si="10"/>
        <v>0.69072940704326125</v>
      </c>
      <c r="I17" s="54"/>
      <c r="J17" s="53"/>
      <c r="K17" s="53"/>
      <c r="L17" s="53"/>
      <c r="M17" s="53"/>
      <c r="N17" s="53"/>
      <c r="O17" s="53"/>
      <c r="P17" s="53"/>
      <c r="Q17" s="53"/>
      <c r="R17" s="53"/>
      <c r="T17" s="110">
        <v>2</v>
      </c>
      <c r="U17" s="111">
        <f t="shared" ca="1" si="12"/>
        <v>1.3029999999999999</v>
      </c>
      <c r="V17" s="111">
        <f t="shared" ca="1" si="13"/>
        <v>1.3029999999999999</v>
      </c>
      <c r="W17" s="112">
        <f t="shared" ca="1" si="14"/>
        <v>1.302</v>
      </c>
      <c r="X17" s="110">
        <f t="shared" ca="1" si="15"/>
        <v>1.7777777777773863E-8</v>
      </c>
      <c r="Y17" s="111">
        <f t="shared" ca="1" si="16"/>
        <v>1.7777777777773863E-8</v>
      </c>
      <c r="Z17" s="112">
        <f t="shared" ca="1" si="17"/>
        <v>7.5111111111094571E-7</v>
      </c>
      <c r="AA17" s="111">
        <f ca="1">AVERAGE(U17:W17)</f>
        <v>1.3026666666666666</v>
      </c>
      <c r="AB17">
        <f ca="1">(U17-$AA17)^2</f>
        <v>1.1111111111108664E-7</v>
      </c>
      <c r="AC17">
        <f t="shared" ref="AC17:AC25" ca="1" si="18">(V17-$AA17)^2</f>
        <v>1.1111111111108664E-7</v>
      </c>
      <c r="AD17">
        <f t="shared" ref="AD17:AD24" ca="1" si="19">(W17-$AA17)^2</f>
        <v>4.4444444444434655E-7</v>
      </c>
      <c r="AE17" s="111"/>
      <c r="AF17" s="111"/>
      <c r="AG17" s="148"/>
      <c r="AH17">
        <f ca="1">OFFSET('Data Sheet'!$C$17,AH$15,$AK17)</f>
        <v>1.3029999999999999</v>
      </c>
      <c r="AI17">
        <f ca="1">OFFSET('Data Sheet'!$C$17,AI$15,$AK17)</f>
        <v>1.3029999999999999</v>
      </c>
      <c r="AJ17">
        <f ca="1">OFFSET('Data Sheet'!$C$17,AJ$15,$AK17)</f>
        <v>1.302</v>
      </c>
      <c r="AK17">
        <v>1</v>
      </c>
      <c r="AL17" s="118"/>
    </row>
    <row r="18" spans="1:38" ht="15" customHeight="1" x14ac:dyDescent="0.3">
      <c r="A18" s="53"/>
      <c r="B18" s="242" t="s">
        <v>116</v>
      </c>
      <c r="C18" s="243"/>
      <c r="D18" s="160">
        <f ca="1">SQRT(D13^2+D15^2+D17^2)</f>
        <v>2.8641389947190051E-3</v>
      </c>
      <c r="E18" s="63"/>
      <c r="F18" s="142">
        <f ca="1">D18^2</f>
        <v>8.2032921810699939E-6</v>
      </c>
      <c r="G18" s="63"/>
      <c r="H18" s="143">
        <f t="shared" ca="1" si="10"/>
        <v>1</v>
      </c>
      <c r="I18" s="54"/>
      <c r="J18" s="53"/>
      <c r="K18" s="244" t="s">
        <v>117</v>
      </c>
      <c r="L18" s="245"/>
      <c r="M18" s="65">
        <f>P4</f>
        <v>6.4000000000000057E-2</v>
      </c>
      <c r="N18" s="66"/>
      <c r="O18" s="66"/>
      <c r="P18" s="66"/>
      <c r="Q18" s="67"/>
      <c r="R18" s="53"/>
      <c r="T18" s="110">
        <v>3</v>
      </c>
      <c r="U18" s="111">
        <f t="shared" ca="1" si="12"/>
        <v>1.306</v>
      </c>
      <c r="V18" s="111">
        <f t="shared" ca="1" si="13"/>
        <v>1.3049999999999999</v>
      </c>
      <c r="W18" s="112">
        <f t="shared" ca="1" si="14"/>
        <v>1.306</v>
      </c>
      <c r="X18" s="110">
        <f t="shared" ca="1" si="15"/>
        <v>9.8177777777783983E-6</v>
      </c>
      <c r="Y18" s="111">
        <f t="shared" ca="1" si="16"/>
        <v>4.5511111111110559E-6</v>
      </c>
      <c r="Z18" s="112">
        <f t="shared" ca="1" si="17"/>
        <v>9.8177777777783983E-6</v>
      </c>
      <c r="AA18" s="111">
        <f t="shared" ref="AA18:AA24" ca="1" si="20">AVERAGE(U18:W18)</f>
        <v>1.3056666666666665</v>
      </c>
      <c r="AB18">
        <f t="shared" ref="AB18:AB24" ca="1" si="21">(U18-$AA18)^2</f>
        <v>1.1111111111123467E-7</v>
      </c>
      <c r="AC18">
        <f t="shared" ca="1" si="18"/>
        <v>4.4444444444434655E-7</v>
      </c>
      <c r="AD18">
        <f t="shared" ca="1" si="19"/>
        <v>1.1111111111123467E-7</v>
      </c>
      <c r="AE18" s="111"/>
      <c r="AF18" s="111"/>
      <c r="AG18" s="148"/>
      <c r="AH18">
        <f ca="1">OFFSET('Data Sheet'!$C$17,AH$15,$AK18)</f>
        <v>1.306</v>
      </c>
      <c r="AI18">
        <f ca="1">OFFSET('Data Sheet'!$C$17,AI$15,$AK18)</f>
        <v>1.3049999999999999</v>
      </c>
      <c r="AJ18">
        <f ca="1">OFFSET('Data Sheet'!$C$17,AJ$15,$AK18)</f>
        <v>1.306</v>
      </c>
      <c r="AK18">
        <v>2</v>
      </c>
      <c r="AL18" s="118"/>
    </row>
    <row r="19" spans="1:38" ht="15" customHeight="1" x14ac:dyDescent="0.3">
      <c r="A19" s="53"/>
      <c r="B19" s="53"/>
      <c r="C19" s="53"/>
      <c r="D19" s="53"/>
      <c r="E19" s="53"/>
      <c r="F19" s="53"/>
      <c r="G19" s="53"/>
      <c r="H19" s="53"/>
      <c r="I19" s="54"/>
      <c r="J19" s="53"/>
      <c r="K19" s="53"/>
      <c r="L19" s="53"/>
      <c r="M19" s="53"/>
      <c r="N19" s="53"/>
      <c r="O19" s="53"/>
      <c r="P19" s="53"/>
      <c r="Q19" s="51"/>
      <c r="R19" s="53"/>
      <c r="T19" s="110">
        <v>4</v>
      </c>
      <c r="U19" s="111">
        <f t="shared" ca="1" si="12"/>
        <v>1.3049999999999999</v>
      </c>
      <c r="V19" s="111">
        <f t="shared" ca="1" si="13"/>
        <v>1.3049999999999999</v>
      </c>
      <c r="W19" s="112">
        <f t="shared" ca="1" si="14"/>
        <v>1.3049999999999999</v>
      </c>
      <c r="X19" s="110">
        <f t="shared" ca="1" si="15"/>
        <v>4.5511111111110559E-6</v>
      </c>
      <c r="Y19" s="111">
        <f t="shared" ca="1" si="16"/>
        <v>4.5511111111110559E-6</v>
      </c>
      <c r="Z19" s="112">
        <f t="shared" ca="1" si="17"/>
        <v>4.5511111111110559E-6</v>
      </c>
      <c r="AA19" s="111">
        <f t="shared" ca="1" si="20"/>
        <v>1.3049999999999999</v>
      </c>
      <c r="AB19">
        <f t="shared" ca="1" si="21"/>
        <v>0</v>
      </c>
      <c r="AC19">
        <f t="shared" ca="1" si="18"/>
        <v>0</v>
      </c>
      <c r="AD19">
        <f t="shared" ca="1" si="19"/>
        <v>0</v>
      </c>
      <c r="AE19" s="111"/>
      <c r="AF19" s="111"/>
      <c r="AG19" s="111"/>
      <c r="AH19">
        <f ca="1">OFFSET('Data Sheet'!$C$17,AH$15,$AK19)</f>
        <v>1.3049999999999999</v>
      </c>
      <c r="AI19">
        <f ca="1">OFFSET('Data Sheet'!$C$17,AI$15,$AK19)</f>
        <v>1.3049999999999999</v>
      </c>
      <c r="AJ19">
        <f ca="1">OFFSET('Data Sheet'!$C$17,AJ$15,$AK19)</f>
        <v>1.3049999999999999</v>
      </c>
      <c r="AK19">
        <v>3</v>
      </c>
    </row>
    <row r="20" spans="1:38" ht="15" customHeight="1" x14ac:dyDescent="0.3">
      <c r="A20" s="53"/>
      <c r="B20" s="244" t="s">
        <v>117</v>
      </c>
      <c r="C20" s="245"/>
      <c r="D20" s="145">
        <f>P4</f>
        <v>6.4000000000000057E-2</v>
      </c>
      <c r="E20" s="66"/>
      <c r="F20" s="66"/>
      <c r="G20" s="66"/>
      <c r="H20" s="67"/>
      <c r="I20" s="54"/>
      <c r="J20" s="53"/>
      <c r="K20" s="53"/>
      <c r="L20" s="53"/>
      <c r="M20" s="53"/>
      <c r="N20" s="53"/>
      <c r="O20" s="53"/>
      <c r="P20" s="53"/>
      <c r="Q20" s="51"/>
      <c r="R20" s="53"/>
      <c r="T20" s="110">
        <v>5</v>
      </c>
      <c r="U20" s="111">
        <f t="shared" ca="1" si="12"/>
        <v>1.3</v>
      </c>
      <c r="V20" s="111">
        <f t="shared" ca="1" si="13"/>
        <v>1.3</v>
      </c>
      <c r="W20" s="112">
        <f t="shared" ca="1" si="14"/>
        <v>1.3009999999999999</v>
      </c>
      <c r="X20" s="110">
        <f t="shared" ca="1" si="15"/>
        <v>8.2177777777772413E-6</v>
      </c>
      <c r="Y20" s="111">
        <f t="shared" ca="1" si="16"/>
        <v>8.2177777777772413E-6</v>
      </c>
      <c r="Z20" s="112">
        <f t="shared" ca="1" si="17"/>
        <v>3.4844444444445059E-6</v>
      </c>
      <c r="AA20" s="111">
        <f t="shared" ca="1" si="20"/>
        <v>1.3003333333333333</v>
      </c>
      <c r="AB20">
        <f t="shared" ca="1" si="21"/>
        <v>1.1111111111108664E-7</v>
      </c>
      <c r="AC20">
        <f t="shared" ca="1" si="18"/>
        <v>1.1111111111108664E-7</v>
      </c>
      <c r="AD20">
        <f t="shared" ca="1" si="19"/>
        <v>4.4444444444434655E-7</v>
      </c>
      <c r="AE20" s="111"/>
      <c r="AF20" s="111"/>
      <c r="AG20" s="111"/>
      <c r="AH20">
        <f ca="1">OFFSET('Data Sheet'!$C$17,AH$15,$AK20)</f>
        <v>1.3</v>
      </c>
      <c r="AI20">
        <f ca="1">OFFSET('Data Sheet'!$C$17,AI$15,$AK20)</f>
        <v>1.3</v>
      </c>
      <c r="AJ20">
        <f ca="1">OFFSET('Data Sheet'!$C$17,AJ$15,$AK20)</f>
        <v>1.3009999999999999</v>
      </c>
      <c r="AK20">
        <v>4</v>
      </c>
    </row>
    <row r="21" spans="1:38" ht="15" customHeight="1" x14ac:dyDescent="0.3">
      <c r="A21" s="53"/>
      <c r="B21" s="68"/>
      <c r="C21" s="68"/>
      <c r="D21" s="56"/>
      <c r="E21" s="53"/>
      <c r="F21" s="53"/>
      <c r="G21" s="53"/>
      <c r="H21" s="53"/>
      <c r="I21" s="54"/>
      <c r="J21" s="53"/>
      <c r="K21" s="68"/>
      <c r="L21" s="68"/>
      <c r="M21" s="56"/>
      <c r="N21" s="53"/>
      <c r="O21" s="53"/>
      <c r="P21" s="53"/>
      <c r="Q21" s="51"/>
      <c r="R21" s="53"/>
      <c r="T21" s="110">
        <v>6</v>
      </c>
      <c r="U21" s="111">
        <f t="shared" ca="1" si="12"/>
        <v>1.3</v>
      </c>
      <c r="V21" s="111">
        <f t="shared" ca="1" si="13"/>
        <v>1.3</v>
      </c>
      <c r="W21" s="112">
        <f t="shared" ca="1" si="14"/>
        <v>1.3</v>
      </c>
      <c r="X21" s="110">
        <f t="shared" ca="1" si="15"/>
        <v>8.2177777777772413E-6</v>
      </c>
      <c r="Y21" s="111">
        <f t="shared" ca="1" si="16"/>
        <v>8.2177777777772413E-6</v>
      </c>
      <c r="Z21" s="112">
        <f t="shared" ca="1" si="17"/>
        <v>8.2177777777772413E-6</v>
      </c>
      <c r="AA21" s="111">
        <f t="shared" ca="1" si="20"/>
        <v>1.3</v>
      </c>
      <c r="AB21">
        <f t="shared" ca="1" si="21"/>
        <v>0</v>
      </c>
      <c r="AC21">
        <f t="shared" ca="1" si="18"/>
        <v>0</v>
      </c>
      <c r="AD21">
        <f t="shared" ca="1" si="19"/>
        <v>0</v>
      </c>
      <c r="AE21" s="111"/>
      <c r="AF21" s="111"/>
      <c r="AG21" s="111"/>
      <c r="AH21">
        <f ca="1">OFFSET('Data Sheet'!$C$17,AH$15,$AK21)</f>
        <v>1.3</v>
      </c>
      <c r="AI21">
        <f ca="1">OFFSET('Data Sheet'!$C$17,AI$15,$AK21)</f>
        <v>1.3</v>
      </c>
      <c r="AJ21">
        <f ca="1">OFFSET('Data Sheet'!$C$17,AJ$15,$AK21)</f>
        <v>1.3</v>
      </c>
      <c r="AK21">
        <v>5</v>
      </c>
    </row>
    <row r="22" spans="1:38" ht="15" customHeight="1" x14ac:dyDescent="0.3">
      <c r="A22" s="53"/>
      <c r="B22" s="186" t="s">
        <v>118</v>
      </c>
      <c r="C22" s="187"/>
      <c r="D22" s="187"/>
      <c r="E22" s="187"/>
      <c r="F22" s="187"/>
      <c r="G22" s="184"/>
      <c r="H22" s="185"/>
      <c r="I22" s="54"/>
      <c r="J22" s="53"/>
      <c r="K22" s="186" t="s">
        <v>118</v>
      </c>
      <c r="L22" s="184"/>
      <c r="M22" s="184"/>
      <c r="N22" s="184"/>
      <c r="O22" s="184"/>
      <c r="P22" s="184"/>
      <c r="Q22" s="185"/>
      <c r="R22" s="53"/>
      <c r="T22" s="110">
        <v>7</v>
      </c>
      <c r="U22" s="111">
        <f t="shared" ca="1" si="12"/>
        <v>1.2969999999999999</v>
      </c>
      <c r="V22" s="111">
        <f t="shared" ca="1" si="13"/>
        <v>1.3</v>
      </c>
      <c r="W22" s="112">
        <f t="shared" ca="1" si="14"/>
        <v>1.3</v>
      </c>
      <c r="X22" s="110">
        <f t="shared" ca="1" si="15"/>
        <v>3.4417777777778014E-5</v>
      </c>
      <c r="Y22" s="111">
        <f t="shared" ca="1" si="16"/>
        <v>8.2177777777772413E-6</v>
      </c>
      <c r="Z22" s="112">
        <f t="shared" ca="1" si="17"/>
        <v>8.2177777777772413E-6</v>
      </c>
      <c r="AA22" s="111">
        <f t="shared" ca="1" si="20"/>
        <v>1.2990000000000002</v>
      </c>
      <c r="AB22">
        <f t="shared" ca="1" si="21"/>
        <v>4.0000000000008951E-6</v>
      </c>
      <c r="AC22">
        <f t="shared" ca="1" si="18"/>
        <v>9.9999999999977973E-7</v>
      </c>
      <c r="AD22">
        <f t="shared" ca="1" si="19"/>
        <v>9.9999999999977973E-7</v>
      </c>
      <c r="AE22" s="111"/>
      <c r="AF22" s="111"/>
      <c r="AG22" s="111"/>
      <c r="AH22">
        <f ca="1">OFFSET('Data Sheet'!$C$17,AH$15,$AK22)</f>
        <v>1.2969999999999999</v>
      </c>
      <c r="AI22">
        <f ca="1">OFFSET('Data Sheet'!$C$17,AI$15,$AK22)</f>
        <v>1.3</v>
      </c>
      <c r="AJ22">
        <f ca="1">OFFSET('Data Sheet'!$C$17,AJ$15,$AK22)</f>
        <v>1.3</v>
      </c>
      <c r="AK22">
        <v>6</v>
      </c>
    </row>
    <row r="23" spans="1:38" ht="15" customHeight="1" x14ac:dyDescent="0.3">
      <c r="A23" s="53"/>
      <c r="B23" s="154"/>
      <c r="C23" s="153"/>
      <c r="D23" s="153"/>
      <c r="E23" s="153"/>
      <c r="F23" s="153"/>
      <c r="G23" s="58"/>
      <c r="H23" s="69"/>
      <c r="I23" s="54"/>
      <c r="J23" s="53"/>
      <c r="K23" s="132"/>
      <c r="L23" s="133"/>
      <c r="M23" s="133"/>
      <c r="N23" s="133"/>
      <c r="O23" s="133"/>
      <c r="P23" s="133"/>
      <c r="Q23" s="134"/>
      <c r="R23" s="53"/>
      <c r="T23" s="110">
        <v>8</v>
      </c>
      <c r="U23" s="111">
        <f t="shared" ca="1" si="12"/>
        <v>1.3</v>
      </c>
      <c r="V23" s="111">
        <f t="shared" ca="1" si="13"/>
        <v>1.306</v>
      </c>
      <c r="W23" s="112">
        <f t="shared" ca="1" si="14"/>
        <v>1.2989999999999999</v>
      </c>
      <c r="X23" s="110">
        <f t="shared" ca="1" si="15"/>
        <v>8.2177777777772413E-6</v>
      </c>
      <c r="Y23" s="111">
        <f t="shared" ca="1" si="16"/>
        <v>9.8177777777783983E-6</v>
      </c>
      <c r="Z23" s="112">
        <f t="shared" ca="1" si="17"/>
        <v>1.4951111111111253E-5</v>
      </c>
      <c r="AA23" s="111">
        <f t="shared" ca="1" si="20"/>
        <v>1.3016666666666665</v>
      </c>
      <c r="AB23">
        <f t="shared" ca="1" si="21"/>
        <v>2.7777777777771659E-6</v>
      </c>
      <c r="AC23">
        <f t="shared" ca="1" si="18"/>
        <v>1.8777777777779414E-5</v>
      </c>
      <c r="AD23">
        <f t="shared" ca="1" si="19"/>
        <v>7.111111111110729E-6</v>
      </c>
      <c r="AE23" s="111"/>
      <c r="AF23" s="111"/>
      <c r="AG23" s="111"/>
      <c r="AH23">
        <f ca="1">OFFSET('Data Sheet'!$C$17,AH$15,$AK23)</f>
        <v>1.3</v>
      </c>
      <c r="AI23">
        <f ca="1">OFFSET('Data Sheet'!$C$17,AI$15,$AK23)</f>
        <v>1.306</v>
      </c>
      <c r="AJ23">
        <f ca="1">OFFSET('Data Sheet'!$C$17,AJ$15,$AK23)</f>
        <v>1.2989999999999999</v>
      </c>
      <c r="AK23">
        <v>7</v>
      </c>
    </row>
    <row r="24" spans="1:38" ht="15" customHeight="1" x14ac:dyDescent="0.3">
      <c r="A24" s="53"/>
      <c r="B24" s="57"/>
      <c r="C24" s="58"/>
      <c r="D24" s="252" t="s">
        <v>119</v>
      </c>
      <c r="E24" s="58"/>
      <c r="F24" s="252" t="s">
        <v>120</v>
      </c>
      <c r="G24" s="58"/>
      <c r="H24" s="236" t="s">
        <v>121</v>
      </c>
      <c r="I24" s="54"/>
      <c r="J24" s="53"/>
      <c r="K24" s="130"/>
      <c r="L24" s="124"/>
      <c r="M24" s="246" t="s">
        <v>119</v>
      </c>
      <c r="N24" s="124"/>
      <c r="O24" s="246" t="s">
        <v>120</v>
      </c>
      <c r="P24" s="124"/>
      <c r="Q24" s="247" t="s">
        <v>121</v>
      </c>
      <c r="R24" s="53"/>
      <c r="T24" s="110">
        <v>9</v>
      </c>
      <c r="U24" s="111">
        <f t="shared" ca="1" si="12"/>
        <v>1.306</v>
      </c>
      <c r="V24" s="111">
        <f t="shared" ca="1" si="13"/>
        <v>1.306</v>
      </c>
      <c r="W24" s="112">
        <f t="shared" ca="1" si="14"/>
        <v>1.306</v>
      </c>
      <c r="X24" s="110">
        <f t="shared" ca="1" si="15"/>
        <v>9.8177777777783983E-6</v>
      </c>
      <c r="Y24" s="111">
        <f t="shared" ca="1" si="16"/>
        <v>9.8177777777783983E-6</v>
      </c>
      <c r="Z24" s="112">
        <f t="shared" ca="1" si="17"/>
        <v>9.8177777777783983E-6</v>
      </c>
      <c r="AA24" s="111">
        <f t="shared" ca="1" si="20"/>
        <v>1.306</v>
      </c>
      <c r="AB24">
        <f t="shared" ca="1" si="21"/>
        <v>0</v>
      </c>
      <c r="AC24">
        <f t="shared" ca="1" si="18"/>
        <v>0</v>
      </c>
      <c r="AD24">
        <f t="shared" ca="1" si="19"/>
        <v>0</v>
      </c>
      <c r="AE24" s="111"/>
      <c r="AF24" s="111"/>
      <c r="AG24" s="111"/>
      <c r="AH24">
        <f ca="1">OFFSET('Data Sheet'!$C$17,AH$15,$AK24)</f>
        <v>1.306</v>
      </c>
      <c r="AI24">
        <f ca="1">OFFSET('Data Sheet'!$C$17,AI$15,$AK24)</f>
        <v>1.306</v>
      </c>
      <c r="AJ24">
        <f ca="1">OFFSET('Data Sheet'!$C$17,AJ$15,$AK24)</f>
        <v>1.306</v>
      </c>
      <c r="AK24">
        <v>8</v>
      </c>
    </row>
    <row r="25" spans="1:38" ht="15" customHeight="1" x14ac:dyDescent="0.3">
      <c r="A25" s="53"/>
      <c r="B25" s="238" t="s">
        <v>107</v>
      </c>
      <c r="C25" s="239"/>
      <c r="D25" s="252"/>
      <c r="E25" s="58"/>
      <c r="F25" s="252"/>
      <c r="G25" s="58"/>
      <c r="H25" s="236"/>
      <c r="I25" s="54"/>
      <c r="J25" s="53"/>
      <c r="K25" s="248" t="s">
        <v>107</v>
      </c>
      <c r="L25" s="249"/>
      <c r="M25" s="246"/>
      <c r="N25" s="124"/>
      <c r="O25" s="246"/>
      <c r="P25" s="124"/>
      <c r="Q25" s="247"/>
      <c r="R25" s="53"/>
      <c r="T25" s="113">
        <v>10</v>
      </c>
      <c r="U25" s="114">
        <f t="shared" ca="1" si="12"/>
        <v>1.3049999999999999</v>
      </c>
      <c r="V25" s="114">
        <f t="shared" ca="1" si="13"/>
        <v>1.306</v>
      </c>
      <c r="W25" s="115">
        <f t="shared" ca="1" si="14"/>
        <v>1.306</v>
      </c>
      <c r="X25" s="113">
        <f t="shared" ca="1" si="15"/>
        <v>4.5511111111110559E-6</v>
      </c>
      <c r="Y25" s="114">
        <f t="shared" ca="1" si="16"/>
        <v>9.8177777777783983E-6</v>
      </c>
      <c r="Z25" s="115">
        <f t="shared" ca="1" si="17"/>
        <v>9.8177777777783983E-6</v>
      </c>
      <c r="AA25" s="111">
        <f ca="1">AVERAGE(U25:W25)</f>
        <v>1.3056666666666665</v>
      </c>
      <c r="AB25">
        <f ca="1">(U25-$AA25)^2</f>
        <v>4.4444444444434655E-7</v>
      </c>
      <c r="AC25">
        <f t="shared" ca="1" si="18"/>
        <v>1.1111111111123467E-7</v>
      </c>
      <c r="AD25">
        <f ca="1">(W25-$AA25)^2</f>
        <v>1.1111111111123467E-7</v>
      </c>
      <c r="AE25" s="111"/>
      <c r="AF25" s="111"/>
      <c r="AG25" s="111"/>
      <c r="AH25">
        <f ca="1">OFFSET('Data Sheet'!$C$17,AH$15,$AK25)</f>
        <v>1.3049999999999999</v>
      </c>
      <c r="AI25">
        <f ca="1">OFFSET('Data Sheet'!$C$17,AI$15,$AK25)</f>
        <v>1.306</v>
      </c>
      <c r="AJ25">
        <f ca="1">OFFSET('Data Sheet'!$C$17,AJ$15,$AK25)</f>
        <v>1.306</v>
      </c>
      <c r="AK25">
        <v>9</v>
      </c>
    </row>
    <row r="26" spans="1:38" ht="15" customHeight="1" x14ac:dyDescent="0.3">
      <c r="A26" s="53"/>
      <c r="B26" s="240" t="s">
        <v>110</v>
      </c>
      <c r="C26" s="241"/>
      <c r="D26" s="161">
        <f ca="1">5.15*D12</f>
        <v>8.2029607346866575E-3</v>
      </c>
      <c r="E26" s="58"/>
      <c r="F26" s="70">
        <f ca="1">D26/D$32</f>
        <v>0.55612102366008309</v>
      </c>
      <c r="G26" s="62"/>
      <c r="H26" s="61">
        <f ca="1">D26/D$20</f>
        <v>0.12817126147947891</v>
      </c>
      <c r="I26" s="54"/>
      <c r="J26" s="53"/>
      <c r="K26" s="250" t="s">
        <v>110</v>
      </c>
      <c r="L26" s="251"/>
      <c r="M26" s="157">
        <f>'Data Sheet'!C90</f>
        <v>6.3682881347656871E-3</v>
      </c>
      <c r="N26" s="126"/>
      <c r="O26" s="135">
        <f>M26/M$30</f>
        <v>0.54798202825306852</v>
      </c>
      <c r="P26" s="126"/>
      <c r="Q26" s="137">
        <f>M26/M$18</f>
        <v>9.9504502105713766E-2</v>
      </c>
      <c r="R26" s="53"/>
      <c r="T26" s="111" t="s">
        <v>184</v>
      </c>
      <c r="U26" s="111">
        <f ca="1">AVERAGE(U16:U25)</f>
        <v>1.3021999999999998</v>
      </c>
      <c r="V26" s="111">
        <f ca="1">AVERAGE(V16:V25)</f>
        <v>1.3031999999999999</v>
      </c>
      <c r="W26" s="111">
        <f ca="1">AVERAGE(W16:W25)</f>
        <v>1.3025000000000002</v>
      </c>
      <c r="Y26" s="111"/>
      <c r="Z26" s="111"/>
      <c r="AA26" s="111"/>
      <c r="AB26" s="111"/>
      <c r="AC26" s="111"/>
      <c r="AD26" s="111"/>
      <c r="AE26" s="111"/>
      <c r="AF26" s="111"/>
      <c r="AG26" s="111"/>
    </row>
    <row r="27" spans="1:38" ht="15" customHeight="1" x14ac:dyDescent="0.3">
      <c r="A27" s="53"/>
      <c r="B27" s="240" t="s">
        <v>111</v>
      </c>
      <c r="C27" s="241"/>
      <c r="D27" s="161">
        <f ca="1">5.15*D13</f>
        <v>8.0701593678326137E-3</v>
      </c>
      <c r="E27" s="58"/>
      <c r="F27" s="70">
        <f ca="1">D27/D$32</f>
        <v>0.5471177339373815</v>
      </c>
      <c r="G27" s="62"/>
      <c r="H27" s="61">
        <f t="shared" ref="H27:H30" ca="1" si="22">D27/D$20</f>
        <v>0.12609624012238449</v>
      </c>
      <c r="I27" s="54"/>
      <c r="J27" s="53"/>
      <c r="K27" s="250" t="s">
        <v>111</v>
      </c>
      <c r="L27" s="251"/>
      <c r="M27" s="157">
        <f>'Data Sheet'!C80</f>
        <v>6.1866606666666837E-3</v>
      </c>
      <c r="N27" s="126"/>
      <c r="O27" s="135">
        <f>M27/M$30</f>
        <v>0.53235324603575396</v>
      </c>
      <c r="P27" s="126"/>
      <c r="Q27" s="137">
        <f>M27/M$18</f>
        <v>9.6666572916666846E-2</v>
      </c>
      <c r="R27" s="53"/>
      <c r="T27" s="111" t="s">
        <v>189</v>
      </c>
      <c r="U27">
        <f ca="1">AVERAGE(U26:W26)</f>
        <v>1.3026333333333333</v>
      </c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</row>
    <row r="28" spans="1:38" ht="15" customHeight="1" x14ac:dyDescent="0.3">
      <c r="A28" s="53"/>
      <c r="B28" s="240" t="s">
        <v>112</v>
      </c>
      <c r="C28" s="241"/>
      <c r="D28" s="161">
        <f t="shared" ref="D28:D30" ca="1" si="23">5.15*D14</f>
        <v>1.4700655062256846E-3</v>
      </c>
      <c r="E28" s="58"/>
      <c r="F28" s="70">
        <f t="shared" ref="F28:F32" ca="1" si="24">D28/D$32</f>
        <v>9.9663324086462876E-2</v>
      </c>
      <c r="G28" s="62"/>
      <c r="H28" s="61">
        <f t="shared" ca="1" si="22"/>
        <v>2.2969773534776302E-2</v>
      </c>
      <c r="I28" s="54"/>
      <c r="J28" s="53"/>
      <c r="K28" s="250" t="s">
        <v>112</v>
      </c>
      <c r="L28" s="251"/>
      <c r="M28" s="157">
        <f>'Data Sheet'!C85</f>
        <v>1.5100740256413852E-3</v>
      </c>
      <c r="N28" s="126"/>
      <c r="O28" s="135">
        <f>M28/M$30</f>
        <v>0.12993969648857431</v>
      </c>
      <c r="P28" s="126"/>
      <c r="Q28" s="137">
        <f>M28/M$18</f>
        <v>2.3594906650646622E-2</v>
      </c>
      <c r="R28" s="53"/>
      <c r="T28" s="111" t="s">
        <v>187</v>
      </c>
      <c r="U28" s="111">
        <f ca="1">(U27-$AF$2)^2</f>
        <v>5.4444444444432454E-8</v>
      </c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</row>
    <row r="29" spans="1:38" ht="15" customHeight="1" x14ac:dyDescent="0.3">
      <c r="A29" s="53"/>
      <c r="B29" s="147"/>
      <c r="C29" s="62" t="s">
        <v>113</v>
      </c>
      <c r="D29" s="161">
        <f ca="1">5.15*D15</f>
        <v>1.4700655062256846E-3</v>
      </c>
      <c r="E29" s="58"/>
      <c r="F29" s="70">
        <f t="shared" ca="1" si="24"/>
        <v>9.9663324086462876E-2</v>
      </c>
      <c r="G29" s="62"/>
      <c r="H29" s="61">
        <f t="shared" ca="1" si="22"/>
        <v>2.2969773534776302E-2</v>
      </c>
      <c r="I29" s="54"/>
      <c r="J29" s="53"/>
      <c r="K29" s="250" t="s">
        <v>114</v>
      </c>
      <c r="L29" s="251"/>
      <c r="M29" s="157">
        <f>'Data Sheet'!C95</f>
        <v>9.7211399999996492E-3</v>
      </c>
      <c r="N29" s="126"/>
      <c r="O29" s="135">
        <f>M29/M$30</f>
        <v>0.83649010556709713</v>
      </c>
      <c r="P29" s="126"/>
      <c r="Q29" s="137">
        <f>M29/M$18</f>
        <v>0.1518928124999944</v>
      </c>
      <c r="R29" s="53"/>
      <c r="T29" s="116"/>
      <c r="U29" s="111"/>
      <c r="V29" s="111"/>
      <c r="W29" s="111"/>
      <c r="X29" s="111"/>
      <c r="Y29" s="111"/>
      <c r="Z29" s="111"/>
      <c r="AA29" s="117" t="s">
        <v>184</v>
      </c>
      <c r="AB29" t="s">
        <v>192</v>
      </c>
      <c r="AC29" t="s">
        <v>192</v>
      </c>
      <c r="AD29" t="s">
        <v>192</v>
      </c>
      <c r="AE29" s="111"/>
      <c r="AF29" s="111"/>
      <c r="AG29" s="111"/>
      <c r="AH29">
        <v>0</v>
      </c>
      <c r="AI29">
        <v>1</v>
      </c>
      <c r="AJ29">
        <v>2</v>
      </c>
    </row>
    <row r="30" spans="1:38" ht="15" customHeight="1" x14ac:dyDescent="0.3">
      <c r="A30" s="53"/>
      <c r="B30" s="147"/>
      <c r="C30" s="62" t="s">
        <v>115</v>
      </c>
      <c r="D30" s="161">
        <f t="shared" ca="1" si="23"/>
        <v>0</v>
      </c>
      <c r="E30" s="58"/>
      <c r="F30" s="70">
        <f t="shared" ca="1" si="24"/>
        <v>0</v>
      </c>
      <c r="G30" s="62"/>
      <c r="H30" s="61">
        <f t="shared" ca="1" si="22"/>
        <v>0</v>
      </c>
      <c r="I30" s="54"/>
      <c r="J30" s="53"/>
      <c r="K30" s="253" t="s">
        <v>116</v>
      </c>
      <c r="L30" s="254"/>
      <c r="M30" s="167">
        <f>M16*5.15</f>
        <v>1.1621344873421088E-2</v>
      </c>
      <c r="N30" s="129"/>
      <c r="O30" s="136">
        <f>M30/M$30</f>
        <v>1</v>
      </c>
      <c r="P30" s="129"/>
      <c r="Q30" s="138">
        <f>M30/M$18</f>
        <v>0.18158351364720432</v>
      </c>
      <c r="R30" s="53"/>
      <c r="T30" s="107">
        <v>1</v>
      </c>
      <c r="U30" s="108">
        <f t="shared" ref="U30:U39" ca="1" si="25">AH30</f>
        <v>1.3</v>
      </c>
      <c r="V30" s="108">
        <f t="shared" ref="V30:V39" ca="1" si="26">AI30</f>
        <v>1.3</v>
      </c>
      <c r="W30" s="109">
        <f t="shared" ref="W30:W39" ca="1" si="27">AJ30</f>
        <v>1.3049999999999999</v>
      </c>
      <c r="X30" s="107">
        <f t="shared" ref="X30:X39" ca="1" si="28">(U30-$AF$2)^2</f>
        <v>8.2177777777772413E-6</v>
      </c>
      <c r="Y30" s="108">
        <f t="shared" ref="Y30:Y39" ca="1" si="29">(V30-$AF$2)^2</f>
        <v>8.2177777777772413E-6</v>
      </c>
      <c r="Z30" s="109">
        <f t="shared" ref="Z30:Z39" ca="1" si="30">(W30-$AF$2)^2</f>
        <v>4.5511111111110559E-6</v>
      </c>
      <c r="AA30" s="111">
        <f ca="1">AVERAGE(U30:W30)</f>
        <v>1.3016666666666667</v>
      </c>
      <c r="AB30">
        <f ca="1">(U30-$AA30)^2</f>
        <v>2.7777777777779062E-6</v>
      </c>
      <c r="AC30">
        <f t="shared" ref="AC30:AC39" ca="1" si="31">(V30-$AA30)^2</f>
        <v>2.7777777777779062E-6</v>
      </c>
      <c r="AD30">
        <f t="shared" ref="AD30:AD38" ca="1" si="32">(W30-$AA30)^2</f>
        <v>1.1111111111110144E-5</v>
      </c>
      <c r="AE30" s="111"/>
      <c r="AF30" s="111"/>
      <c r="AG30" s="111"/>
      <c r="AH30">
        <f ca="1">OFFSET('Data Sheet'!$C$22,AH$29,$AK30)</f>
        <v>1.3</v>
      </c>
      <c r="AI30">
        <f ca="1">OFFSET('Data Sheet'!$C$22,AI$29,$AK30)</f>
        <v>1.3</v>
      </c>
      <c r="AJ30">
        <f ca="1">OFFSET('Data Sheet'!$C$22,AJ$29,$AK30)</f>
        <v>1.3049999999999999</v>
      </c>
      <c r="AK30">
        <v>0</v>
      </c>
    </row>
    <row r="31" spans="1:38" ht="15" customHeight="1" x14ac:dyDescent="0.3">
      <c r="A31" s="53"/>
      <c r="B31" s="240" t="s">
        <v>114</v>
      </c>
      <c r="C31" s="241"/>
      <c r="D31" s="161">
        <f ca="1">5.15*D17</f>
        <v>1.2259006976815775E-2</v>
      </c>
      <c r="E31" s="58"/>
      <c r="F31" s="70">
        <f t="shared" ca="1" si="24"/>
        <v>0.83110132176724472</v>
      </c>
      <c r="G31" s="62"/>
      <c r="H31" s="61">
        <f ca="1">D31/D$20</f>
        <v>0.19154698401274631</v>
      </c>
      <c r="I31" s="54"/>
      <c r="J31" s="53"/>
      <c r="K31" s="53"/>
      <c r="L31" s="53"/>
      <c r="M31" s="53"/>
      <c r="N31" s="53"/>
      <c r="O31" s="53"/>
      <c r="P31" s="53"/>
      <c r="Q31" s="51"/>
      <c r="R31" s="53"/>
      <c r="T31" s="110">
        <v>2</v>
      </c>
      <c r="U31" s="111">
        <f t="shared" ca="1" si="25"/>
        <v>1.302</v>
      </c>
      <c r="V31" s="111">
        <f t="shared" ca="1" si="26"/>
        <v>1.302</v>
      </c>
      <c r="W31" s="112">
        <f t="shared" ca="1" si="27"/>
        <v>1.3049999999999999</v>
      </c>
      <c r="X31" s="110">
        <f t="shared" ca="1" si="28"/>
        <v>7.5111111111094571E-7</v>
      </c>
      <c r="Y31" s="111">
        <f t="shared" ca="1" si="29"/>
        <v>7.5111111111094571E-7</v>
      </c>
      <c r="Z31" s="112">
        <f t="shared" ca="1" si="30"/>
        <v>4.5511111111110559E-6</v>
      </c>
      <c r="AA31" s="111">
        <f ca="1">AVERAGE(U31:W31)</f>
        <v>1.3029999999999999</v>
      </c>
      <c r="AB31">
        <f t="shared" ref="AB31:AB38" ca="1" si="33">(U31-$AA31)^2</f>
        <v>9.9999999999977973E-7</v>
      </c>
      <c r="AC31">
        <f t="shared" ca="1" si="31"/>
        <v>9.9999999999977973E-7</v>
      </c>
      <c r="AD31">
        <f t="shared" ca="1" si="32"/>
        <v>4.0000000000000074E-6</v>
      </c>
      <c r="AE31" s="111"/>
      <c r="AF31" s="111"/>
      <c r="AG31" s="111"/>
      <c r="AH31">
        <f ca="1">OFFSET('Data Sheet'!$C$22,AH$29,$AK31)</f>
        <v>1.302</v>
      </c>
      <c r="AI31">
        <f ca="1">OFFSET('Data Sheet'!$C$22,AI$29,$AK31)</f>
        <v>1.302</v>
      </c>
      <c r="AJ31">
        <f ca="1">OFFSET('Data Sheet'!$C$22,AJ$29,$AK31)</f>
        <v>1.3049999999999999</v>
      </c>
      <c r="AK31">
        <v>1</v>
      </c>
    </row>
    <row r="32" spans="1:38" ht="15" customHeight="1" x14ac:dyDescent="0.3">
      <c r="A32" s="53"/>
      <c r="B32" s="242" t="s">
        <v>116</v>
      </c>
      <c r="C32" s="243"/>
      <c r="D32" s="162">
        <f ca="1">5.15*D18</f>
        <v>1.4750315822802878E-2</v>
      </c>
      <c r="E32" s="63"/>
      <c r="F32" s="71">
        <f t="shared" ca="1" si="24"/>
        <v>1</v>
      </c>
      <c r="G32" s="72"/>
      <c r="H32" s="64">
        <f ca="1">D32/D$20</f>
        <v>0.23047368473129476</v>
      </c>
      <c r="I32" s="54"/>
      <c r="J32" s="53"/>
      <c r="K32" s="53"/>
      <c r="L32" s="53"/>
      <c r="M32" s="53"/>
      <c r="N32" s="53"/>
      <c r="O32" s="53"/>
      <c r="P32" s="53"/>
      <c r="Q32" s="51"/>
      <c r="R32" s="53"/>
      <c r="T32" s="110">
        <v>3</v>
      </c>
      <c r="U32" s="111">
        <f t="shared" ca="1" si="25"/>
        <v>1.306</v>
      </c>
      <c r="V32" s="111">
        <f t="shared" ca="1" si="26"/>
        <v>1.306</v>
      </c>
      <c r="W32" s="112">
        <f t="shared" ca="1" si="27"/>
        <v>1.3049999999999999</v>
      </c>
      <c r="X32" s="110">
        <f t="shared" ca="1" si="28"/>
        <v>9.8177777777783983E-6</v>
      </c>
      <c r="Y32" s="111">
        <f t="shared" ca="1" si="29"/>
        <v>9.8177777777783983E-6</v>
      </c>
      <c r="Z32" s="112">
        <f t="shared" ca="1" si="30"/>
        <v>4.5511111111110559E-6</v>
      </c>
      <c r="AA32" s="111">
        <f t="shared" ref="AA32:AA38" ca="1" si="34">AVERAGE(U32:W32)</f>
        <v>1.3056666666666665</v>
      </c>
      <c r="AB32">
        <f t="shared" ca="1" si="33"/>
        <v>1.1111111111123467E-7</v>
      </c>
      <c r="AC32">
        <f t="shared" ca="1" si="31"/>
        <v>1.1111111111123467E-7</v>
      </c>
      <c r="AD32">
        <f t="shared" ca="1" si="32"/>
        <v>4.4444444444434655E-7</v>
      </c>
      <c r="AE32" s="111"/>
      <c r="AF32" s="111"/>
      <c r="AG32" s="111"/>
      <c r="AH32">
        <f ca="1">OFFSET('Data Sheet'!$C$22,AH$29,$AK32)</f>
        <v>1.306</v>
      </c>
      <c r="AI32">
        <f ca="1">OFFSET('Data Sheet'!$C$22,AI$29,$AK32)</f>
        <v>1.306</v>
      </c>
      <c r="AJ32">
        <f ca="1">OFFSET('Data Sheet'!$C$22,AJ$29,$AK32)</f>
        <v>1.3049999999999999</v>
      </c>
      <c r="AK32">
        <v>2</v>
      </c>
    </row>
    <row r="33" spans="1:37" ht="15" customHeight="1" x14ac:dyDescent="0.3">
      <c r="A33" s="53"/>
      <c r="B33" s="53"/>
      <c r="C33" s="53"/>
      <c r="D33" s="53"/>
      <c r="E33" s="53"/>
      <c r="F33" s="53"/>
      <c r="G33" s="53"/>
      <c r="H33" s="53"/>
      <c r="I33" s="54"/>
      <c r="J33" s="53"/>
      <c r="K33" s="53"/>
      <c r="L33" s="53"/>
      <c r="M33" s="53"/>
      <c r="N33" s="53"/>
      <c r="O33" s="53"/>
      <c r="P33" s="53"/>
      <c r="Q33" s="51"/>
      <c r="R33" s="53"/>
      <c r="T33" s="110">
        <v>4</v>
      </c>
      <c r="U33" s="111">
        <f t="shared" ca="1" si="25"/>
        <v>1.3049999999999999</v>
      </c>
      <c r="V33" s="111">
        <f t="shared" ca="1" si="26"/>
        <v>1.3049999999999999</v>
      </c>
      <c r="W33" s="112">
        <f t="shared" ca="1" si="27"/>
        <v>1.3049999999999999</v>
      </c>
      <c r="X33" s="110">
        <f t="shared" ca="1" si="28"/>
        <v>4.5511111111110559E-6</v>
      </c>
      <c r="Y33" s="111">
        <f t="shared" ca="1" si="29"/>
        <v>4.5511111111110559E-6</v>
      </c>
      <c r="Z33" s="112">
        <f t="shared" ca="1" si="30"/>
        <v>4.5511111111110559E-6</v>
      </c>
      <c r="AA33" s="111">
        <f t="shared" ca="1" si="34"/>
        <v>1.3049999999999999</v>
      </c>
      <c r="AB33">
        <f t="shared" ca="1" si="33"/>
        <v>0</v>
      </c>
      <c r="AC33">
        <f t="shared" ca="1" si="31"/>
        <v>0</v>
      </c>
      <c r="AD33">
        <f t="shared" ca="1" si="32"/>
        <v>0</v>
      </c>
      <c r="AE33" s="111"/>
      <c r="AF33" s="111"/>
      <c r="AG33" s="111"/>
      <c r="AH33">
        <f ca="1">OFFSET('Data Sheet'!$C$22,AH$29,$AK33)</f>
        <v>1.3049999999999999</v>
      </c>
      <c r="AI33">
        <f ca="1">OFFSET('Data Sheet'!$C$22,AI$29,$AK33)</f>
        <v>1.3049999999999999</v>
      </c>
      <c r="AJ33">
        <f ca="1">OFFSET('Data Sheet'!$C$22,AJ$29,$AK33)</f>
        <v>1.3049999999999999</v>
      </c>
      <c r="AK33">
        <v>3</v>
      </c>
    </row>
    <row r="34" spans="1:37" ht="15" customHeight="1" x14ac:dyDescent="0.3">
      <c r="A34" s="53"/>
      <c r="B34" s="186" t="s">
        <v>122</v>
      </c>
      <c r="C34" s="187"/>
      <c r="D34" s="187"/>
      <c r="E34" s="187"/>
      <c r="F34" s="187"/>
      <c r="G34" s="184"/>
      <c r="H34" s="185"/>
      <c r="I34" s="54"/>
      <c r="J34" s="53"/>
      <c r="K34" s="186" t="s">
        <v>122</v>
      </c>
      <c r="L34" s="184"/>
      <c r="M34" s="184"/>
      <c r="N34" s="184"/>
      <c r="O34" s="184"/>
      <c r="P34" s="184"/>
      <c r="Q34" s="185"/>
      <c r="R34" s="53"/>
      <c r="T34" s="110">
        <v>5</v>
      </c>
      <c r="U34" s="111">
        <f t="shared" ca="1" si="25"/>
        <v>1.3009999999999999</v>
      </c>
      <c r="V34" s="111">
        <f t="shared" ca="1" si="26"/>
        <v>1.3009999999999999</v>
      </c>
      <c r="W34" s="112">
        <f t="shared" ca="1" si="27"/>
        <v>1.3049999999999999</v>
      </c>
      <c r="X34" s="110">
        <f t="shared" ca="1" si="28"/>
        <v>3.4844444444445059E-6</v>
      </c>
      <c r="Y34" s="111">
        <f t="shared" ca="1" si="29"/>
        <v>3.4844444444445059E-6</v>
      </c>
      <c r="Z34" s="112">
        <f t="shared" ca="1" si="30"/>
        <v>4.5511111111110559E-6</v>
      </c>
      <c r="AA34" s="111">
        <f t="shared" ca="1" si="34"/>
        <v>1.3023333333333333</v>
      </c>
      <c r="AB34">
        <f t="shared" ca="1" si="33"/>
        <v>1.7777777777779783E-6</v>
      </c>
      <c r="AC34">
        <f t="shared" ca="1" si="31"/>
        <v>1.7777777777779783E-6</v>
      </c>
      <c r="AD34">
        <f t="shared" ca="1" si="32"/>
        <v>7.111111111110729E-6</v>
      </c>
      <c r="AE34" s="111"/>
      <c r="AF34" s="111"/>
      <c r="AG34" s="111"/>
      <c r="AH34">
        <f ca="1">OFFSET('Data Sheet'!$C$22,AH$29,$AK34)</f>
        <v>1.3009999999999999</v>
      </c>
      <c r="AI34">
        <f ca="1">OFFSET('Data Sheet'!$C$22,AI$29,$AK34)</f>
        <v>1.3009999999999999</v>
      </c>
      <c r="AJ34">
        <f ca="1">OFFSET('Data Sheet'!$C$22,AJ$29,$AK34)</f>
        <v>1.3049999999999999</v>
      </c>
      <c r="AK34">
        <v>4</v>
      </c>
    </row>
    <row r="35" spans="1:37" ht="15" customHeight="1" x14ac:dyDescent="0.3">
      <c r="A35" s="53"/>
      <c r="B35" s="154"/>
      <c r="C35" s="153"/>
      <c r="D35" s="153"/>
      <c r="E35" s="153"/>
      <c r="F35" s="153"/>
      <c r="G35" s="58"/>
      <c r="H35" s="69"/>
      <c r="I35" s="54"/>
      <c r="J35" s="53"/>
      <c r="K35" s="132"/>
      <c r="L35" s="133"/>
      <c r="M35" s="133"/>
      <c r="N35" s="133"/>
      <c r="O35" s="133"/>
      <c r="P35" s="133"/>
      <c r="Q35" s="134"/>
      <c r="R35" s="53"/>
      <c r="T35" s="110">
        <v>6</v>
      </c>
      <c r="U35" s="111">
        <f t="shared" ca="1" si="25"/>
        <v>1.3</v>
      </c>
      <c r="V35" s="111">
        <f t="shared" ca="1" si="26"/>
        <v>1.3</v>
      </c>
      <c r="W35" s="112">
        <f t="shared" ca="1" si="27"/>
        <v>1.3049999999999999</v>
      </c>
      <c r="X35" s="110">
        <f t="shared" ca="1" si="28"/>
        <v>8.2177777777772413E-6</v>
      </c>
      <c r="Y35" s="111">
        <f t="shared" ca="1" si="29"/>
        <v>8.2177777777772413E-6</v>
      </c>
      <c r="Z35" s="112">
        <f t="shared" ca="1" si="30"/>
        <v>4.5511111111110559E-6</v>
      </c>
      <c r="AA35" s="111">
        <f t="shared" ca="1" si="34"/>
        <v>1.3016666666666667</v>
      </c>
      <c r="AB35">
        <f t="shared" ca="1" si="33"/>
        <v>2.7777777777779062E-6</v>
      </c>
      <c r="AC35">
        <f t="shared" ca="1" si="31"/>
        <v>2.7777777777779062E-6</v>
      </c>
      <c r="AD35">
        <f t="shared" ca="1" si="32"/>
        <v>1.1111111111110144E-5</v>
      </c>
      <c r="AE35" s="111"/>
      <c r="AF35" s="111"/>
      <c r="AG35" s="111"/>
      <c r="AH35">
        <f ca="1">OFFSET('Data Sheet'!$C$22,AH$29,$AK35)</f>
        <v>1.3</v>
      </c>
      <c r="AI35">
        <f ca="1">OFFSET('Data Sheet'!$C$22,AI$29,$AK35)</f>
        <v>1.3</v>
      </c>
      <c r="AJ35">
        <f ca="1">OFFSET('Data Sheet'!$C$22,AJ$29,$AK35)</f>
        <v>1.3049999999999999</v>
      </c>
      <c r="AK35">
        <v>5</v>
      </c>
    </row>
    <row r="36" spans="1:37" ht="15" customHeight="1" x14ac:dyDescent="0.3">
      <c r="A36" s="53"/>
      <c r="B36" s="57"/>
      <c r="C36" s="58"/>
      <c r="D36" s="252" t="s">
        <v>119</v>
      </c>
      <c r="E36" s="58"/>
      <c r="F36" s="252" t="s">
        <v>120</v>
      </c>
      <c r="G36" s="58"/>
      <c r="H36" s="236" t="s">
        <v>121</v>
      </c>
      <c r="I36" s="54"/>
      <c r="J36" s="53"/>
      <c r="K36" s="130"/>
      <c r="L36" s="124"/>
      <c r="M36" s="246" t="s">
        <v>119</v>
      </c>
      <c r="N36" s="124"/>
      <c r="O36" s="246" t="s">
        <v>120</v>
      </c>
      <c r="P36" s="124"/>
      <c r="Q36" s="247" t="s">
        <v>121</v>
      </c>
      <c r="R36" s="53"/>
      <c r="T36" s="110">
        <v>7</v>
      </c>
      <c r="U36" s="111">
        <f t="shared" ca="1" si="25"/>
        <v>1.3</v>
      </c>
      <c r="V36" s="111">
        <f t="shared" ca="1" si="26"/>
        <v>1.3</v>
      </c>
      <c r="W36" s="112">
        <f t="shared" ca="1" si="27"/>
        <v>1.3049999999999999</v>
      </c>
      <c r="X36" s="110">
        <f t="shared" ca="1" si="28"/>
        <v>8.2177777777772413E-6</v>
      </c>
      <c r="Y36" s="111">
        <f t="shared" ca="1" si="29"/>
        <v>8.2177777777772413E-6</v>
      </c>
      <c r="Z36" s="112">
        <f t="shared" ca="1" si="30"/>
        <v>4.5511111111110559E-6</v>
      </c>
      <c r="AA36" s="111">
        <f t="shared" ca="1" si="34"/>
        <v>1.3016666666666667</v>
      </c>
      <c r="AB36">
        <f t="shared" ca="1" si="33"/>
        <v>2.7777777777779062E-6</v>
      </c>
      <c r="AC36">
        <f t="shared" ca="1" si="31"/>
        <v>2.7777777777779062E-6</v>
      </c>
      <c r="AD36">
        <f t="shared" ca="1" si="32"/>
        <v>1.1111111111110144E-5</v>
      </c>
      <c r="AE36" s="111"/>
      <c r="AF36" s="111"/>
      <c r="AG36" s="111"/>
      <c r="AH36">
        <f ca="1">OFFSET('Data Sheet'!$C$22,AH$29,$AK36)</f>
        <v>1.3</v>
      </c>
      <c r="AI36">
        <f ca="1">OFFSET('Data Sheet'!$C$22,AI$29,$AK36)</f>
        <v>1.3</v>
      </c>
      <c r="AJ36">
        <f ca="1">OFFSET('Data Sheet'!$C$22,AJ$29,$AK36)</f>
        <v>1.3049999999999999</v>
      </c>
      <c r="AK36">
        <v>6</v>
      </c>
    </row>
    <row r="37" spans="1:37" ht="15" customHeight="1" x14ac:dyDescent="0.3">
      <c r="A37" s="53"/>
      <c r="B37" s="238" t="s">
        <v>107</v>
      </c>
      <c r="C37" s="239"/>
      <c r="D37" s="252"/>
      <c r="E37" s="58"/>
      <c r="F37" s="252"/>
      <c r="G37" s="58"/>
      <c r="H37" s="236"/>
      <c r="I37" s="54"/>
      <c r="J37" s="53"/>
      <c r="K37" s="248" t="s">
        <v>107</v>
      </c>
      <c r="L37" s="249"/>
      <c r="M37" s="246"/>
      <c r="N37" s="124"/>
      <c r="O37" s="246"/>
      <c r="P37" s="124"/>
      <c r="Q37" s="247"/>
      <c r="R37" s="53"/>
      <c r="T37" s="110">
        <v>8</v>
      </c>
      <c r="U37" s="111">
        <f t="shared" ca="1" si="25"/>
        <v>1.2989999999999999</v>
      </c>
      <c r="V37" s="111">
        <f t="shared" ca="1" si="26"/>
        <v>1.2989999999999999</v>
      </c>
      <c r="W37" s="112">
        <f t="shared" ca="1" si="27"/>
        <v>1.3049999999999999</v>
      </c>
      <c r="X37" s="110">
        <f t="shared" ca="1" si="28"/>
        <v>1.4951111111111253E-5</v>
      </c>
      <c r="Y37" s="111">
        <f t="shared" ca="1" si="29"/>
        <v>1.4951111111111253E-5</v>
      </c>
      <c r="Z37" s="112">
        <f t="shared" ca="1" si="30"/>
        <v>4.5511111111110559E-6</v>
      </c>
      <c r="AA37" s="111">
        <f t="shared" ca="1" si="34"/>
        <v>1.3009999999999999</v>
      </c>
      <c r="AB37">
        <f t="shared" ca="1" si="33"/>
        <v>4.0000000000000074E-6</v>
      </c>
      <c r="AC37">
        <f t="shared" ca="1" si="31"/>
        <v>4.0000000000000074E-6</v>
      </c>
      <c r="AD37">
        <f t="shared" ca="1" si="32"/>
        <v>1.600000000000003E-5</v>
      </c>
      <c r="AE37" s="111"/>
      <c r="AF37" s="111"/>
      <c r="AG37" s="111"/>
      <c r="AH37">
        <f ca="1">OFFSET('Data Sheet'!$C$22,AH$29,$AK37)</f>
        <v>1.2989999999999999</v>
      </c>
      <c r="AI37">
        <f ca="1">OFFSET('Data Sheet'!$C$22,AI$29,$AK37)</f>
        <v>1.2989999999999999</v>
      </c>
      <c r="AJ37">
        <f ca="1">OFFSET('Data Sheet'!$C$22,AJ$29,$AK37)</f>
        <v>1.3049999999999999</v>
      </c>
      <c r="AK37">
        <v>7</v>
      </c>
    </row>
    <row r="38" spans="1:37" ht="15" customHeight="1" x14ac:dyDescent="0.3">
      <c r="A38" s="53"/>
      <c r="B38" s="240" t="s">
        <v>110</v>
      </c>
      <c r="C38" s="241"/>
      <c r="D38" s="161">
        <f ca="1">(6/5.15)*D26</f>
        <v>9.5568474578873672E-3</v>
      </c>
      <c r="E38" s="58"/>
      <c r="F38" s="70">
        <f ca="1">D38/D$44</f>
        <v>0.5561210236600832</v>
      </c>
      <c r="G38" s="62"/>
      <c r="H38" s="61">
        <f ca="1">D38/D$20</f>
        <v>0.14932574152948999</v>
      </c>
      <c r="I38" s="54"/>
      <c r="J38" s="51"/>
      <c r="K38" s="250" t="s">
        <v>110</v>
      </c>
      <c r="L38" s="251"/>
      <c r="M38" s="157">
        <f>M26*(6/5.15)</f>
        <v>7.4193648172027416E-3</v>
      </c>
      <c r="N38" s="124"/>
      <c r="O38" s="135">
        <f>M38/M$42</f>
        <v>0.54798202825306852</v>
      </c>
      <c r="P38" s="126"/>
      <c r="Q38" s="137">
        <f>M38/M$18</f>
        <v>0.11592757526879273</v>
      </c>
      <c r="R38" s="53"/>
      <c r="T38" s="110">
        <v>9</v>
      </c>
      <c r="U38" s="111">
        <f t="shared" ca="1" si="25"/>
        <v>1.306</v>
      </c>
      <c r="V38" s="111">
        <f t="shared" ca="1" si="26"/>
        <v>1.306</v>
      </c>
      <c r="W38" s="112">
        <f t="shared" ca="1" si="27"/>
        <v>1.3049999999999999</v>
      </c>
      <c r="X38" s="110">
        <f t="shared" ca="1" si="28"/>
        <v>9.8177777777783983E-6</v>
      </c>
      <c r="Y38" s="111">
        <f t="shared" ca="1" si="29"/>
        <v>9.8177777777783983E-6</v>
      </c>
      <c r="Z38" s="112">
        <f t="shared" ca="1" si="30"/>
        <v>4.5511111111110559E-6</v>
      </c>
      <c r="AA38" s="111">
        <f t="shared" ca="1" si="34"/>
        <v>1.3056666666666665</v>
      </c>
      <c r="AB38">
        <f t="shared" ca="1" si="33"/>
        <v>1.1111111111123467E-7</v>
      </c>
      <c r="AC38">
        <f t="shared" ca="1" si="31"/>
        <v>1.1111111111123467E-7</v>
      </c>
      <c r="AD38">
        <f t="shared" ca="1" si="32"/>
        <v>4.4444444444434655E-7</v>
      </c>
      <c r="AE38" s="111"/>
      <c r="AF38" s="111"/>
      <c r="AG38" s="111"/>
      <c r="AH38">
        <f ca="1">OFFSET('Data Sheet'!$C$22,AH$29,$AK38)</f>
        <v>1.306</v>
      </c>
      <c r="AI38">
        <f ca="1">OFFSET('Data Sheet'!$C$22,AI$29,$AK38)</f>
        <v>1.306</v>
      </c>
      <c r="AJ38">
        <f ca="1">OFFSET('Data Sheet'!$C$22,AJ$29,$AK38)</f>
        <v>1.3049999999999999</v>
      </c>
      <c r="AK38">
        <v>8</v>
      </c>
    </row>
    <row r="39" spans="1:37" ht="15" customHeight="1" x14ac:dyDescent="0.3">
      <c r="A39" s="53"/>
      <c r="B39" s="240" t="s">
        <v>111</v>
      </c>
      <c r="C39" s="241"/>
      <c r="D39" s="161">
        <f t="shared" ref="D39:D41" ca="1" si="35">(6/5.15)*D27</f>
        <v>9.4021274188341129E-3</v>
      </c>
      <c r="E39" s="58"/>
      <c r="F39" s="70">
        <f t="shared" ref="F39:F44" ca="1" si="36">D39/D$44</f>
        <v>0.54711773393738161</v>
      </c>
      <c r="G39" s="62"/>
      <c r="H39" s="61">
        <f t="shared" ref="H39:H44" ca="1" si="37">D39/D$20</f>
        <v>0.1469082409192829</v>
      </c>
      <c r="I39" s="54"/>
      <c r="J39" s="51"/>
      <c r="K39" s="250" t="s">
        <v>111</v>
      </c>
      <c r="L39" s="251"/>
      <c r="M39" s="157">
        <f>M27*(6/5.15)</f>
        <v>7.2077600000000196E-3</v>
      </c>
      <c r="N39" s="124"/>
      <c r="O39" s="135">
        <f t="shared" ref="O39" si="38">M39/M$42</f>
        <v>0.53235324603575396</v>
      </c>
      <c r="P39" s="126"/>
      <c r="Q39" s="137">
        <f>M39/M$18</f>
        <v>0.1126212500000002</v>
      </c>
      <c r="R39" s="53"/>
      <c r="T39" s="113">
        <v>10</v>
      </c>
      <c r="U39" s="114">
        <f t="shared" ca="1" si="25"/>
        <v>1.306</v>
      </c>
      <c r="V39" s="114">
        <f t="shared" ca="1" si="26"/>
        <v>1.306</v>
      </c>
      <c r="W39" s="115">
        <f t="shared" ca="1" si="27"/>
        <v>1.3049999999999999</v>
      </c>
      <c r="X39" s="113">
        <f t="shared" ca="1" si="28"/>
        <v>9.8177777777783983E-6</v>
      </c>
      <c r="Y39" s="114">
        <f t="shared" ca="1" si="29"/>
        <v>9.8177777777783983E-6</v>
      </c>
      <c r="Z39" s="115">
        <f t="shared" ca="1" si="30"/>
        <v>4.5511111111110559E-6</v>
      </c>
      <c r="AA39" s="111">
        <f ca="1">AVERAGE(U39:W39)</f>
        <v>1.3056666666666665</v>
      </c>
      <c r="AB39">
        <f ca="1">(U39-$AA39)^2</f>
        <v>1.1111111111123467E-7</v>
      </c>
      <c r="AC39">
        <f t="shared" ca="1" si="31"/>
        <v>1.1111111111123467E-7</v>
      </c>
      <c r="AD39">
        <f ca="1">(W39-$AA39)^2</f>
        <v>4.4444444444434655E-7</v>
      </c>
      <c r="AE39" s="111"/>
      <c r="AF39" s="111"/>
      <c r="AG39" s="111"/>
      <c r="AH39">
        <f ca="1">OFFSET('Data Sheet'!$C$22,AH$29,$AK39)</f>
        <v>1.306</v>
      </c>
      <c r="AI39">
        <f ca="1">OFFSET('Data Sheet'!$C$22,AI$29,$AK39)</f>
        <v>1.306</v>
      </c>
      <c r="AJ39">
        <f ca="1">OFFSET('Data Sheet'!$C$22,AJ$29,$AK39)</f>
        <v>1.3049999999999999</v>
      </c>
      <c r="AK39">
        <v>9</v>
      </c>
    </row>
    <row r="40" spans="1:37" ht="15" customHeight="1" x14ac:dyDescent="0.3">
      <c r="A40" s="53"/>
      <c r="B40" s="240" t="s">
        <v>112</v>
      </c>
      <c r="C40" s="241"/>
      <c r="D40" s="161">
        <f t="shared" ca="1" si="35"/>
        <v>1.7126976771561374E-3</v>
      </c>
      <c r="E40" s="58"/>
      <c r="F40" s="70">
        <f t="shared" ca="1" si="36"/>
        <v>9.966332408646289E-2</v>
      </c>
      <c r="G40" s="62"/>
      <c r="H40" s="61">
        <f t="shared" ca="1" si="37"/>
        <v>2.6760901205564621E-2</v>
      </c>
      <c r="I40" s="54"/>
      <c r="J40" s="51"/>
      <c r="K40" s="250" t="s">
        <v>112</v>
      </c>
      <c r="L40" s="251"/>
      <c r="M40" s="157">
        <f>M28*(6/5.15)</f>
        <v>1.7593095444365652E-3</v>
      </c>
      <c r="N40" s="124"/>
      <c r="O40" s="135">
        <f>M40/M$42</f>
        <v>0.12993969648857431</v>
      </c>
      <c r="P40" s="126"/>
      <c r="Q40" s="137">
        <f>M40/M$18</f>
        <v>2.7489211631821307E-2</v>
      </c>
      <c r="R40" s="53"/>
      <c r="T40" s="111" t="s">
        <v>184</v>
      </c>
      <c r="U40" s="111">
        <f ca="1">AVERAGE(U30:U39)</f>
        <v>1.3025000000000002</v>
      </c>
      <c r="V40" s="111">
        <f ca="1">AVERAGE(V30:V39)</f>
        <v>1.3025000000000002</v>
      </c>
      <c r="W40" s="111">
        <f ca="1">AVERAGE(W30:W39)</f>
        <v>1.3049999999999999</v>
      </c>
      <c r="Y40" s="111"/>
      <c r="Z40" s="111"/>
      <c r="AA40" s="111"/>
      <c r="AB40" s="111"/>
      <c r="AC40" s="111"/>
      <c r="AD40" s="111"/>
    </row>
    <row r="41" spans="1:37" ht="15" customHeight="1" x14ac:dyDescent="0.3">
      <c r="A41" s="53"/>
      <c r="B41" s="147"/>
      <c r="C41" s="62" t="s">
        <v>113</v>
      </c>
      <c r="D41" s="161">
        <f t="shared" ca="1" si="35"/>
        <v>1.7126976771561374E-3</v>
      </c>
      <c r="E41" s="58"/>
      <c r="F41" s="70">
        <f t="shared" ca="1" si="36"/>
        <v>9.966332408646289E-2</v>
      </c>
      <c r="G41" s="62"/>
      <c r="H41" s="61">
        <f t="shared" ca="1" si="37"/>
        <v>2.6760901205564621E-2</v>
      </c>
      <c r="I41" s="54"/>
      <c r="J41" s="51"/>
      <c r="K41" s="250" t="s">
        <v>114</v>
      </c>
      <c r="L41" s="251"/>
      <c r="M41" s="157">
        <f>M29*(6/5.15)</f>
        <v>1.1325599999999591E-2</v>
      </c>
      <c r="N41" s="124"/>
      <c r="O41" s="135">
        <f>M41/M$42</f>
        <v>0.83649010556709724</v>
      </c>
      <c r="P41" s="126"/>
      <c r="Q41" s="137">
        <f>M41/M$18</f>
        <v>0.17696249999999344</v>
      </c>
      <c r="R41" s="53"/>
      <c r="T41" s="111" t="s">
        <v>190</v>
      </c>
      <c r="U41">
        <f ca="1">AVERAGE(U40:W40)</f>
        <v>1.3033333333333335</v>
      </c>
    </row>
    <row r="42" spans="1:37" ht="15" customHeight="1" x14ac:dyDescent="0.3">
      <c r="A42" s="53"/>
      <c r="B42" s="147"/>
      <c r="C42" s="62" t="s">
        <v>115</v>
      </c>
      <c r="D42" s="161">
        <f ca="1">(6/5.15)*D30</f>
        <v>0</v>
      </c>
      <c r="E42" s="58"/>
      <c r="F42" s="70">
        <f t="shared" ca="1" si="36"/>
        <v>0</v>
      </c>
      <c r="G42" s="62"/>
      <c r="H42" s="61">
        <f t="shared" ca="1" si="37"/>
        <v>0</v>
      </c>
      <c r="I42" s="54"/>
      <c r="J42" s="51"/>
      <c r="K42" s="253" t="s">
        <v>116</v>
      </c>
      <c r="L42" s="254"/>
      <c r="M42" s="167">
        <f>M30*(6/5.15)</f>
        <v>1.3539430920490586E-2</v>
      </c>
      <c r="N42" s="131"/>
      <c r="O42" s="136">
        <f>M42/M$42</f>
        <v>1</v>
      </c>
      <c r="P42" s="129"/>
      <c r="Q42" s="138">
        <f>M42/M$18</f>
        <v>0.21155360813266522</v>
      </c>
      <c r="R42" s="53"/>
      <c r="T42" s="111" t="s">
        <v>186</v>
      </c>
      <c r="U42" s="111">
        <f ca="1">(U41-$AF$2)^2</f>
        <v>2.1777777777793705E-7</v>
      </c>
    </row>
    <row r="43" spans="1:37" ht="15" customHeight="1" x14ac:dyDescent="0.3">
      <c r="A43" s="53"/>
      <c r="B43" s="240" t="s">
        <v>114</v>
      </c>
      <c r="C43" s="241"/>
      <c r="D43" s="161">
        <f ca="1">(6/5.15)*D31</f>
        <v>1.4282338225416436E-2</v>
      </c>
      <c r="E43" s="58"/>
      <c r="F43" s="70">
        <f t="shared" ca="1" si="36"/>
        <v>0.83110132176724472</v>
      </c>
      <c r="G43" s="62"/>
      <c r="H43" s="61">
        <f t="shared" ca="1" si="37"/>
        <v>0.2231615347721316</v>
      </c>
      <c r="I43" s="54"/>
      <c r="J43" s="51"/>
      <c r="K43" s="51"/>
      <c r="L43" s="51"/>
      <c r="M43" s="51"/>
      <c r="N43" s="51"/>
      <c r="O43" s="51"/>
      <c r="P43" s="53"/>
      <c r="Q43" s="51"/>
      <c r="R43" s="53"/>
      <c r="T43" s="116"/>
    </row>
    <row r="44" spans="1:37" ht="15" customHeight="1" x14ac:dyDescent="0.3">
      <c r="A44" s="53"/>
      <c r="B44" s="242" t="s">
        <v>116</v>
      </c>
      <c r="C44" s="243"/>
      <c r="D44" s="162">
        <f ca="1">(6/5.15)*D32</f>
        <v>1.718483396831403E-2</v>
      </c>
      <c r="E44" s="63"/>
      <c r="F44" s="71">
        <f t="shared" ca="1" si="36"/>
        <v>1</v>
      </c>
      <c r="G44" s="72"/>
      <c r="H44" s="64">
        <f t="shared" ca="1" si="37"/>
        <v>0.26851303075490646</v>
      </c>
      <c r="I44" s="54"/>
      <c r="J44" s="51"/>
      <c r="K44" s="244" t="s">
        <v>123</v>
      </c>
      <c r="L44" s="245"/>
      <c r="M44" s="245"/>
      <c r="N44" s="65">
        <f>ROUND(1.41*(M41/M38),0)</f>
        <v>2</v>
      </c>
      <c r="O44" s="66"/>
      <c r="P44" s="66"/>
      <c r="Q44" s="67"/>
      <c r="R44" s="53"/>
      <c r="AF44" t="s">
        <v>184</v>
      </c>
      <c r="AG44" t="s">
        <v>191</v>
      </c>
    </row>
    <row r="45" spans="1:37" ht="15" customHeight="1" x14ac:dyDescent="0.3">
      <c r="A45" s="53"/>
      <c r="B45" s="51"/>
      <c r="C45" s="51"/>
      <c r="D45" s="51"/>
      <c r="E45" s="51"/>
      <c r="F45" s="51"/>
      <c r="G45" s="51"/>
      <c r="H45" s="51"/>
      <c r="I45" s="54"/>
      <c r="J45" s="51"/>
      <c r="K45" s="51"/>
      <c r="L45" s="51"/>
      <c r="M45" s="51"/>
      <c r="N45" s="51"/>
      <c r="O45" s="51"/>
      <c r="P45" s="51"/>
      <c r="Q45" s="53"/>
      <c r="R45" s="53"/>
      <c r="T45" s="107">
        <v>1</v>
      </c>
      <c r="U45" s="107">
        <f ca="1">U2</f>
        <v>1.3</v>
      </c>
      <c r="V45" s="108">
        <f t="shared" ref="V45:W45" ca="1" si="39">V2</f>
        <v>1.3009999999999999</v>
      </c>
      <c r="W45" s="109">
        <f t="shared" ca="1" si="39"/>
        <v>1.3</v>
      </c>
      <c r="X45" s="108">
        <v>1</v>
      </c>
      <c r="Y45" s="107">
        <f ca="1">U16</f>
        <v>1.3</v>
      </c>
      <c r="Z45" s="108">
        <f t="shared" ref="Z45:AA45" ca="1" si="40">V16</f>
        <v>1.3009999999999999</v>
      </c>
      <c r="AA45" s="109">
        <f t="shared" ca="1" si="40"/>
        <v>1.3</v>
      </c>
      <c r="AB45" s="108">
        <v>1</v>
      </c>
      <c r="AC45" s="107">
        <f ca="1">U30</f>
        <v>1.3</v>
      </c>
      <c r="AD45" s="108">
        <f t="shared" ref="AD45:AE45" ca="1" si="41">V30</f>
        <v>1.3</v>
      </c>
      <c r="AE45" s="109">
        <f t="shared" ca="1" si="41"/>
        <v>1.3049999999999999</v>
      </c>
      <c r="AF45">
        <f t="shared" ref="AF45:AF54" ca="1" si="42">AVERAGE(U45:W45,Y45:AA45,AC45:AE45)</f>
        <v>1.3007777777777778</v>
      </c>
      <c r="AG45">
        <f t="shared" ref="AG45:AG54" ca="1" si="43">(AF45-$AF$2)^2</f>
        <v>4.3634567901231137E-6</v>
      </c>
    </row>
    <row r="46" spans="1:37" ht="15" customHeight="1" x14ac:dyDescent="0.3">
      <c r="A46" s="53"/>
      <c r="B46" s="244" t="s">
        <v>123</v>
      </c>
      <c r="C46" s="245"/>
      <c r="D46" s="245"/>
      <c r="E46" s="144">
        <f ca="1">ROUND(1.41*(D43/D38),0)</f>
        <v>2</v>
      </c>
      <c r="F46" s="66"/>
      <c r="G46" s="66"/>
      <c r="H46" s="67"/>
      <c r="I46" s="54"/>
      <c r="J46" s="51"/>
      <c r="K46" s="51"/>
      <c r="L46" s="51"/>
      <c r="M46" s="51"/>
      <c r="N46" s="51"/>
      <c r="O46" s="51"/>
      <c r="P46" s="51"/>
      <c r="Q46" s="53"/>
      <c r="R46" s="53"/>
      <c r="T46" s="110">
        <v>2</v>
      </c>
      <c r="U46" s="110">
        <f t="shared" ref="U46:W46" ca="1" si="44">U3</f>
        <v>1.3029999999999999</v>
      </c>
      <c r="V46" s="111">
        <f t="shared" ca="1" si="44"/>
        <v>1.3029999999999999</v>
      </c>
      <c r="W46" s="112">
        <f t="shared" ca="1" si="44"/>
        <v>1.302</v>
      </c>
      <c r="X46" s="111">
        <v>2</v>
      </c>
      <c r="Y46" s="110">
        <f t="shared" ref="Y46:Y54" ca="1" si="45">U17</f>
        <v>1.3029999999999999</v>
      </c>
      <c r="Z46" s="111">
        <f t="shared" ref="Z46:Z54" ca="1" si="46">V17</f>
        <v>1.3029999999999999</v>
      </c>
      <c r="AA46" s="112">
        <f t="shared" ref="AA46:AA54" ca="1" si="47">W17</f>
        <v>1.302</v>
      </c>
      <c r="AB46" s="111">
        <v>2</v>
      </c>
      <c r="AC46" s="110">
        <f t="shared" ref="AC46:AC54" ca="1" si="48">U31</f>
        <v>1.302</v>
      </c>
      <c r="AD46" s="111">
        <f t="shared" ref="AD46:AD54" ca="1" si="49">V31</f>
        <v>1.302</v>
      </c>
      <c r="AE46" s="112">
        <f t="shared" ref="AE46:AE54" ca="1" si="50">W31</f>
        <v>1.3049999999999999</v>
      </c>
      <c r="AF46">
        <f t="shared" ca="1" si="42"/>
        <v>1.3027777777777778</v>
      </c>
      <c r="AG46">
        <f t="shared" ca="1" si="43"/>
        <v>7.9012345678863367E-9</v>
      </c>
    </row>
    <row r="47" spans="1:37" ht="15" customHeight="1" x14ac:dyDescent="0.3">
      <c r="A47" s="53"/>
      <c r="B47" s="51"/>
      <c r="C47" s="51"/>
      <c r="D47" s="51"/>
      <c r="E47" s="51"/>
      <c r="F47" s="51"/>
      <c r="G47" s="51"/>
      <c r="H47" s="51"/>
      <c r="I47" s="54"/>
      <c r="J47" s="51"/>
      <c r="K47" s="51"/>
      <c r="L47" s="51"/>
      <c r="M47" s="51"/>
      <c r="N47" s="51"/>
      <c r="O47" s="51"/>
      <c r="P47" s="51"/>
      <c r="Q47" s="51"/>
      <c r="R47" s="53"/>
      <c r="T47" s="110">
        <v>3</v>
      </c>
      <c r="U47" s="110">
        <f t="shared" ref="U47:W47" ca="1" si="51">U4</f>
        <v>1.306</v>
      </c>
      <c r="V47" s="111">
        <f t="shared" ca="1" si="51"/>
        <v>1.3049999999999999</v>
      </c>
      <c r="W47" s="112">
        <f t="shared" ca="1" si="51"/>
        <v>1.306</v>
      </c>
      <c r="X47" s="111">
        <v>3</v>
      </c>
      <c r="Y47" s="110">
        <f t="shared" ca="1" si="45"/>
        <v>1.306</v>
      </c>
      <c r="Z47" s="111">
        <f t="shared" ca="1" si="46"/>
        <v>1.3049999999999999</v>
      </c>
      <c r="AA47" s="112">
        <f t="shared" ca="1" si="47"/>
        <v>1.306</v>
      </c>
      <c r="AB47" s="111">
        <v>3</v>
      </c>
      <c r="AC47" s="110">
        <f t="shared" ca="1" si="48"/>
        <v>1.306</v>
      </c>
      <c r="AD47" s="111">
        <f t="shared" ca="1" si="49"/>
        <v>1.306</v>
      </c>
      <c r="AE47" s="112">
        <f t="shared" ca="1" si="50"/>
        <v>1.3049999999999999</v>
      </c>
      <c r="AF47">
        <f t="shared" ca="1" si="42"/>
        <v>1.3056666666666668</v>
      </c>
      <c r="AG47">
        <f t="shared" ca="1" si="43"/>
        <v>7.8400000000007601E-6</v>
      </c>
    </row>
    <row r="48" spans="1:37" ht="15" customHeight="1" x14ac:dyDescent="0.3">
      <c r="A48" s="51"/>
      <c r="B48" s="188" t="s">
        <v>194</v>
      </c>
      <c r="C48" s="189"/>
      <c r="D48" s="189"/>
      <c r="E48" s="189"/>
      <c r="F48" s="189"/>
      <c r="G48" s="189"/>
      <c r="H48" s="182"/>
      <c r="I48" s="54"/>
      <c r="J48" s="51"/>
      <c r="K48" s="183" t="s">
        <v>202</v>
      </c>
      <c r="L48" s="184"/>
      <c r="M48" s="184"/>
      <c r="N48" s="184"/>
      <c r="O48" s="184"/>
      <c r="P48" s="184"/>
      <c r="Q48" s="185"/>
      <c r="R48" s="53"/>
      <c r="T48" s="110">
        <v>4</v>
      </c>
      <c r="U48" s="110">
        <f t="shared" ref="U48:W48" ca="1" si="52">U5</f>
        <v>1.3049999999999999</v>
      </c>
      <c r="V48" s="111">
        <f t="shared" ca="1" si="52"/>
        <v>1.3049999999999999</v>
      </c>
      <c r="W48" s="112">
        <f t="shared" ca="1" si="52"/>
        <v>1.3049999999999999</v>
      </c>
      <c r="X48" s="111">
        <v>4</v>
      </c>
      <c r="Y48" s="110">
        <f t="shared" ca="1" si="45"/>
        <v>1.3049999999999999</v>
      </c>
      <c r="Z48" s="111">
        <f t="shared" ca="1" si="46"/>
        <v>1.3049999999999999</v>
      </c>
      <c r="AA48" s="112">
        <f t="shared" ca="1" si="47"/>
        <v>1.3049999999999999</v>
      </c>
      <c r="AB48" s="111">
        <v>4</v>
      </c>
      <c r="AC48" s="110">
        <f t="shared" ca="1" si="48"/>
        <v>1.3049999999999999</v>
      </c>
      <c r="AD48" s="111">
        <f t="shared" ca="1" si="49"/>
        <v>1.3049999999999999</v>
      </c>
      <c r="AE48" s="112">
        <f t="shared" ca="1" si="50"/>
        <v>1.3049999999999999</v>
      </c>
      <c r="AF48">
        <f t="shared" ca="1" si="42"/>
        <v>1.3049999999999999</v>
      </c>
      <c r="AG48">
        <f t="shared" ca="1" si="43"/>
        <v>4.5511111111110559E-6</v>
      </c>
    </row>
    <row r="49" spans="1:33" ht="15" customHeight="1" x14ac:dyDescent="0.3">
      <c r="A49" s="51"/>
      <c r="B49" s="120"/>
      <c r="C49" s="121"/>
      <c r="D49" s="121"/>
      <c r="E49" s="121"/>
      <c r="F49" s="121"/>
      <c r="G49" s="121"/>
      <c r="H49" s="122"/>
      <c r="I49" s="54"/>
      <c r="J49" s="51"/>
      <c r="K49" s="173"/>
      <c r="L49" s="174"/>
      <c r="M49" s="174"/>
      <c r="N49" s="174"/>
      <c r="O49" s="174"/>
      <c r="P49" s="174"/>
      <c r="Q49" s="175"/>
      <c r="R49" s="53"/>
      <c r="T49" s="110">
        <v>5</v>
      </c>
      <c r="U49" s="110">
        <f t="shared" ref="U49:W49" ca="1" si="53">U6</f>
        <v>1.3</v>
      </c>
      <c r="V49" s="111">
        <f t="shared" ca="1" si="53"/>
        <v>1.3</v>
      </c>
      <c r="W49" s="112">
        <f t="shared" ca="1" si="53"/>
        <v>1.3009999999999999</v>
      </c>
      <c r="X49" s="111">
        <v>5</v>
      </c>
      <c r="Y49" s="110">
        <f t="shared" ca="1" si="45"/>
        <v>1.3</v>
      </c>
      <c r="Z49" s="111">
        <f t="shared" ca="1" si="46"/>
        <v>1.3</v>
      </c>
      <c r="AA49" s="112">
        <f t="shared" ca="1" si="47"/>
        <v>1.3009999999999999</v>
      </c>
      <c r="AB49" s="111">
        <v>5</v>
      </c>
      <c r="AC49" s="110">
        <f t="shared" ca="1" si="48"/>
        <v>1.3009999999999999</v>
      </c>
      <c r="AD49" s="111">
        <f t="shared" ca="1" si="49"/>
        <v>1.3009999999999999</v>
      </c>
      <c r="AE49" s="112">
        <f t="shared" ca="1" si="50"/>
        <v>1.3049999999999999</v>
      </c>
      <c r="AF49">
        <f t="shared" ca="1" si="42"/>
        <v>1.3009999999999999</v>
      </c>
      <c r="AG49">
        <f t="shared" ca="1" si="43"/>
        <v>3.4844444444445059E-6</v>
      </c>
    </row>
    <row r="50" spans="1:33" ht="15" customHeight="1" x14ac:dyDescent="0.3">
      <c r="A50" s="51"/>
      <c r="B50" s="238" t="s">
        <v>107</v>
      </c>
      <c r="C50" s="239"/>
      <c r="D50" s="59" t="s">
        <v>124</v>
      </c>
      <c r="E50" s="59" t="s">
        <v>125</v>
      </c>
      <c r="F50" s="59" t="s">
        <v>126</v>
      </c>
      <c r="G50" s="59" t="s">
        <v>127</v>
      </c>
      <c r="H50" s="73" t="s">
        <v>128</v>
      </c>
      <c r="I50" s="54"/>
      <c r="J50" s="51"/>
      <c r="K50" s="173"/>
      <c r="L50" s="174"/>
      <c r="M50" s="174"/>
      <c r="N50" s="174"/>
      <c r="O50" s="174"/>
      <c r="P50" s="174"/>
      <c r="Q50" s="175"/>
      <c r="R50" s="53"/>
      <c r="T50" s="110">
        <v>6</v>
      </c>
      <c r="U50" s="110">
        <f t="shared" ref="U50:W50" ca="1" si="54">U7</f>
        <v>1.3</v>
      </c>
      <c r="V50" s="111">
        <f t="shared" ca="1" si="54"/>
        <v>1.3</v>
      </c>
      <c r="W50" s="112">
        <f t="shared" ca="1" si="54"/>
        <v>1.3</v>
      </c>
      <c r="X50" s="111">
        <v>6</v>
      </c>
      <c r="Y50" s="110">
        <f t="shared" ca="1" si="45"/>
        <v>1.3</v>
      </c>
      <c r="Z50" s="111">
        <f t="shared" ca="1" si="46"/>
        <v>1.3</v>
      </c>
      <c r="AA50" s="112">
        <f t="shared" ca="1" si="47"/>
        <v>1.3</v>
      </c>
      <c r="AB50" s="111">
        <v>6</v>
      </c>
      <c r="AC50" s="110">
        <f t="shared" ca="1" si="48"/>
        <v>1.3</v>
      </c>
      <c r="AD50" s="111">
        <f t="shared" ca="1" si="49"/>
        <v>1.3</v>
      </c>
      <c r="AE50" s="112">
        <f t="shared" ca="1" si="50"/>
        <v>1.3049999999999999</v>
      </c>
      <c r="AF50">
        <f t="shared" ca="1" si="42"/>
        <v>1.3005555555555555</v>
      </c>
      <c r="AG50">
        <f t="shared" ca="1" si="43"/>
        <v>5.3412345679014264E-6</v>
      </c>
    </row>
    <row r="51" spans="1:33" ht="15" customHeight="1" x14ac:dyDescent="0.3">
      <c r="A51" s="51"/>
      <c r="B51" s="240" t="s">
        <v>129</v>
      </c>
      <c r="C51" s="241"/>
      <c r="D51" s="60">
        <f ca="1">COUNT(U2:U11)-1</f>
        <v>9</v>
      </c>
      <c r="E51" s="151">
        <f ca="1">COUNT(U2,U16,U30)*COUNT(U2:W2)*SUM(AG45:AG54)</f>
        <v>4.8106666666667899E-4</v>
      </c>
      <c r="F51" s="124">
        <f ca="1">E51/D51</f>
        <v>5.3451851851853224E-5</v>
      </c>
      <c r="G51" s="164">
        <f ca="1">F51/F53</f>
        <v>42.075801749303245</v>
      </c>
      <c r="H51" s="165">
        <f ca="1">_xlfn.F.DIST.RT(G51,D51,D54)</f>
        <v>1.1961715271807067E-22</v>
      </c>
      <c r="I51" s="53"/>
      <c r="J51" s="51"/>
      <c r="K51" s="173"/>
      <c r="L51" s="174"/>
      <c r="M51" s="174"/>
      <c r="N51" s="174"/>
      <c r="O51" s="174"/>
      <c r="P51" s="174"/>
      <c r="Q51" s="175"/>
      <c r="R51" s="53"/>
      <c r="T51" s="110">
        <v>7</v>
      </c>
      <c r="U51" s="110">
        <f t="shared" ref="U51:W51" ca="1" si="55">U8</f>
        <v>1.2969999999999999</v>
      </c>
      <c r="V51" s="111">
        <f t="shared" ca="1" si="55"/>
        <v>1.3</v>
      </c>
      <c r="W51" s="112">
        <f t="shared" ca="1" si="55"/>
        <v>1.3</v>
      </c>
      <c r="X51" s="111">
        <v>7</v>
      </c>
      <c r="Y51" s="110">
        <f t="shared" ca="1" si="45"/>
        <v>1.2969999999999999</v>
      </c>
      <c r="Z51" s="111">
        <f t="shared" ca="1" si="46"/>
        <v>1.3</v>
      </c>
      <c r="AA51" s="112">
        <f t="shared" ca="1" si="47"/>
        <v>1.3</v>
      </c>
      <c r="AB51" s="111">
        <v>7</v>
      </c>
      <c r="AC51" s="110">
        <f t="shared" ca="1" si="48"/>
        <v>1.3</v>
      </c>
      <c r="AD51" s="111">
        <f t="shared" ca="1" si="49"/>
        <v>1.3</v>
      </c>
      <c r="AE51" s="112">
        <f t="shared" ca="1" si="50"/>
        <v>1.3049999999999999</v>
      </c>
      <c r="AF51">
        <f t="shared" ca="1" si="42"/>
        <v>1.2998888888888889</v>
      </c>
      <c r="AG51">
        <f t="shared" ca="1" si="43"/>
        <v>8.8671604938269703E-6</v>
      </c>
    </row>
    <row r="52" spans="1:33" ht="15" customHeight="1" x14ac:dyDescent="0.3">
      <c r="A52" s="51"/>
      <c r="B52" s="240" t="s">
        <v>113</v>
      </c>
      <c r="C52" s="241"/>
      <c r="D52" s="60">
        <f ca="1">COUNT(U2,U16,U30)-1</f>
        <v>2</v>
      </c>
      <c r="E52" s="159">
        <f ca="1">COUNT(U2:U11)*COUNT(U2:W2)*SUM(U14,U28,U42)</f>
        <v>9.8000000000040583E-6</v>
      </c>
      <c r="F52" s="158">
        <f ca="1">E52/D52</f>
        <v>4.9000000000020292E-6</v>
      </c>
      <c r="G52" s="164">
        <f ca="1">F52/F53</f>
        <v>3.857142857147299</v>
      </c>
      <c r="H52" s="125">
        <f ca="1">_xlfn.F.DIST.RT(G52,D52,D54)</f>
        <v>2.6553908945816027E-2</v>
      </c>
      <c r="I52" s="53"/>
      <c r="J52" s="51"/>
      <c r="K52" s="173"/>
      <c r="L52" s="174"/>
      <c r="M52" s="174"/>
      <c r="N52" s="174"/>
      <c r="O52" s="174"/>
      <c r="P52" s="174"/>
      <c r="Q52" s="175"/>
      <c r="R52" s="53"/>
      <c r="T52" s="110">
        <v>8</v>
      </c>
      <c r="U52" s="110">
        <f t="shared" ref="U52:W52" ca="1" si="56">U9</f>
        <v>1.3</v>
      </c>
      <c r="V52" s="111">
        <f t="shared" ca="1" si="56"/>
        <v>1.306</v>
      </c>
      <c r="W52" s="112">
        <f t="shared" ca="1" si="56"/>
        <v>1.2989999999999999</v>
      </c>
      <c r="X52" s="111">
        <v>8</v>
      </c>
      <c r="Y52" s="110">
        <f t="shared" ca="1" si="45"/>
        <v>1.3</v>
      </c>
      <c r="Z52" s="111">
        <f t="shared" ca="1" si="46"/>
        <v>1.306</v>
      </c>
      <c r="AA52" s="112">
        <f t="shared" ca="1" si="47"/>
        <v>1.2989999999999999</v>
      </c>
      <c r="AB52" s="111">
        <v>8</v>
      </c>
      <c r="AC52" s="110">
        <f t="shared" ca="1" si="48"/>
        <v>1.2989999999999999</v>
      </c>
      <c r="AD52" s="111">
        <f t="shared" ca="1" si="49"/>
        <v>1.2989999999999999</v>
      </c>
      <c r="AE52" s="112">
        <f t="shared" ca="1" si="50"/>
        <v>1.3049999999999999</v>
      </c>
      <c r="AF52">
        <f t="shared" ca="1" si="42"/>
        <v>1.3014444444444444</v>
      </c>
      <c r="AG52">
        <f t="shared" ca="1" si="43"/>
        <v>2.0227160493826914E-6</v>
      </c>
    </row>
    <row r="53" spans="1:33" ht="15" customHeight="1" x14ac:dyDescent="0.3">
      <c r="A53" s="51"/>
      <c r="B53" s="240" t="s">
        <v>130</v>
      </c>
      <c r="C53" s="241"/>
      <c r="D53" s="60">
        <f ca="1">D51*D52</f>
        <v>18</v>
      </c>
      <c r="E53" s="123">
        <f ca="1">E55-SUM(E51:E52,E54)</f>
        <v>2.2866666666649803E-5</v>
      </c>
      <c r="F53" s="124">
        <f ca="1">E53/D53</f>
        <v>1.2703703703694335E-6</v>
      </c>
      <c r="G53" s="164">
        <f ca="1">F53/F54</f>
        <v>0.45191040843181435</v>
      </c>
      <c r="H53" s="125">
        <f ca="1">_xlfn.F.DIST.RT(G53,D53,D54)</f>
        <v>0.96811346160845291</v>
      </c>
      <c r="I53" s="53"/>
      <c r="J53" s="51"/>
      <c r="K53" s="173"/>
      <c r="L53" s="174"/>
      <c r="M53" s="174"/>
      <c r="N53" s="174"/>
      <c r="O53" s="174"/>
      <c r="P53" s="174"/>
      <c r="Q53" s="175"/>
      <c r="R53" s="53"/>
      <c r="T53" s="110">
        <v>9</v>
      </c>
      <c r="U53" s="110">
        <f t="shared" ref="U53:W53" ca="1" si="57">U10</f>
        <v>1.306</v>
      </c>
      <c r="V53" s="111">
        <f t="shared" ca="1" si="57"/>
        <v>1.306</v>
      </c>
      <c r="W53" s="112">
        <f t="shared" ca="1" si="57"/>
        <v>1.306</v>
      </c>
      <c r="X53" s="111">
        <v>9</v>
      </c>
      <c r="Y53" s="110">
        <f t="shared" ca="1" si="45"/>
        <v>1.306</v>
      </c>
      <c r="Z53" s="111">
        <f t="shared" ca="1" si="46"/>
        <v>1.306</v>
      </c>
      <c r="AA53" s="112">
        <f t="shared" ca="1" si="47"/>
        <v>1.306</v>
      </c>
      <c r="AB53" s="111">
        <v>9</v>
      </c>
      <c r="AC53" s="110">
        <f t="shared" ca="1" si="48"/>
        <v>1.306</v>
      </c>
      <c r="AD53" s="111">
        <f t="shared" ca="1" si="49"/>
        <v>1.306</v>
      </c>
      <c r="AE53" s="112">
        <f t="shared" ca="1" si="50"/>
        <v>1.3049999999999999</v>
      </c>
      <c r="AF53">
        <f t="shared" ca="1" si="42"/>
        <v>1.3058888888888889</v>
      </c>
      <c r="AG53">
        <f t="shared" ca="1" si="43"/>
        <v>9.1338271604940523E-6</v>
      </c>
    </row>
    <row r="54" spans="1:33" ht="15" customHeight="1" x14ac:dyDescent="0.3">
      <c r="A54" s="51"/>
      <c r="B54" s="240" t="s">
        <v>193</v>
      </c>
      <c r="C54" s="241"/>
      <c r="D54" s="60">
        <f ca="1">(D51+1)*(D52+1)*(COUNT(U2:W2)-1)</f>
        <v>60</v>
      </c>
      <c r="E54" s="151">
        <f ca="1">SUM(AB2:AD11,AB16:AD25,AB30:AD39)</f>
        <v>1.6866666666666663E-4</v>
      </c>
      <c r="F54" s="124">
        <f ca="1">E54/D54</f>
        <v>2.8111111111111106E-6</v>
      </c>
      <c r="G54" s="60"/>
      <c r="H54" s="74"/>
      <c r="I54" s="53"/>
      <c r="J54" s="51"/>
      <c r="K54" s="173"/>
      <c r="L54" s="174"/>
      <c r="M54" s="174"/>
      <c r="N54" s="174"/>
      <c r="O54" s="174"/>
      <c r="P54" s="174"/>
      <c r="Q54" s="175"/>
      <c r="R54" s="53"/>
      <c r="T54" s="113">
        <v>10</v>
      </c>
      <c r="U54" s="113">
        <f t="shared" ref="U54:W54" ca="1" si="58">U11</f>
        <v>1.3049999999999999</v>
      </c>
      <c r="V54" s="114">
        <f t="shared" ca="1" si="58"/>
        <v>1.306</v>
      </c>
      <c r="W54" s="115">
        <f t="shared" ca="1" si="58"/>
        <v>1.306</v>
      </c>
      <c r="X54" s="114">
        <v>10</v>
      </c>
      <c r="Y54" s="113">
        <f t="shared" ca="1" si="45"/>
        <v>1.3049999999999999</v>
      </c>
      <c r="Z54" s="114">
        <f t="shared" ca="1" si="46"/>
        <v>1.306</v>
      </c>
      <c r="AA54" s="115">
        <f t="shared" ca="1" si="47"/>
        <v>1.306</v>
      </c>
      <c r="AB54" s="114">
        <v>10</v>
      </c>
      <c r="AC54" s="113">
        <f t="shared" ca="1" si="48"/>
        <v>1.306</v>
      </c>
      <c r="AD54" s="114">
        <f t="shared" ca="1" si="49"/>
        <v>1.306</v>
      </c>
      <c r="AE54" s="115">
        <f t="shared" ca="1" si="50"/>
        <v>1.3049999999999999</v>
      </c>
      <c r="AF54">
        <f t="shared" ca="1" si="42"/>
        <v>1.3056666666666668</v>
      </c>
      <c r="AG54">
        <f t="shared" ca="1" si="43"/>
        <v>7.8400000000007601E-6</v>
      </c>
    </row>
    <row r="55" spans="1:33" ht="15" customHeight="1" x14ac:dyDescent="0.3">
      <c r="A55" s="51"/>
      <c r="B55" s="240" t="s">
        <v>131</v>
      </c>
      <c r="C55" s="241"/>
      <c r="D55" s="60">
        <f ca="1">((D51+1)*(D52+1)*(COUNT(U2:W2)))-1</f>
        <v>89</v>
      </c>
      <c r="E55" s="151">
        <f ca="1">SUM(X2:Z11,X16:Z25,X30:Z39)</f>
        <v>6.8239999999999957E-4</v>
      </c>
      <c r="F55" s="58"/>
      <c r="G55" s="58"/>
      <c r="H55" s="69"/>
      <c r="I55" s="53"/>
      <c r="J55" s="51"/>
      <c r="K55" s="173"/>
      <c r="L55" s="174"/>
      <c r="M55" s="174"/>
      <c r="N55" s="174"/>
      <c r="O55" s="174"/>
      <c r="P55" s="174"/>
      <c r="Q55" s="175"/>
      <c r="R55" s="53"/>
    </row>
    <row r="56" spans="1:33" ht="15" customHeight="1" x14ac:dyDescent="0.3">
      <c r="A56" s="51"/>
      <c r="B56" s="57"/>
      <c r="C56" s="58"/>
      <c r="D56" s="58"/>
      <c r="E56" s="58"/>
      <c r="F56" s="58"/>
      <c r="G56" s="58"/>
      <c r="H56" s="69"/>
      <c r="I56" s="53"/>
      <c r="J56" s="51"/>
      <c r="K56" s="173"/>
      <c r="L56" s="174"/>
      <c r="M56" s="174"/>
      <c r="N56" s="174"/>
      <c r="O56" s="174"/>
      <c r="P56" s="174"/>
      <c r="Q56" s="175"/>
      <c r="R56" s="53"/>
    </row>
    <row r="57" spans="1:33" ht="15" customHeight="1" x14ac:dyDescent="0.3">
      <c r="A57" s="55"/>
      <c r="B57" s="75" t="s">
        <v>132</v>
      </c>
      <c r="C57" s="63"/>
      <c r="D57" s="63"/>
      <c r="E57" s="63"/>
      <c r="F57" s="63"/>
      <c r="G57" s="63"/>
      <c r="H57" s="76"/>
      <c r="I57" s="55"/>
      <c r="J57" s="51"/>
      <c r="K57" s="176"/>
      <c r="L57" s="177"/>
      <c r="M57" s="177"/>
      <c r="N57" s="177"/>
      <c r="O57" s="177"/>
      <c r="P57" s="177"/>
      <c r="Q57" s="178"/>
      <c r="R57" s="55"/>
    </row>
    <row r="58" spans="1:33" ht="15" customHeight="1" x14ac:dyDescent="0.3">
      <c r="A58" s="55"/>
      <c r="B58" s="55"/>
      <c r="C58" s="55"/>
      <c r="D58" s="55"/>
      <c r="E58" s="55"/>
      <c r="F58" s="55"/>
      <c r="G58" s="55"/>
      <c r="H58" s="55"/>
      <c r="I58" s="55"/>
      <c r="J58" s="51"/>
      <c r="K58" s="176"/>
      <c r="L58" s="177"/>
      <c r="M58" s="177"/>
      <c r="N58" s="177"/>
      <c r="O58" s="177"/>
      <c r="P58" s="177"/>
      <c r="Q58" s="178"/>
      <c r="R58" s="55"/>
    </row>
    <row r="59" spans="1:33" ht="15" customHeight="1" x14ac:dyDescent="0.3">
      <c r="A59" s="55"/>
      <c r="B59" s="188" t="s">
        <v>195</v>
      </c>
      <c r="C59" s="189"/>
      <c r="D59" s="189"/>
      <c r="E59" s="189"/>
      <c r="F59" s="189"/>
      <c r="G59" s="189"/>
      <c r="H59" s="182"/>
      <c r="I59" s="55"/>
      <c r="J59" s="51"/>
      <c r="K59" s="176"/>
      <c r="L59" s="177"/>
      <c r="M59" s="177"/>
      <c r="N59" s="177"/>
      <c r="O59" s="177"/>
      <c r="P59" s="177"/>
      <c r="Q59" s="178"/>
      <c r="R59" s="55"/>
    </row>
    <row r="60" spans="1:33" ht="15" customHeight="1" x14ac:dyDescent="0.3">
      <c r="A60" s="55"/>
      <c r="B60" s="120"/>
      <c r="C60" s="121"/>
      <c r="D60" s="121"/>
      <c r="E60" s="121"/>
      <c r="F60" s="121"/>
      <c r="G60" s="121"/>
      <c r="H60" s="122"/>
      <c r="I60" s="55"/>
      <c r="J60" s="51"/>
      <c r="K60" s="176"/>
      <c r="L60" s="177"/>
      <c r="M60" s="177"/>
      <c r="N60" s="177"/>
      <c r="O60" s="177"/>
      <c r="P60" s="177"/>
      <c r="Q60" s="178"/>
      <c r="R60" s="55"/>
    </row>
    <row r="61" spans="1:33" ht="15" customHeight="1" x14ac:dyDescent="0.3">
      <c r="A61" s="55"/>
      <c r="B61" s="238" t="s">
        <v>107</v>
      </c>
      <c r="C61" s="239"/>
      <c r="D61" s="59" t="s">
        <v>124</v>
      </c>
      <c r="E61" s="59" t="s">
        <v>125</v>
      </c>
      <c r="F61" s="59" t="s">
        <v>126</v>
      </c>
      <c r="G61" s="59" t="s">
        <v>127</v>
      </c>
      <c r="H61" s="73" t="s">
        <v>128</v>
      </c>
      <c r="I61" s="55"/>
      <c r="J61" s="51"/>
      <c r="K61" s="176"/>
      <c r="L61" s="177"/>
      <c r="M61" s="177"/>
      <c r="N61" s="177"/>
      <c r="O61" s="177"/>
      <c r="P61" s="177"/>
      <c r="Q61" s="178"/>
      <c r="R61" s="55"/>
    </row>
    <row r="62" spans="1:33" ht="15" customHeight="1" x14ac:dyDescent="0.3">
      <c r="A62" s="55"/>
      <c r="B62" s="240" t="s">
        <v>129</v>
      </c>
      <c r="C62" s="241"/>
      <c r="D62" s="60">
        <f t="shared" ref="D62:F63" ca="1" si="59">D51</f>
        <v>9</v>
      </c>
      <c r="E62" s="151">
        <f t="shared" ca="1" si="59"/>
        <v>4.8106666666667899E-4</v>
      </c>
      <c r="F62" s="124">
        <f t="shared" ca="1" si="59"/>
        <v>5.3451851851853224E-5</v>
      </c>
      <c r="G62" s="164">
        <f ca="1">F62/F$64</f>
        <v>21.767722473607304</v>
      </c>
      <c r="H62" s="125">
        <f ca="1">_xlfn.F.DIST.RT(G62,D62,D64)</f>
        <v>6.5877141431109478E-18</v>
      </c>
      <c r="I62" s="53"/>
      <c r="J62" s="51"/>
      <c r="K62" s="176"/>
      <c r="L62" s="177"/>
      <c r="M62" s="177"/>
      <c r="N62" s="177"/>
      <c r="O62" s="177"/>
      <c r="P62" s="177"/>
      <c r="Q62" s="178"/>
      <c r="R62" s="55"/>
    </row>
    <row r="63" spans="1:33" ht="15" customHeight="1" x14ac:dyDescent="0.3">
      <c r="A63" s="55"/>
      <c r="B63" s="240" t="s">
        <v>113</v>
      </c>
      <c r="C63" s="241"/>
      <c r="D63" s="60">
        <f t="shared" ca="1" si="59"/>
        <v>2</v>
      </c>
      <c r="E63" s="123">
        <f t="shared" ca="1" si="59"/>
        <v>9.8000000000040583E-6</v>
      </c>
      <c r="F63" s="158">
        <f t="shared" ca="1" si="59"/>
        <v>4.9000000000020292E-6</v>
      </c>
      <c r="G63" s="164">
        <f ca="1">F63/F$64</f>
        <v>1.9954751131231743</v>
      </c>
      <c r="H63" s="166">
        <f ca="1">_xlfn.F.DIST.RT(G63,D63,D64)</f>
        <v>0.14282973760885365</v>
      </c>
      <c r="I63" s="53"/>
      <c r="J63" s="51"/>
      <c r="K63" s="176"/>
      <c r="L63" s="177"/>
      <c r="M63" s="177"/>
      <c r="N63" s="177"/>
      <c r="O63" s="177"/>
      <c r="P63" s="177"/>
      <c r="Q63" s="178"/>
      <c r="R63" s="55"/>
    </row>
    <row r="64" spans="1:33" ht="15" customHeight="1" x14ac:dyDescent="0.3">
      <c r="A64" s="55"/>
      <c r="B64" s="240" t="s">
        <v>193</v>
      </c>
      <c r="C64" s="241"/>
      <c r="D64" s="60">
        <f ca="1">SUM(D53:D54)</f>
        <v>78</v>
      </c>
      <c r="E64" s="163">
        <f ca="1">SUM(E53:E54)</f>
        <v>1.9153333333331643E-4</v>
      </c>
      <c r="F64" s="124">
        <f ca="1">E64/D64</f>
        <v>2.455555555555339E-6</v>
      </c>
      <c r="G64" s="60"/>
      <c r="H64" s="74"/>
      <c r="I64" s="54"/>
      <c r="J64" s="51"/>
      <c r="K64" s="176"/>
      <c r="L64" s="177"/>
      <c r="M64" s="177"/>
      <c r="N64" s="177"/>
      <c r="O64" s="177"/>
      <c r="P64" s="177"/>
      <c r="Q64" s="178"/>
      <c r="R64" s="55"/>
    </row>
    <row r="65" spans="1:18" ht="15" customHeight="1" x14ac:dyDescent="0.3">
      <c r="A65" s="55"/>
      <c r="B65" s="240" t="s">
        <v>131</v>
      </c>
      <c r="C65" s="241"/>
      <c r="D65" s="60">
        <f ca="1">D55</f>
        <v>89</v>
      </c>
      <c r="E65" s="151">
        <f ca="1">E55</f>
        <v>6.8239999999999957E-4</v>
      </c>
      <c r="F65" s="58"/>
      <c r="G65" s="58"/>
      <c r="H65" s="69"/>
      <c r="I65" s="54"/>
      <c r="J65" s="51"/>
      <c r="K65" s="176"/>
      <c r="L65" s="177"/>
      <c r="M65" s="177"/>
      <c r="N65" s="177"/>
      <c r="O65" s="177"/>
      <c r="P65" s="177"/>
      <c r="Q65" s="178"/>
      <c r="R65" s="55"/>
    </row>
    <row r="66" spans="1:18" ht="15" customHeight="1" x14ac:dyDescent="0.3">
      <c r="A66" s="55"/>
      <c r="B66" s="75"/>
      <c r="C66" s="63"/>
      <c r="D66" s="63"/>
      <c r="E66" s="63"/>
      <c r="F66" s="63"/>
      <c r="G66" s="63"/>
      <c r="H66" s="76"/>
      <c r="I66" s="54"/>
      <c r="J66" s="51"/>
      <c r="K66" s="179"/>
      <c r="L66" s="180"/>
      <c r="M66" s="180"/>
      <c r="N66" s="180"/>
      <c r="O66" s="180"/>
      <c r="P66" s="180"/>
      <c r="Q66" s="181"/>
      <c r="R66" s="55"/>
    </row>
    <row r="67" spans="1:18" ht="15" customHeight="1" x14ac:dyDescent="0.3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</row>
    <row r="68" spans="1:18" ht="15" hidden="1" customHeight="1" x14ac:dyDescent="0.3">
      <c r="B68" s="78"/>
      <c r="C68" s="78"/>
      <c r="D68" s="78"/>
      <c r="E68" s="78"/>
      <c r="F68" s="78"/>
      <c r="G68" s="78"/>
      <c r="H68" s="78"/>
      <c r="I68" s="78"/>
    </row>
    <row r="69" spans="1:18" ht="15" hidden="1" customHeight="1" x14ac:dyDescent="0.3">
      <c r="B69" s="78"/>
      <c r="C69" s="78"/>
      <c r="D69" s="78"/>
      <c r="E69" s="78"/>
      <c r="F69" s="78"/>
      <c r="G69" s="78"/>
      <c r="H69" s="78"/>
      <c r="I69" s="78"/>
    </row>
    <row r="70" spans="1:18" ht="15" hidden="1" customHeight="1" x14ac:dyDescent="0.3">
      <c r="B70" s="78"/>
      <c r="C70" s="78"/>
      <c r="D70" s="78"/>
      <c r="E70" s="78"/>
      <c r="F70" s="78"/>
      <c r="G70" s="78"/>
      <c r="H70" s="78"/>
      <c r="I70" s="78"/>
    </row>
    <row r="71" spans="1:18" ht="15" hidden="1" customHeight="1" x14ac:dyDescent="0.3">
      <c r="B71" s="78"/>
      <c r="C71" s="78"/>
      <c r="D71" s="78"/>
      <c r="E71" s="78"/>
      <c r="F71" s="78"/>
      <c r="G71" s="78"/>
      <c r="H71" s="78"/>
      <c r="I71" s="78"/>
    </row>
    <row r="72" spans="1:18" ht="15" hidden="1" customHeight="1" x14ac:dyDescent="0.3">
      <c r="B72" s="78"/>
      <c r="C72" s="78"/>
      <c r="D72" s="78"/>
      <c r="E72" s="78"/>
      <c r="F72" s="78"/>
      <c r="G72" s="78"/>
      <c r="H72" s="78"/>
      <c r="I72" s="78"/>
    </row>
    <row r="73" spans="1:18" ht="15" hidden="1" customHeight="1" x14ac:dyDescent="0.3">
      <c r="B73" s="78"/>
      <c r="C73" s="78"/>
      <c r="D73" s="78"/>
      <c r="E73" s="78"/>
      <c r="F73" s="78"/>
      <c r="G73" s="78"/>
      <c r="H73" s="78"/>
      <c r="I73" s="78"/>
    </row>
    <row r="74" spans="1:18" ht="15" hidden="1" customHeight="1" x14ac:dyDescent="0.3">
      <c r="B74" s="78"/>
      <c r="C74" s="78"/>
      <c r="D74" s="78"/>
      <c r="E74" s="78"/>
      <c r="F74" s="78"/>
      <c r="G74" s="78"/>
      <c r="H74" s="78"/>
      <c r="I74" s="78"/>
    </row>
    <row r="75" spans="1:18" ht="15" hidden="1" customHeight="1" x14ac:dyDescent="0.3">
      <c r="B75" s="78"/>
      <c r="C75" s="78"/>
      <c r="D75" s="78"/>
      <c r="E75" s="78"/>
      <c r="F75" s="78"/>
      <c r="G75" s="78"/>
      <c r="H75" s="78"/>
      <c r="I75" s="78"/>
    </row>
    <row r="76" spans="1:18" ht="15" hidden="1" customHeight="1" x14ac:dyDescent="0.3">
      <c r="B76" s="78"/>
      <c r="C76" s="78"/>
      <c r="D76" s="78"/>
      <c r="E76" s="78"/>
      <c r="F76" s="78"/>
      <c r="G76" s="78"/>
      <c r="H76" s="78"/>
      <c r="I76" s="78"/>
    </row>
    <row r="77" spans="1:18" ht="15" hidden="1" customHeight="1" x14ac:dyDescent="0.3">
      <c r="B77" s="78"/>
      <c r="C77" s="78"/>
      <c r="D77" s="78"/>
      <c r="E77" s="78"/>
      <c r="F77" s="78"/>
      <c r="G77" s="78"/>
      <c r="H77" s="78"/>
      <c r="I77" s="78"/>
    </row>
    <row r="78" spans="1:18" ht="15" hidden="1" customHeight="1" x14ac:dyDescent="0.3">
      <c r="B78" s="78"/>
      <c r="C78" s="78"/>
      <c r="D78" s="78"/>
      <c r="E78" s="78"/>
      <c r="F78" s="78"/>
      <c r="G78" s="78"/>
      <c r="H78" s="78"/>
      <c r="I78" s="78"/>
    </row>
    <row r="79" spans="1:18" ht="15" hidden="1" customHeight="1" x14ac:dyDescent="0.3">
      <c r="B79" s="78"/>
      <c r="C79" s="78"/>
      <c r="D79" s="78"/>
      <c r="E79" s="78"/>
      <c r="F79" s="78"/>
      <c r="G79" s="78"/>
      <c r="H79" s="78"/>
      <c r="I79" s="78"/>
    </row>
    <row r="80" spans="1:18" ht="15" hidden="1" customHeight="1" x14ac:dyDescent="0.3">
      <c r="B80" s="78"/>
      <c r="C80" s="78"/>
      <c r="D80" s="78"/>
      <c r="E80" s="78"/>
      <c r="F80" s="78"/>
      <c r="G80" s="78"/>
      <c r="H80" s="78"/>
      <c r="I80" s="78"/>
    </row>
    <row r="81" spans="2:9" ht="15" hidden="1" customHeight="1" x14ac:dyDescent="0.3">
      <c r="B81" s="78"/>
      <c r="C81" s="78"/>
      <c r="D81" s="78"/>
      <c r="E81" s="78"/>
      <c r="F81" s="78"/>
      <c r="G81" s="78"/>
      <c r="H81" s="78"/>
      <c r="I81" s="78"/>
    </row>
    <row r="82" spans="2:9" ht="15" hidden="1" customHeight="1" x14ac:dyDescent="0.3">
      <c r="B82" s="78"/>
      <c r="C82" s="78"/>
      <c r="D82" s="78"/>
      <c r="E82" s="78"/>
      <c r="F82" s="78"/>
      <c r="G82" s="78"/>
      <c r="H82" s="78"/>
      <c r="I82" s="78"/>
    </row>
    <row r="83" spans="2:9" ht="15" hidden="1" customHeight="1" x14ac:dyDescent="0.3">
      <c r="B83" s="78"/>
      <c r="C83" s="78"/>
      <c r="D83" s="78"/>
      <c r="E83" s="78"/>
      <c r="F83" s="78"/>
      <c r="G83" s="78"/>
      <c r="H83" s="78"/>
      <c r="I83" s="78"/>
    </row>
  </sheetData>
  <mergeCells count="82">
    <mergeCell ref="B65:C65"/>
    <mergeCell ref="B61:C61"/>
    <mergeCell ref="B62:C62"/>
    <mergeCell ref="B63:C63"/>
    <mergeCell ref="B44:C44"/>
    <mergeCell ref="B55:C55"/>
    <mergeCell ref="B46:D46"/>
    <mergeCell ref="B50:C50"/>
    <mergeCell ref="B51:C51"/>
    <mergeCell ref="B52:C52"/>
    <mergeCell ref="B53:C53"/>
    <mergeCell ref="B54:C54"/>
    <mergeCell ref="B64:C64"/>
    <mergeCell ref="K44:M44"/>
    <mergeCell ref="B37:C37"/>
    <mergeCell ref="K37:L37"/>
    <mergeCell ref="B38:C38"/>
    <mergeCell ref="K38:L38"/>
    <mergeCell ref="B39:C39"/>
    <mergeCell ref="K39:L39"/>
    <mergeCell ref="D36:D37"/>
    <mergeCell ref="F36:F37"/>
    <mergeCell ref="H36:H37"/>
    <mergeCell ref="M36:M37"/>
    <mergeCell ref="B40:C40"/>
    <mergeCell ref="K40:L40"/>
    <mergeCell ref="K41:L41"/>
    <mergeCell ref="K42:L42"/>
    <mergeCell ref="B43:C43"/>
    <mergeCell ref="O36:O37"/>
    <mergeCell ref="Q36:Q37"/>
    <mergeCell ref="B28:C28"/>
    <mergeCell ref="K28:L28"/>
    <mergeCell ref="K29:L29"/>
    <mergeCell ref="K30:L30"/>
    <mergeCell ref="B31:C31"/>
    <mergeCell ref="B32:C32"/>
    <mergeCell ref="B25:C25"/>
    <mergeCell ref="K25:L25"/>
    <mergeCell ref="B26:C26"/>
    <mergeCell ref="K26:L26"/>
    <mergeCell ref="B27:C27"/>
    <mergeCell ref="K27:L27"/>
    <mergeCell ref="D24:D25"/>
    <mergeCell ref="F24:F25"/>
    <mergeCell ref="H24:H25"/>
    <mergeCell ref="M24:M25"/>
    <mergeCell ref="O24:O25"/>
    <mergeCell ref="Q24:Q25"/>
    <mergeCell ref="K15:L15"/>
    <mergeCell ref="K16:L16"/>
    <mergeCell ref="B17:C17"/>
    <mergeCell ref="B18:C18"/>
    <mergeCell ref="K18:L18"/>
    <mergeCell ref="B20:C20"/>
    <mergeCell ref="B12:C12"/>
    <mergeCell ref="K12:L12"/>
    <mergeCell ref="B13:C13"/>
    <mergeCell ref="K13:L13"/>
    <mergeCell ref="B14:C14"/>
    <mergeCell ref="K14:L14"/>
    <mergeCell ref="K7:Q7"/>
    <mergeCell ref="H10:H11"/>
    <mergeCell ref="Q10:Q11"/>
    <mergeCell ref="B11:C11"/>
    <mergeCell ref="K11:L11"/>
    <mergeCell ref="B7:H7"/>
    <mergeCell ref="P2:Q2"/>
    <mergeCell ref="P3:Q3"/>
    <mergeCell ref="P4:Q4"/>
    <mergeCell ref="B2:C2"/>
    <mergeCell ref="D2:F2"/>
    <mergeCell ref="J2:L2"/>
    <mergeCell ref="N2:O2"/>
    <mergeCell ref="B3:C3"/>
    <mergeCell ref="D3:F3"/>
    <mergeCell ref="J3:L3"/>
    <mergeCell ref="N3:O3"/>
    <mergeCell ref="B4:C4"/>
    <mergeCell ref="D4:F4"/>
    <mergeCell ref="J4:L4"/>
    <mergeCell ref="N4:O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Sheet</vt:lpstr>
      <vt:lpstr>Graphical Summary</vt:lpstr>
      <vt:lpstr>Numerical 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Morris</dc:creator>
  <cp:lastModifiedBy>Nick Morris</cp:lastModifiedBy>
  <dcterms:created xsi:type="dcterms:W3CDTF">2014-09-30T16:11:09Z</dcterms:created>
  <dcterms:modified xsi:type="dcterms:W3CDTF">2014-10-09T20:54:13Z</dcterms:modified>
</cp:coreProperties>
</file>