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Fluconazole" sheetId="3" r:id="rId3"/>
  </sheets>
  <definedNames>
    <definedName name="_xlnm.Print_Area" localSheetId="2">Fluconazole!$A$1:$I$124</definedName>
    <definedName name="_xlnm.Print_Area" localSheetId="0">SST!$A$15:$E$36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B52" i="1"/>
  <c r="B32" i="1"/>
  <c r="E30" i="1"/>
  <c r="D30" i="1"/>
  <c r="C30" i="1"/>
  <c r="B30" i="1"/>
  <c r="B31" i="1" s="1"/>
  <c r="D28" i="2" l="1"/>
  <c r="D33" i="2"/>
  <c r="D39" i="2"/>
  <c r="D24" i="2"/>
  <c r="D29" i="2"/>
  <c r="D35" i="2"/>
  <c r="D40" i="2"/>
  <c r="D25" i="2"/>
  <c r="D31" i="2"/>
  <c r="D36" i="2"/>
  <c r="D41" i="2"/>
  <c r="C49" i="2"/>
  <c r="D27" i="2"/>
  <c r="D32" i="2"/>
  <c r="D37" i="2"/>
  <c r="D43" i="2"/>
  <c r="D49" i="2"/>
  <c r="D101" i="3"/>
  <c r="D102" i="3" s="1"/>
  <c r="I92" i="3"/>
  <c r="I39" i="3"/>
  <c r="F44" i="3"/>
  <c r="F45" i="3" s="1"/>
  <c r="F46" i="3" s="1"/>
  <c r="D45" i="3"/>
  <c r="D46" i="3" s="1"/>
  <c r="D49" i="3"/>
  <c r="F98" i="3"/>
  <c r="F99" i="3" s="1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39" i="3" l="1"/>
  <c r="G41" i="3"/>
  <c r="G38" i="3"/>
  <c r="G40" i="3"/>
  <c r="E41" i="3"/>
  <c r="E40" i="3"/>
  <c r="E39" i="3"/>
  <c r="E38" i="3"/>
  <c r="E94" i="3"/>
  <c r="E93" i="3"/>
  <c r="E91" i="3"/>
  <c r="E92" i="3"/>
  <c r="G94" i="3"/>
  <c r="G93" i="3"/>
  <c r="G92" i="3"/>
  <c r="G91" i="3"/>
  <c r="D52" i="3" l="1"/>
  <c r="G42" i="3"/>
  <c r="D50" i="3"/>
  <c r="G68" i="3" s="1"/>
  <c r="H68" i="3" s="1"/>
  <c r="G95" i="3"/>
  <c r="E42" i="3"/>
  <c r="E95" i="3"/>
  <c r="D105" i="3"/>
  <c r="D103" i="3"/>
  <c r="G60" i="3" l="1"/>
  <c r="H60" i="3" s="1"/>
  <c r="G63" i="3"/>
  <c r="H63" i="3" s="1"/>
  <c r="G66" i="3"/>
  <c r="H66" i="3" s="1"/>
  <c r="G65" i="3"/>
  <c r="H65" i="3" s="1"/>
  <c r="G69" i="3"/>
  <c r="H69" i="3" s="1"/>
  <c r="D51" i="3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<sst xmlns="http://schemas.openxmlformats.org/spreadsheetml/2006/main" count="233" uniqueCount="129">
  <si>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</si>
  <si>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</si>
  <si>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</si>
  <si>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</si>
  <si>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</si>
  <si>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DICONAZOL-200 TABLETS</t>
  </si>
  <si>
    <t>% age Purity:</t>
  </si>
  <si>
    <t>NDQB201604853</t>
  </si>
  <si>
    <t>Weight (mg):</t>
  </si>
  <si>
    <t>Fluconazole</t>
  </si>
  <si>
    <t>Standard Conc (mg/mL):</t>
  </si>
  <si>
    <t>Each film coated tablets contains: Fluconazole 200 mg.</t>
  </si>
  <si>
    <t>2016-04-08 14:04:05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</si>
  <si>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</si>
  <si>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</si>
  <si>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</si>
  <si>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</si>
  <si>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</si>
  <si>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</si>
  <si>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</si>
  <si>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</si>
  <si>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</si>
  <si>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</si>
  <si>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</si>
  <si>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</si>
  <si>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</si>
  <si>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</si>
  <si>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</si>
  <si>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</si>
  <si>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</si>
  <si>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</si>
  <si>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</si>
  <si>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</si>
  <si>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</si>
  <si>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</si>
  <si>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</si>
  <si>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</si>
  <si>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</si>
  <si>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</si>
  <si>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</si>
  <si>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</si>
  <si>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</si>
  <si>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</si>
  <si>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</si>
  <si>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</si>
  <si>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</si>
  <si>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</si>
  <si>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</si>
  <si>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</si>
  <si>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</si>
  <si>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</si>
  <si>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</si>
  <si>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</si>
  <si>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</si>
  <si>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</si>
  <si>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</si>
  <si>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</si>
  <si>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</si>
  <si>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</si>
  <si>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</si>
  <si>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</si>
  <si>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</si>
  <si>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</si>
  <si>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</si>
  <si>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</si>
  <si>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</si>
  <si>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</si>
  <si>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</si>
  <si>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</si>
  <si>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</si>
  <si>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</si>
  <si>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</si>
  <si>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</si>
  <si>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</si>
  <si>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</si>
  <si>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</si>
  <si>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</si>
  <si>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</si>
  <si>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</si>
  <si>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</si>
  <si>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</si>
  <si>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</si>
  <si>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</si>
  <si>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</si>
  <si>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</si>
  <si>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</si>
  <si>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</si>
  <si>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</si>
  <si>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</si>
  <si>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</si>
  <si>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</si>
  <si>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</si>
  <si>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</si>
  <si>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</si>
  <si>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</si>
  <si>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</si>
  <si>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</si>
  <si>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</si>
  <si>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</si>
  <si>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</si>
  <si>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</si>
  <si>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</si>
  <si>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</si>
  <si>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</si>
  <si>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</si>
  <si>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</si>
  <si>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</si>
  <si>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</si>
  <si>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</si>
  <si>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</si>
  <si>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</si>
  <si>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</si>
  <si>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</si>
  <si>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</si>
  <si>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</si>
  <si>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</si>
  <si>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</si>
  <si>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</si>
  <si>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</si>
  <si>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</si>
  <si>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</si>
  <si>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</si>
  <si>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</si>
  <si>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 USP</t>
  </si>
  <si>
    <t>F1-1</t>
  </si>
  <si>
    <r>
      <t>The Assymetry of all peaks were below</t>
    </r>
    <r>
      <rPr>
        <b/>
        <sz val="12"/>
        <color rgb="FF000000"/>
        <rFont val="Book Antiqua"/>
      </rPr>
      <t xml:space="preserve"> 3.0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</si>
  <si>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1100</t>
    </r>
  </si>
  <si>
    <t>NDQB201604858</t>
  </si>
  <si>
    <t xml:space="preserve">                                                                    Each film coated tablets contains: Fluconazole 200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</si>
</sst>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45" sqref="B45: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128</v>
      </c>
      <c r="C21" s="10"/>
      <c r="D21" s="10"/>
      <c r="E21" s="10"/>
    </row>
    <row r="22" spans="1:6" ht="15.75" customHeight="1" x14ac:dyDescent="0.25">
      <c r="A22" s="10"/>
      <c r="B22" s="281">
        <v>42475.641481481478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8636646</v>
      </c>
      <c r="C24" s="18">
        <v>5455.8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8640690</v>
      </c>
      <c r="C25" s="18">
        <v>5418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8646215</v>
      </c>
      <c r="C26" s="18">
        <v>5443.3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8650399</v>
      </c>
      <c r="C27" s="18">
        <v>5453.1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8630831</v>
      </c>
      <c r="C28" s="18">
        <v>5427.6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8636332</v>
      </c>
      <c r="C29" s="21">
        <v>5419.1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f>AVERAGE(B24:B29)</f>
        <v>8640185.5</v>
      </c>
      <c r="C30" s="25">
        <f>AVERAGE(C24:C29)</f>
        <v>5436.1499999999987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19</v>
      </c>
      <c r="B31" s="28">
        <f>(STDEV(B24:B29)/B30)</f>
        <v>8.2784681388761402E-4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126</v>
      </c>
      <c r="C35" s="38"/>
      <c r="D35" s="38"/>
      <c r="E35" s="39"/>
      <c r="F35" s="2"/>
    </row>
    <row r="36" spans="1:6" ht="16.5" customHeight="1" x14ac:dyDescent="0.3">
      <c r="A36" s="11"/>
      <c r="B36" s="40" t="s">
        <v>125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/>
      <c r="C51" s="25"/>
      <c r="D51" s="26"/>
      <c r="E51" s="26"/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126</v>
      </c>
      <c r="C56" s="38"/>
      <c r="D56" s="38"/>
      <c r="E56" s="39"/>
      <c r="F56" s="2"/>
    </row>
    <row r="57" spans="1:7" ht="16.5" customHeight="1" x14ac:dyDescent="0.3">
      <c r="A57" s="11"/>
      <c r="B57" s="40" t="s">
        <v>125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24</v>
      </c>
      <c r="C59" s="28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0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29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30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31</v>
      </c>
      <c r="B14" s="291"/>
      <c r="C14" s="60" t="s">
        <v>5</v>
      </c>
    </row>
    <row r="15" spans="1:7" ht="16.5" customHeight="1" x14ac:dyDescent="0.3">
      <c r="A15" s="291" t="s">
        <v>32</v>
      </c>
      <c r="B15" s="291"/>
      <c r="C15" s="60" t="s">
        <v>7</v>
      </c>
    </row>
    <row r="16" spans="1:7" ht="16.5" customHeight="1" x14ac:dyDescent="0.3">
      <c r="A16" s="291" t="s">
        <v>33</v>
      </c>
      <c r="B16" s="291"/>
      <c r="C16" s="60" t="s">
        <v>9</v>
      </c>
    </row>
    <row r="17" spans="1:5" ht="16.5" customHeight="1" x14ac:dyDescent="0.3">
      <c r="A17" s="291" t="s">
        <v>34</v>
      </c>
      <c r="B17" s="291"/>
      <c r="C17" s="60" t="s">
        <v>11</v>
      </c>
    </row>
    <row r="18" spans="1:5" ht="16.5" customHeight="1" x14ac:dyDescent="0.3">
      <c r="A18" s="291" t="s">
        <v>35</v>
      </c>
      <c r="B18" s="291"/>
      <c r="C18" s="97" t="s">
        <v>12</v>
      </c>
    </row>
    <row r="19" spans="1:5" ht="16.5" customHeight="1" x14ac:dyDescent="0.3">
      <c r="A19" s="291" t="s">
        <v>36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37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325.70999999999998</v>
      </c>
      <c r="D24" s="87">
        <f t="shared" ref="D24:D43" si="0">(C24-$C$46)/$C$46</f>
        <v>6.6634935744881805E-3</v>
      </c>
      <c r="E24" s="53"/>
    </row>
    <row r="25" spans="1:5" ht="15.75" customHeight="1" x14ac:dyDescent="0.3">
      <c r="C25" s="95">
        <v>324.58</v>
      </c>
      <c r="D25" s="88">
        <f t="shared" si="0"/>
        <v>3.1710317288611901E-3</v>
      </c>
      <c r="E25" s="53"/>
    </row>
    <row r="26" spans="1:5" ht="15.75" customHeight="1" x14ac:dyDescent="0.3">
      <c r="C26" s="95">
        <v>323.5</v>
      </c>
      <c r="D26" s="88">
        <f t="shared" si="0"/>
        <v>-1.6689640678226961E-4</v>
      </c>
      <c r="E26" s="53"/>
    </row>
    <row r="27" spans="1:5" ht="15.75" customHeight="1" x14ac:dyDescent="0.3">
      <c r="C27" s="95">
        <v>321.43</v>
      </c>
      <c r="D27" s="88">
        <f t="shared" si="0"/>
        <v>-6.564592000098974E-3</v>
      </c>
      <c r="E27" s="53"/>
    </row>
    <row r="28" spans="1:5" ht="15.75" customHeight="1" x14ac:dyDescent="0.3">
      <c r="C28" s="95">
        <v>322.39999999999998</v>
      </c>
      <c r="D28" s="88">
        <f t="shared" si="0"/>
        <v>-3.566638026419247E-3</v>
      </c>
      <c r="E28" s="53"/>
    </row>
    <row r="29" spans="1:5" ht="15.75" customHeight="1" x14ac:dyDescent="0.3">
      <c r="C29" s="95">
        <v>322.94</v>
      </c>
      <c r="D29" s="88">
        <f t="shared" si="0"/>
        <v>-1.8976739585974294E-3</v>
      </c>
      <c r="E29" s="53"/>
    </row>
    <row r="30" spans="1:5" ht="15.75" customHeight="1" x14ac:dyDescent="0.3">
      <c r="C30" s="95">
        <v>327.05</v>
      </c>
      <c r="D30" s="88">
        <f t="shared" si="0"/>
        <v>1.0804997002045966E-2</v>
      </c>
      <c r="E30" s="53"/>
    </row>
    <row r="31" spans="1:5" ht="15.75" customHeight="1" x14ac:dyDescent="0.3">
      <c r="C31" s="95">
        <v>320.18</v>
      </c>
      <c r="D31" s="88">
        <f t="shared" si="0"/>
        <v>-1.0427934749686368E-2</v>
      </c>
      <c r="E31" s="53"/>
    </row>
    <row r="32" spans="1:5" ht="15.75" customHeight="1" x14ac:dyDescent="0.3">
      <c r="C32" s="95">
        <v>320.14</v>
      </c>
      <c r="D32" s="88">
        <f t="shared" si="0"/>
        <v>-1.0551561717673229E-2</v>
      </c>
      <c r="E32" s="53"/>
    </row>
    <row r="33" spans="1:7" ht="15.75" customHeight="1" x14ac:dyDescent="0.3">
      <c r="C33" s="95">
        <v>317.76</v>
      </c>
      <c r="D33" s="88">
        <f t="shared" si="0"/>
        <v>-1.7907366312887613E-2</v>
      </c>
      <c r="E33" s="53"/>
    </row>
    <row r="34" spans="1:7" ht="15.75" customHeight="1" x14ac:dyDescent="0.3">
      <c r="C34" s="95">
        <v>326.26</v>
      </c>
      <c r="D34" s="88">
        <f t="shared" si="0"/>
        <v>8.3633643843066697E-3</v>
      </c>
      <c r="E34" s="53"/>
    </row>
    <row r="35" spans="1:7" ht="15.75" customHeight="1" x14ac:dyDescent="0.3">
      <c r="C35" s="95">
        <v>321.56</v>
      </c>
      <c r="D35" s="88">
        <f t="shared" si="0"/>
        <v>-6.162804354141899E-3</v>
      </c>
      <c r="E35" s="53"/>
    </row>
    <row r="36" spans="1:7" ht="15.75" customHeight="1" x14ac:dyDescent="0.3">
      <c r="C36" s="95">
        <v>324.10000000000002</v>
      </c>
      <c r="D36" s="88">
        <f t="shared" si="0"/>
        <v>1.6875081130197501E-3</v>
      </c>
      <c r="E36" s="53"/>
    </row>
    <row r="37" spans="1:7" ht="15.75" customHeight="1" x14ac:dyDescent="0.3">
      <c r="C37" s="95">
        <v>324.92</v>
      </c>
      <c r="D37" s="88">
        <f t="shared" si="0"/>
        <v>4.2218609567490602E-3</v>
      </c>
      <c r="E37" s="53"/>
    </row>
    <row r="38" spans="1:7" ht="15.75" customHeight="1" x14ac:dyDescent="0.3">
      <c r="C38" s="95">
        <v>330.02</v>
      </c>
      <c r="D38" s="88">
        <f t="shared" si="0"/>
        <v>1.9984299375065524E-2</v>
      </c>
      <c r="E38" s="53"/>
    </row>
    <row r="39" spans="1:7" ht="15.75" customHeight="1" x14ac:dyDescent="0.3">
      <c r="C39" s="95">
        <v>325.14</v>
      </c>
      <c r="D39" s="88">
        <f t="shared" si="0"/>
        <v>4.9018092806763502E-3</v>
      </c>
      <c r="E39" s="53"/>
    </row>
    <row r="40" spans="1:7" ht="15.75" customHeight="1" x14ac:dyDescent="0.3">
      <c r="C40" s="95">
        <v>327.06</v>
      </c>
      <c r="D40" s="88">
        <f t="shared" si="0"/>
        <v>1.0835903744042637E-2</v>
      </c>
      <c r="E40" s="53"/>
    </row>
    <row r="41" spans="1:7" ht="15.75" customHeight="1" x14ac:dyDescent="0.3">
      <c r="C41" s="95">
        <v>324.97000000000003</v>
      </c>
      <c r="D41" s="88">
        <f t="shared" si="0"/>
        <v>4.3763946667325906E-3</v>
      </c>
      <c r="E41" s="53"/>
    </row>
    <row r="42" spans="1:7" ht="15.75" customHeight="1" x14ac:dyDescent="0.3">
      <c r="C42" s="95">
        <v>319.43</v>
      </c>
      <c r="D42" s="88">
        <f t="shared" si="0"/>
        <v>-1.2745940399438806E-2</v>
      </c>
      <c r="E42" s="53"/>
    </row>
    <row r="43" spans="1:7" ht="16.5" customHeight="1" x14ac:dyDescent="0.3">
      <c r="C43" s="96">
        <v>321.93</v>
      </c>
      <c r="D43" s="89">
        <f t="shared" si="0"/>
        <v>-5.019254900264016E-3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6471.0800000000008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323.55400000000003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4">
        <f>C46</f>
        <v>323.55400000000003</v>
      </c>
      <c r="C49" s="93">
        <f>-IF(C46&lt;=80,10%,IF(C46&lt;250,7.5%,5%))</f>
        <v>-0.05</v>
      </c>
      <c r="D49" s="81">
        <f>IF(C46&lt;=80,C46*0.9,IF(C46&lt;250,C46*0.925,C46*0.95))</f>
        <v>307.37630000000001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339.73170000000005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55" zoomScaleNormal="40" zoomScalePageLayoutView="55" workbookViewId="0">
      <selection activeCell="C68" sqref="C68:C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43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44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29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45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31</v>
      </c>
      <c r="B18" s="292" t="s">
        <v>5</v>
      </c>
      <c r="C18" s="292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35</v>
      </c>
      <c r="B22" s="105">
        <v>42475.404988425929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42475.870891203704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123</v>
      </c>
      <c r="C26" s="292"/>
    </row>
    <row r="27" spans="1:14" ht="26.25" customHeight="1" x14ac:dyDescent="0.4">
      <c r="A27" s="109" t="s">
        <v>46</v>
      </c>
      <c r="B27" s="298" t="s">
        <v>124</v>
      </c>
      <c r="C27" s="298"/>
    </row>
    <row r="28" spans="1:14" ht="27" customHeight="1" x14ac:dyDescent="0.4">
      <c r="A28" s="109" t="s">
        <v>6</v>
      </c>
      <c r="B28" s="110">
        <v>98.98</v>
      </c>
    </row>
    <row r="29" spans="1:14" s="14" customFormat="1" ht="27" customHeight="1" x14ac:dyDescent="0.4">
      <c r="A29" s="109" t="s">
        <v>47</v>
      </c>
      <c r="B29" s="111">
        <v>0</v>
      </c>
      <c r="C29" s="299" t="s">
        <v>48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2" t="s">
        <v>51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2" t="s">
        <v>53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5" t="s">
        <v>57</v>
      </c>
      <c r="E36" s="306"/>
      <c r="F36" s="305" t="s">
        <v>58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8635633</v>
      </c>
      <c r="E38" s="133">
        <f>IF(ISBLANK(D38),"-",$D$48/$D$45*D38)</f>
        <v>7703862.3986739814</v>
      </c>
      <c r="F38" s="132">
        <v>7776073</v>
      </c>
      <c r="G38" s="134">
        <f>IF(ISBLANK(F38),"-",$D$48/$F$45*F38)</f>
        <v>7778422.0834692074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8644166</v>
      </c>
      <c r="E39" s="138">
        <f>IF(ISBLANK(D39),"-",$D$48/$D$45*D39)</f>
        <v>7711474.7020045985</v>
      </c>
      <c r="F39" s="137">
        <v>7782368</v>
      </c>
      <c r="G39" s="139">
        <f>IF(ISBLANK(F39),"-",$D$48/$F$45*F39)</f>
        <v>7784718.9851335101</v>
      </c>
      <c r="I39" s="309">
        <f>ABS((F43/D43*D42)-F42)/D42</f>
        <v>8.2064294610682993E-3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8641692</v>
      </c>
      <c r="E40" s="138">
        <f>IF(ISBLANK(D40),"-",$D$48/$D$45*D40)</f>
        <v>7709267.642536656</v>
      </c>
      <c r="F40" s="137">
        <v>7771903</v>
      </c>
      <c r="G40" s="139">
        <f>IF(ISBLANK(F40),"-",$D$48/$F$45*F40)</f>
        <v>7774250.823748772</v>
      </c>
      <c r="I40" s="309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8640497</v>
      </c>
      <c r="E42" s="148">
        <f>AVERAGE(E38:E41)</f>
        <v>7708201.5810717456</v>
      </c>
      <c r="F42" s="147">
        <f>AVERAGE(F38:F41)</f>
        <v>7776781.333333333</v>
      </c>
      <c r="G42" s="149">
        <f>AVERAGE(G38:G41)</f>
        <v>7779130.6307838298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22.65</v>
      </c>
      <c r="E43" s="140"/>
      <c r="F43" s="152">
        <v>20.2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22.65</v>
      </c>
      <c r="E44" s="155"/>
      <c r="F44" s="154">
        <f>F43*$B$34</f>
        <v>20.2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22.418969999999998</v>
      </c>
      <c r="E45" s="158"/>
      <c r="F45" s="157">
        <f>F44*$B$30/100</f>
        <v>19.993960000000001</v>
      </c>
      <c r="H45" s="150"/>
    </row>
    <row r="46" spans="1:14" ht="19.5" customHeight="1" x14ac:dyDescent="0.3">
      <c r="A46" s="310" t="s">
        <v>76</v>
      </c>
      <c r="B46" s="311"/>
      <c r="C46" s="153" t="s">
        <v>77</v>
      </c>
      <c r="D46" s="159">
        <f>D45/$B$45</f>
        <v>0.22418969999999999</v>
      </c>
      <c r="E46" s="160"/>
      <c r="F46" s="161">
        <f>F45/$B$45</f>
        <v>0.19993960000000002</v>
      </c>
      <c r="H46" s="150"/>
    </row>
    <row r="47" spans="1:14" ht="27" customHeight="1" x14ac:dyDescent="0.4">
      <c r="A47" s="312"/>
      <c r="B47" s="313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7743666.1059277887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5.0455107355690375E-3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 coated tablets contains: Fluconazole 200 mg.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Fluconazole</v>
      </c>
      <c r="H56" s="179"/>
    </row>
    <row r="57" spans="1:12" ht="18.75" x14ac:dyDescent="0.3">
      <c r="A57" s="176" t="s">
        <v>86</v>
      </c>
      <c r="B57" s="268">
        <f>Uniformity!C46</f>
        <v>323.55400000000003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314" t="s">
        <v>92</v>
      </c>
      <c r="D60" s="317">
        <v>322.73</v>
      </c>
      <c r="E60" s="182">
        <v>1</v>
      </c>
      <c r="F60" s="183">
        <v>7817587</v>
      </c>
      <c r="G60" s="269">
        <f>IF(ISBLANK(F60),"-",(F60/$D$50*$D$47*$B$68)*($B$57/$D$60))</f>
        <v>202.42471448379916</v>
      </c>
      <c r="H60" s="184">
        <f t="shared" ref="H60:H71" si="0">IF(ISBLANK(F60),"-",G60/$B$56)</f>
        <v>1.0121235724189959</v>
      </c>
      <c r="L60" s="112"/>
    </row>
    <row r="61" spans="1:12" s="14" customFormat="1" ht="26.25" customHeight="1" x14ac:dyDescent="0.4">
      <c r="A61" s="124" t="s">
        <v>93</v>
      </c>
      <c r="B61" s="125">
        <v>20</v>
      </c>
      <c r="C61" s="315"/>
      <c r="D61" s="318"/>
      <c r="E61" s="185">
        <v>2</v>
      </c>
      <c r="F61" s="137">
        <v>7840909</v>
      </c>
      <c r="G61" s="270">
        <f>IF(ISBLANK(F61),"-",(F61/$D$50*$D$47*$B$68)*($B$57/$D$60))</f>
        <v>203.02860276687053</v>
      </c>
      <c r="H61" s="186">
        <f t="shared" si="0"/>
        <v>1.0151430138343527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5"/>
      <c r="D62" s="318"/>
      <c r="E62" s="185">
        <v>3</v>
      </c>
      <c r="F62" s="187">
        <v>7827134</v>
      </c>
      <c r="G62" s="270">
        <f>IF(ISBLANK(F62),"-",(F62/$D$50*$D$47*$B$68)*($B$57/$D$60))</f>
        <v>202.67191975943945</v>
      </c>
      <c r="H62" s="186">
        <f t="shared" si="0"/>
        <v>1.0133595987971973</v>
      </c>
      <c r="L62" s="112"/>
    </row>
    <row r="63" spans="1:12" ht="27" customHeight="1" x14ac:dyDescent="0.4">
      <c r="A63" s="124" t="s">
        <v>95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4" t="s">
        <v>97</v>
      </c>
      <c r="D64" s="317">
        <v>321.91000000000003</v>
      </c>
      <c r="E64" s="182">
        <v>1</v>
      </c>
      <c r="F64" s="183">
        <v>7816062</v>
      </c>
      <c r="G64" s="271">
        <f>IF(ISBLANK(F64),"-",(F64/$D$50*$D$47*$B$68)*($B$57/$D$64))</f>
        <v>202.90076193543939</v>
      </c>
      <c r="H64" s="190">
        <f t="shared" si="0"/>
        <v>1.014503809677197</v>
      </c>
    </row>
    <row r="65" spans="1:8" ht="26.25" customHeight="1" x14ac:dyDescent="0.4">
      <c r="A65" s="124" t="s">
        <v>98</v>
      </c>
      <c r="B65" s="125">
        <v>1</v>
      </c>
      <c r="C65" s="315"/>
      <c r="D65" s="318"/>
      <c r="E65" s="185">
        <v>2</v>
      </c>
      <c r="F65" s="137">
        <v>7811290</v>
      </c>
      <c r="G65" s="272">
        <f>IF(ISBLANK(F65),"-",(F65/$D$50*$D$47*$B$68)*($B$57/$D$64))</f>
        <v>202.7768833843281</v>
      </c>
      <c r="H65" s="191">
        <f t="shared" si="0"/>
        <v>1.0138844169216406</v>
      </c>
    </row>
    <row r="66" spans="1:8" ht="26.25" customHeight="1" x14ac:dyDescent="0.4">
      <c r="A66" s="124" t="s">
        <v>99</v>
      </c>
      <c r="B66" s="125">
        <v>1</v>
      </c>
      <c r="C66" s="315"/>
      <c r="D66" s="318"/>
      <c r="E66" s="185">
        <v>3</v>
      </c>
      <c r="F66" s="137">
        <v>7815505</v>
      </c>
      <c r="G66" s="272">
        <f>IF(ISBLANK(F66),"-",(F66/$D$50*$D$47*$B$68)*($B$57/$D$64))</f>
        <v>202.88630251528664</v>
      </c>
      <c r="H66" s="191">
        <f t="shared" si="0"/>
        <v>1.0144315125764332</v>
      </c>
    </row>
    <row r="67" spans="1:8" ht="27" customHeight="1" x14ac:dyDescent="0.4">
      <c r="A67" s="124" t="s">
        <v>100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</v>
      </c>
      <c r="C68" s="314" t="s">
        <v>102</v>
      </c>
      <c r="D68" s="317">
        <v>324.13</v>
      </c>
      <c r="E68" s="182">
        <v>1</v>
      </c>
      <c r="F68" s="183">
        <v>7888862</v>
      </c>
      <c r="G68" s="271">
        <f>IF(ISBLANK(F68),"-",(F68/$D$50*$D$47*$B$68)*($B$57/$D$68))</f>
        <v>203.38797860437518</v>
      </c>
      <c r="H68" s="186">
        <f t="shared" si="0"/>
        <v>1.0169398930218758</v>
      </c>
    </row>
    <row r="69" spans="1:8" ht="27" customHeight="1" x14ac:dyDescent="0.4">
      <c r="A69" s="172" t="s">
        <v>103</v>
      </c>
      <c r="B69" s="194">
        <f>(D47*B68)/B56*B57</f>
        <v>323.55400000000003</v>
      </c>
      <c r="C69" s="315"/>
      <c r="D69" s="318"/>
      <c r="E69" s="185">
        <v>2</v>
      </c>
      <c r="F69" s="137">
        <v>7899920</v>
      </c>
      <c r="G69" s="272">
        <f>IF(ISBLANK(F69),"-",(F69/$D$50*$D$47*$B$68)*($B$57/$D$68))</f>
        <v>203.67307222971777</v>
      </c>
      <c r="H69" s="186">
        <f t="shared" si="0"/>
        <v>1.0183653611485888</v>
      </c>
    </row>
    <row r="70" spans="1:8" ht="26.25" customHeight="1" x14ac:dyDescent="0.4">
      <c r="A70" s="327" t="s">
        <v>76</v>
      </c>
      <c r="B70" s="328"/>
      <c r="C70" s="315"/>
      <c r="D70" s="318"/>
      <c r="E70" s="185">
        <v>3</v>
      </c>
      <c r="F70" s="137">
        <v>7877397</v>
      </c>
      <c r="G70" s="272">
        <f>IF(ISBLANK(F70),"-",(F70/$D$50*$D$47*$B$68)*($B$57/$D$68))</f>
        <v>203.09239184234295</v>
      </c>
      <c r="H70" s="186">
        <f t="shared" si="0"/>
        <v>1.0154619592117147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202.98251416906658</v>
      </c>
      <c r="H72" s="199">
        <f>AVERAGE(H60:H71)</f>
        <v>1.0149125708453328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1.8444113913458798E-3</v>
      </c>
      <c r="H73" s="274">
        <f>STDEV(H60:H71)/H72</f>
        <v>1.8444113913458305E-3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22" t="str">
        <f>B20</f>
        <v>Fluconazole</v>
      </c>
      <c r="D76" s="322"/>
      <c r="E76" s="205" t="s">
        <v>106</v>
      </c>
      <c r="F76" s="205"/>
      <c r="G76" s="206">
        <f>H72</f>
        <v>1.0149125708453328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Fluconazole USP</v>
      </c>
      <c r="C79" s="308"/>
    </row>
    <row r="80" spans="1:8" ht="26.25" customHeight="1" x14ac:dyDescent="0.4">
      <c r="A80" s="109" t="s">
        <v>46</v>
      </c>
      <c r="B80" s="308" t="str">
        <f>B27</f>
        <v>F1-1</v>
      </c>
      <c r="C80" s="308"/>
    </row>
    <row r="81" spans="1:12" ht="27" customHeight="1" x14ac:dyDescent="0.4">
      <c r="A81" s="109" t="s">
        <v>6</v>
      </c>
      <c r="B81" s="208">
        <f>B28</f>
        <v>98.98</v>
      </c>
    </row>
    <row r="82" spans="1:12" s="14" customFormat="1" ht="27" customHeight="1" x14ac:dyDescent="0.4">
      <c r="A82" s="109" t="s">
        <v>47</v>
      </c>
      <c r="B82" s="111">
        <v>0</v>
      </c>
      <c r="C82" s="299" t="s">
        <v>48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2" t="s">
        <v>109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2" t="s">
        <v>110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5" t="s">
        <v>58</v>
      </c>
      <c r="G89" s="307"/>
    </row>
    <row r="90" spans="1:12" ht="27" customHeight="1" x14ac:dyDescent="0.4">
      <c r="A90" s="124" t="s">
        <v>59</v>
      </c>
      <c r="B90" s="125">
        <v>1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</v>
      </c>
      <c r="C91" s="213">
        <v>1</v>
      </c>
      <c r="D91" s="132">
        <v>8635633</v>
      </c>
      <c r="E91" s="133">
        <f>IF(ISBLANK(D91),"-",$D$101/$D$98*D91)</f>
        <v>8559847.1096377559</v>
      </c>
      <c r="F91" s="132">
        <v>7776073</v>
      </c>
      <c r="G91" s="134">
        <f>IF(ISBLANK(F91),"-",$D$101/$F$98*F91)</f>
        <v>8642691.2038546745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8644166</v>
      </c>
      <c r="E92" s="138">
        <f>IF(ISBLANK(D92),"-",$D$101/$D$98*D92)</f>
        <v>8568305.2244495526</v>
      </c>
      <c r="F92" s="137">
        <v>7782368</v>
      </c>
      <c r="G92" s="139">
        <f>IF(ISBLANK(F92),"-",$D$101/$F$98*F92)</f>
        <v>8649687.7612594534</v>
      </c>
      <c r="I92" s="309">
        <f>ABS((F96/D96*D95)-F95)/D95</f>
        <v>8.2064294610682993E-3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8641692</v>
      </c>
      <c r="E93" s="138">
        <f>IF(ISBLANK(D93),"-",$D$101/$D$98*D93)</f>
        <v>8565852.9361518398</v>
      </c>
      <c r="F93" s="137">
        <v>7771903</v>
      </c>
      <c r="G93" s="139">
        <f>IF(ISBLANK(F93),"-",$D$101/$F$98*F93)</f>
        <v>8638056.4708319679</v>
      </c>
      <c r="I93" s="309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8640497</v>
      </c>
      <c r="E95" s="148">
        <f>AVERAGE(E91:E94)</f>
        <v>8564668.4234130494</v>
      </c>
      <c r="F95" s="218">
        <f>AVERAGE(F91:F94)</f>
        <v>7776781.333333333</v>
      </c>
      <c r="G95" s="219">
        <f>AVERAGE(G91:G94)</f>
        <v>8643478.478648698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22.65</v>
      </c>
      <c r="E96" s="140"/>
      <c r="F96" s="152">
        <v>20.2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22.65</v>
      </c>
      <c r="E97" s="155"/>
      <c r="F97" s="154">
        <f>F96*$B$87</f>
        <v>20.2</v>
      </c>
    </row>
    <row r="98" spans="1:10" ht="19.5" customHeight="1" x14ac:dyDescent="0.3">
      <c r="A98" s="124" t="s">
        <v>74</v>
      </c>
      <c r="B98" s="224">
        <f>(B97/B96)*(B95/B94)*(B93/B92)*(B91/B90)*B89</f>
        <v>100</v>
      </c>
      <c r="C98" s="222" t="s">
        <v>113</v>
      </c>
      <c r="D98" s="225">
        <f>D97*$B$83/100</f>
        <v>22.418969999999998</v>
      </c>
      <c r="E98" s="158"/>
      <c r="F98" s="157">
        <f>F97*$B$83/100</f>
        <v>19.993960000000001</v>
      </c>
    </row>
    <row r="99" spans="1:10" ht="19.5" customHeight="1" x14ac:dyDescent="0.3">
      <c r="A99" s="310" t="s">
        <v>76</v>
      </c>
      <c r="B99" s="324"/>
      <c r="C99" s="222" t="s">
        <v>114</v>
      </c>
      <c r="D99" s="226">
        <f>D98/$B$98</f>
        <v>0.22418969999999999</v>
      </c>
      <c r="E99" s="158"/>
      <c r="F99" s="161">
        <f>F98/$B$98</f>
        <v>0.19993960000000002</v>
      </c>
      <c r="G99" s="227"/>
      <c r="H99" s="150"/>
    </row>
    <row r="100" spans="1:10" ht="19.5" customHeight="1" x14ac:dyDescent="0.3">
      <c r="A100" s="312"/>
      <c r="B100" s="325"/>
      <c r="C100" s="222" t="s">
        <v>78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8604073.4510308746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5.0455107355690133E-3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1</v>
      </c>
      <c r="C108" s="243">
        <v>1</v>
      </c>
      <c r="D108" s="244">
        <v>8715665</v>
      </c>
      <c r="E108" s="275">
        <f t="shared" ref="E108:E113" si="1">IF(ISBLANK(D108),"-",D108/$D$103*$D$100*$B$116)</f>
        <v>202.59392367125261</v>
      </c>
      <c r="F108" s="245">
        <f t="shared" ref="F108:F113" si="2">IF(ISBLANK(D108), "-", E108/$B$56)</f>
        <v>1.0129696183562631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8433774</v>
      </c>
      <c r="E109" s="276">
        <f t="shared" si="1"/>
        <v>196.04142265869498</v>
      </c>
      <c r="F109" s="246">
        <f t="shared" si="2"/>
        <v>0.98020711329347487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8604283</v>
      </c>
      <c r="E110" s="276">
        <f t="shared" si="1"/>
        <v>200.00487092469209</v>
      </c>
      <c r="F110" s="246">
        <f t="shared" si="2"/>
        <v>1.0000243546234604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8387282</v>
      </c>
      <c r="E111" s="276">
        <f t="shared" si="1"/>
        <v>194.96072523637278</v>
      </c>
      <c r="F111" s="246">
        <f t="shared" si="2"/>
        <v>0.97480362618186389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8520695</v>
      </c>
      <c r="E112" s="276">
        <f t="shared" si="1"/>
        <v>198.0618842573715</v>
      </c>
      <c r="F112" s="246">
        <f t="shared" si="2"/>
        <v>0.99030942128685751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8514749</v>
      </c>
      <c r="E113" s="277">
        <f t="shared" si="1"/>
        <v>197.9236706534584</v>
      </c>
      <c r="F113" s="249">
        <f t="shared" si="2"/>
        <v>0.98961835326729197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198.26441623364039</v>
      </c>
      <c r="F115" s="252">
        <f>AVERAGE(F108:F113)</f>
        <v>0.99132208116820186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1.3865691578993703E-2</v>
      </c>
      <c r="F116" s="254">
        <f>STDEV(F108:F113)/F115</f>
        <v>1.3865691578993724E-2</v>
      </c>
      <c r="I116" s="98"/>
    </row>
    <row r="117" spans="1:10" ht="27" customHeight="1" x14ac:dyDescent="0.4">
      <c r="A117" s="310" t="s">
        <v>76</v>
      </c>
      <c r="B117" s="311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322" t="str">
        <f>B20</f>
        <v>Fluconazole</v>
      </c>
      <c r="D120" s="322"/>
      <c r="E120" s="205" t="s">
        <v>122</v>
      </c>
      <c r="F120" s="205"/>
      <c r="G120" s="206">
        <f>F115</f>
        <v>0.99132208116820186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3" t="s">
        <v>24</v>
      </c>
      <c r="C122" s="323"/>
      <c r="E122" s="211" t="s">
        <v>25</v>
      </c>
      <c r="F122" s="260"/>
      <c r="G122" s="323" t="s">
        <v>26</v>
      </c>
      <c r="H122" s="323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Fluconazole</vt:lpstr>
      <vt:lpstr>Fluconazole!Print_Area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2016-04-12T09:37:55Z</cp:lastPrinted>
  <dcterms:created xsi:type="dcterms:W3CDTF">2005-07-05T10:19:27Z</dcterms:created>
  <dcterms:modified xsi:type="dcterms:W3CDTF">2016-04-18T13:17:29Z</dcterms:modified>
</cp:coreProperties>
</file>