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Metronidazole" sheetId="3" r:id="rId3"/>
    <sheet name="Diloxanide Furoate" sheetId="5" r:id="rId4"/>
  </sheets>
  <definedNames>
    <definedName name="_xlnm.Print_Area" localSheetId="2">Metronidazole!$A$1:$I$124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C120" i="5" l="1"/>
  <c r="B116" i="5"/>
  <c r="D100" i="5" s="1"/>
  <c r="D101" i="5" s="1"/>
  <c r="B98" i="5"/>
  <c r="F95" i="5"/>
  <c r="D95" i="5"/>
  <c r="I92" i="5"/>
  <c r="B87" i="5"/>
  <c r="F97" i="5" s="1"/>
  <c r="B81" i="5"/>
  <c r="B83" i="5" s="1"/>
  <c r="B80" i="5"/>
  <c r="B79" i="5"/>
  <c r="C76" i="5"/>
  <c r="B69" i="5"/>
  <c r="B68" i="5"/>
  <c r="B57" i="5"/>
  <c r="C56" i="5"/>
  <c r="B55" i="5"/>
  <c r="B45" i="5"/>
  <c r="D48" i="5" s="1"/>
  <c r="F42" i="5"/>
  <c r="D42" i="5"/>
  <c r="B34" i="5"/>
  <c r="B30" i="5"/>
  <c r="C120" i="3"/>
  <c r="B116" i="3"/>
  <c r="D100" i="3"/>
  <c r="D101" i="3" s="1"/>
  <c r="B98" i="3"/>
  <c r="F97" i="3"/>
  <c r="F95" i="3"/>
  <c r="D95" i="3"/>
  <c r="I92" i="3"/>
  <c r="B87" i="3"/>
  <c r="D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B30" i="3"/>
  <c r="D50" i="2"/>
  <c r="D49" i="2"/>
  <c r="B49" i="2"/>
  <c r="C46" i="2"/>
  <c r="C50" i="2" s="1"/>
  <c r="C45" i="2"/>
  <c r="D42" i="2"/>
  <c r="D41" i="2"/>
  <c r="D40" i="2"/>
  <c r="D38" i="2"/>
  <c r="D37" i="2"/>
  <c r="D36" i="2"/>
  <c r="D34" i="2"/>
  <c r="D33" i="2"/>
  <c r="D32" i="2"/>
  <c r="D30" i="2"/>
  <c r="D29" i="2"/>
  <c r="D28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B69" i="3" l="1"/>
  <c r="D45" i="3"/>
  <c r="D46" i="3" s="1"/>
  <c r="D98" i="3"/>
  <c r="D99" i="3" s="1"/>
  <c r="F98" i="3"/>
  <c r="F99" i="3" s="1"/>
  <c r="I39" i="3"/>
  <c r="I39" i="5"/>
  <c r="F98" i="5"/>
  <c r="F99" i="5" s="1"/>
  <c r="D102" i="5"/>
  <c r="G93" i="5"/>
  <c r="G91" i="5"/>
  <c r="G92" i="5"/>
  <c r="G94" i="5"/>
  <c r="D49" i="3"/>
  <c r="E41" i="3"/>
  <c r="G41" i="3"/>
  <c r="D102" i="3"/>
  <c r="E92" i="3"/>
  <c r="E91" i="3"/>
  <c r="E93" i="3"/>
  <c r="G91" i="3"/>
  <c r="G94" i="3"/>
  <c r="E94" i="3"/>
  <c r="G92" i="3"/>
  <c r="G93" i="3"/>
  <c r="D27" i="2"/>
  <c r="D31" i="2"/>
  <c r="D35" i="2"/>
  <c r="D39" i="2"/>
  <c r="D43" i="2"/>
  <c r="C49" i="2"/>
  <c r="F44" i="3"/>
  <c r="F45" i="3" s="1"/>
  <c r="F46" i="3" s="1"/>
  <c r="D44" i="5"/>
  <c r="D45" i="5" s="1"/>
  <c r="E40" i="5" s="1"/>
  <c r="F44" i="5"/>
  <c r="F45" i="5" s="1"/>
  <c r="G41" i="5" s="1"/>
  <c r="D49" i="5"/>
  <c r="D97" i="5"/>
  <c r="D98" i="5" s="1"/>
  <c r="D99" i="5" s="1"/>
  <c r="G95" i="3" l="1"/>
  <c r="E40" i="3"/>
  <c r="E39" i="3"/>
  <c r="E38" i="3"/>
  <c r="G40" i="5"/>
  <c r="E38" i="5"/>
  <c r="G95" i="5"/>
  <c r="E39" i="5"/>
  <c r="E92" i="5"/>
  <c r="E95" i="3"/>
  <c r="D105" i="3"/>
  <c r="D103" i="3"/>
  <c r="G39" i="3"/>
  <c r="E94" i="5"/>
  <c r="G40" i="3"/>
  <c r="F46" i="5"/>
  <c r="G39" i="5"/>
  <c r="G38" i="5"/>
  <c r="D46" i="5"/>
  <c r="E41" i="5"/>
  <c r="G38" i="3"/>
  <c r="E91" i="5"/>
  <c r="E93" i="5"/>
  <c r="E42" i="3" l="1"/>
  <c r="G42" i="3"/>
  <c r="D50" i="3"/>
  <c r="G71" i="3" s="1"/>
  <c r="H71" i="3" s="1"/>
  <c r="D52" i="3"/>
  <c r="E42" i="5"/>
  <c r="D52" i="5"/>
  <c r="D50" i="5"/>
  <c r="G66" i="5" s="1"/>
  <c r="H66" i="5" s="1"/>
  <c r="G42" i="5"/>
  <c r="E95" i="5"/>
  <c r="D105" i="5"/>
  <c r="D103" i="5"/>
  <c r="D51" i="3"/>
  <c r="E112" i="3"/>
  <c r="F112" i="3" s="1"/>
  <c r="E110" i="3"/>
  <c r="F110" i="3" s="1"/>
  <c r="E111" i="3"/>
  <c r="F111" i="3" s="1"/>
  <c r="E109" i="3"/>
  <c r="F109" i="3" s="1"/>
  <c r="D104" i="3"/>
  <c r="E113" i="3"/>
  <c r="F113" i="3" s="1"/>
  <c r="E108" i="3"/>
  <c r="G63" i="3" l="1"/>
  <c r="H63" i="3" s="1"/>
  <c r="G62" i="3"/>
  <c r="H62" i="3" s="1"/>
  <c r="G64" i="3"/>
  <c r="H64" i="3" s="1"/>
  <c r="G60" i="3"/>
  <c r="H60" i="3" s="1"/>
  <c r="G68" i="3"/>
  <c r="H68" i="3" s="1"/>
  <c r="G65" i="3"/>
  <c r="H65" i="3" s="1"/>
  <c r="G67" i="3"/>
  <c r="H67" i="3" s="1"/>
  <c r="G69" i="3"/>
  <c r="H69" i="3" s="1"/>
  <c r="G61" i="3"/>
  <c r="H61" i="3" s="1"/>
  <c r="G70" i="3"/>
  <c r="H70" i="3" s="1"/>
  <c r="G66" i="3"/>
  <c r="H66" i="3" s="1"/>
  <c r="D51" i="5"/>
  <c r="G69" i="5"/>
  <c r="H69" i="5" s="1"/>
  <c r="G63" i="5"/>
  <c r="H63" i="5" s="1"/>
  <c r="G60" i="5"/>
  <c r="G65" i="5"/>
  <c r="H65" i="5" s="1"/>
  <c r="G62" i="5"/>
  <c r="H62" i="5" s="1"/>
  <c r="G71" i="5"/>
  <c r="H71" i="5" s="1"/>
  <c r="G67" i="5"/>
  <c r="H67" i="5" s="1"/>
  <c r="G64" i="5"/>
  <c r="H64" i="5" s="1"/>
  <c r="G68" i="5"/>
  <c r="H68" i="5" s="1"/>
  <c r="G61" i="5"/>
  <c r="H61" i="5" s="1"/>
  <c r="G70" i="5"/>
  <c r="H70" i="5" s="1"/>
  <c r="E115" i="3"/>
  <c r="E116" i="3" s="1"/>
  <c r="E117" i="3"/>
  <c r="F108" i="3"/>
  <c r="H60" i="5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G74" i="3" l="1"/>
  <c r="G72" i="3"/>
  <c r="G73" i="3" s="1"/>
  <c r="G72" i="5"/>
  <c r="G73" i="5" s="1"/>
  <c r="G74" i="5"/>
  <c r="H74" i="3"/>
  <c r="H72" i="3"/>
  <c r="E115" i="5"/>
  <c r="E116" i="5" s="1"/>
  <c r="E117" i="5"/>
  <c r="F108" i="5"/>
  <c r="H72" i="5"/>
  <c r="H74" i="5"/>
  <c r="F115" i="3"/>
  <c r="F117" i="3"/>
  <c r="G76" i="5" l="1"/>
  <c r="H73" i="5"/>
  <c r="G120" i="3"/>
  <c r="F116" i="3"/>
  <c r="F115" i="5"/>
  <c r="F117" i="5"/>
  <c r="G76" i="3"/>
  <c r="H73" i="3"/>
  <c r="G120" i="5" l="1"/>
  <c r="F116" i="5"/>
</calcChain>
</file>

<file path=xl/sharedStrings.xml><?xml version="1.0" encoding="utf-8"?>
<sst xmlns="http://schemas.openxmlformats.org/spreadsheetml/2006/main" count="394" uniqueCount="128">
  <si>
    <t>HPLC System Suitability Report</t>
  </si>
  <si>
    <t>Analysis Data</t>
  </si>
  <si>
    <t>Assay</t>
  </si>
  <si>
    <t>Sample(s)</t>
  </si>
  <si>
    <t>Reference Substance:</t>
  </si>
  <si>
    <t>DIAZOLE TABLETS</t>
  </si>
  <si>
    <t>% age Purity:</t>
  </si>
  <si>
    <t>NDQA201503107</t>
  </si>
  <si>
    <t>Weight (mg):</t>
  </si>
  <si>
    <t>Diloxanide Futoate B.P, Metronidazole B.P</t>
  </si>
  <si>
    <t>Standard Conc (mg/mL):</t>
  </si>
  <si>
    <t>Diloxanide Futoate B.P 250 mg Metronidazole B.P 200 mg</t>
  </si>
  <si>
    <t>2015-03-03 07:49:29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</si>
  <si>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</si>
  <si>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</si>
  <si>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</si>
  <si>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</si>
  <si>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</si>
  <si>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</si>
  <si>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</si>
  <si>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</si>
  <si>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</si>
  <si>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</si>
  <si>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</si>
  <si>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</si>
  <si>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</si>
  <si>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</si>
  <si>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</si>
  <si>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</si>
  <si>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</si>
  <si>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</si>
  <si>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</si>
  <si>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</si>
  <si>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</si>
  <si>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</si>
  <si>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</si>
  <si>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</si>
  <si>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</si>
  <si>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</si>
  <si>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</si>
  <si>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</si>
  <si>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</si>
  <si>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</si>
  <si>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</si>
  <si>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</si>
  <si>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</si>
  <si>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</si>
  <si>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</si>
  <si>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</si>
  <si>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</si>
  <si>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</si>
  <si>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</si>
  <si>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</si>
  <si>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</si>
  <si>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</si>
  <si>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</si>
  <si>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</si>
  <si>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</si>
  <si>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</si>
  <si>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</si>
  <si>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</si>
  <si>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</si>
  <si>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</si>
  <si>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</si>
  <si>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</si>
  <si>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</si>
  <si>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</si>
  <si>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</si>
  <si>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</si>
  <si>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</si>
  <si>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</si>
  <si>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</si>
  <si>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</si>
  <si>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</si>
  <si>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</si>
  <si>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</si>
  <si>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</si>
  <si>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</si>
  <si>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</si>
  <si>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</si>
  <si>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</si>
  <si>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</si>
  <si>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</si>
  <si>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</si>
  <si>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</si>
  <si>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</si>
  <si>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</si>
  <si>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</si>
  <si>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</si>
  <si>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</si>
  <si>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</si>
  <si>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</si>
  <si>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</si>
  <si>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</si>
  <si>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</si>
  <si>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</si>
  <si>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</si>
  <si>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</si>
  <si>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</si>
  <si>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</si>
  <si>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</si>
  <si>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</si>
  <si>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</si>
  <si>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</si>
  <si>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</si>
  <si>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</si>
  <si>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</si>
  <si>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</si>
  <si>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</si>
  <si>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</si>
  <si>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</si>
  <si>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</si>
  <si>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</si>
  <si>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</si>
  <si>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</si>
  <si>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</si>
  <si>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</si>
  <si>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</si>
  <si>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</si>
  <si>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</si>
  <si>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</si>
  <si>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</si>
  <si>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</si>
  <si>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</si>
  <si>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</si>
  <si>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M2-3</t>
  </si>
  <si>
    <t>Metronidazole</t>
  </si>
  <si>
    <t xml:space="preserve">Metronidazole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</si>
</sst>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4" t="s">
        <v>0</v>
      </c>
      <c r="B15" s="464"/>
      <c r="C15" s="464"/>
      <c r="D15" s="464"/>
      <c r="E15" s="46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5" t="s">
        <v>26</v>
      </c>
      <c r="C59" s="46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9" t="s">
        <v>31</v>
      </c>
      <c r="B11" s="470"/>
      <c r="C11" s="470"/>
      <c r="D11" s="470"/>
      <c r="E11" s="470"/>
      <c r="F11" s="471"/>
      <c r="G11" s="91"/>
    </row>
    <row r="12" spans="1:7" ht="16.5" customHeight="1" x14ac:dyDescent="0.3">
      <c r="A12" s="468" t="s">
        <v>32</v>
      </c>
      <c r="B12" s="468"/>
      <c r="C12" s="468"/>
      <c r="D12" s="468"/>
      <c r="E12" s="468"/>
      <c r="F12" s="468"/>
      <c r="G12" s="90"/>
    </row>
    <row r="14" spans="1:7" ht="16.5" customHeight="1" x14ac:dyDescent="0.3">
      <c r="A14" s="473" t="s">
        <v>33</v>
      </c>
      <c r="B14" s="473"/>
      <c r="C14" s="60" t="s">
        <v>5</v>
      </c>
    </row>
    <row r="15" spans="1:7" ht="16.5" customHeight="1" x14ac:dyDescent="0.3">
      <c r="A15" s="473" t="s">
        <v>34</v>
      </c>
      <c r="B15" s="473"/>
      <c r="C15" s="60" t="s">
        <v>7</v>
      </c>
    </row>
    <row r="16" spans="1:7" ht="16.5" customHeight="1" x14ac:dyDescent="0.3">
      <c r="A16" s="473" t="s">
        <v>35</v>
      </c>
      <c r="B16" s="473"/>
      <c r="C16" s="60" t="s">
        <v>9</v>
      </c>
    </row>
    <row r="17" spans="1:5" ht="16.5" customHeight="1" x14ac:dyDescent="0.3">
      <c r="A17" s="473" t="s">
        <v>36</v>
      </c>
      <c r="B17" s="473"/>
      <c r="C17" s="60" t="s">
        <v>11</v>
      </c>
    </row>
    <row r="18" spans="1:5" ht="16.5" customHeight="1" x14ac:dyDescent="0.3">
      <c r="A18" s="473" t="s">
        <v>37</v>
      </c>
      <c r="B18" s="473"/>
      <c r="C18" s="97" t="s">
        <v>12</v>
      </c>
    </row>
    <row r="19" spans="1:5" ht="16.5" customHeight="1" x14ac:dyDescent="0.3">
      <c r="A19" s="473" t="s">
        <v>38</v>
      </c>
      <c r="B19" s="47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8" t="s">
        <v>1</v>
      </c>
      <c r="B21" s="468"/>
      <c r="C21" s="59" t="s">
        <v>39</v>
      </c>
      <c r="D21" s="66"/>
    </row>
    <row r="22" spans="1:5" ht="15.75" customHeight="1" x14ac:dyDescent="0.3">
      <c r="A22" s="472"/>
      <c r="B22" s="472"/>
      <c r="C22" s="57"/>
      <c r="D22" s="472"/>
      <c r="E22" s="472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651.54999999999995</v>
      </c>
      <c r="D24" s="87">
        <f t="shared" ref="D24:D43" si="0">(C24-$C$46)/$C$46</f>
        <v>-6.0327579749644014E-3</v>
      </c>
      <c r="E24" s="53"/>
    </row>
    <row r="25" spans="1:5" ht="15.75" customHeight="1" x14ac:dyDescent="0.3">
      <c r="C25" s="95">
        <v>685.77</v>
      </c>
      <c r="D25" s="88">
        <f t="shared" si="0"/>
        <v>4.6171307748459352E-2</v>
      </c>
      <c r="E25" s="53"/>
    </row>
    <row r="26" spans="1:5" ht="15.75" customHeight="1" x14ac:dyDescent="0.3">
      <c r="C26" s="95">
        <v>673.12</v>
      </c>
      <c r="D26" s="88">
        <f t="shared" si="0"/>
        <v>2.6873194615750155E-2</v>
      </c>
      <c r="E26" s="53"/>
    </row>
    <row r="27" spans="1:5" ht="15.75" customHeight="1" x14ac:dyDescent="0.3">
      <c r="C27" s="95">
        <v>670.43</v>
      </c>
      <c r="D27" s="88">
        <f t="shared" si="0"/>
        <v>2.2769485182786604E-2</v>
      </c>
      <c r="E27" s="53"/>
    </row>
    <row r="28" spans="1:5" ht="15.75" customHeight="1" x14ac:dyDescent="0.3">
      <c r="C28" s="95">
        <v>658.41</v>
      </c>
      <c r="D28" s="88">
        <f t="shared" si="0"/>
        <v>4.4324638503625237E-3</v>
      </c>
      <c r="E28" s="53"/>
    </row>
    <row r="29" spans="1:5" ht="15.75" customHeight="1" x14ac:dyDescent="0.3">
      <c r="C29" s="95">
        <v>655.56</v>
      </c>
      <c r="D29" s="88">
        <f t="shared" si="0"/>
        <v>8.4667610977404663E-5</v>
      </c>
      <c r="E29" s="53"/>
    </row>
    <row r="30" spans="1:5" ht="15.75" customHeight="1" x14ac:dyDescent="0.3">
      <c r="C30" s="95">
        <v>665.31</v>
      </c>
      <c r="D30" s="88">
        <f t="shared" si="0"/>
        <v>1.4958707377294798E-2</v>
      </c>
      <c r="E30" s="53"/>
    </row>
    <row r="31" spans="1:5" ht="15.75" customHeight="1" x14ac:dyDescent="0.3">
      <c r="C31" s="95">
        <v>656.86</v>
      </c>
      <c r="D31" s="88">
        <f t="shared" si="0"/>
        <v>2.0678729131531613E-3</v>
      </c>
      <c r="E31" s="53"/>
    </row>
    <row r="32" spans="1:5" ht="15.75" customHeight="1" x14ac:dyDescent="0.3">
      <c r="C32" s="95">
        <v>657.4</v>
      </c>
      <c r="D32" s="88">
        <f t="shared" si="0"/>
        <v>2.891665884826069E-3</v>
      </c>
      <c r="E32" s="53"/>
    </row>
    <row r="33" spans="1:7" ht="15.75" customHeight="1" x14ac:dyDescent="0.3">
      <c r="C33" s="95">
        <v>636.08000000000004</v>
      </c>
      <c r="D33" s="88">
        <f t="shared" si="0"/>
        <v>-2.9632901070854534E-2</v>
      </c>
      <c r="E33" s="53"/>
    </row>
    <row r="34" spans="1:7" ht="15.75" customHeight="1" x14ac:dyDescent="0.3">
      <c r="C34" s="95">
        <v>638.75</v>
      </c>
      <c r="D34" s="88">
        <f t="shared" si="0"/>
        <v>-2.5559702488693832E-2</v>
      </c>
      <c r="E34" s="53"/>
    </row>
    <row r="35" spans="1:7" ht="15.75" customHeight="1" x14ac:dyDescent="0.3">
      <c r="C35" s="95">
        <v>641.71</v>
      </c>
      <c r="D35" s="88">
        <f t="shared" si="0"/>
        <v>-2.1044096569893832E-2</v>
      </c>
      <c r="E35" s="53"/>
    </row>
    <row r="36" spans="1:7" ht="15.75" customHeight="1" x14ac:dyDescent="0.3">
      <c r="C36" s="95">
        <v>649.6</v>
      </c>
      <c r="D36" s="88">
        <f t="shared" si="0"/>
        <v>-9.0075659282277763E-3</v>
      </c>
      <c r="E36" s="53"/>
    </row>
    <row r="37" spans="1:7" ht="15.75" customHeight="1" x14ac:dyDescent="0.3">
      <c r="C37" s="95">
        <v>632.11</v>
      </c>
      <c r="D37" s="88">
        <f t="shared" si="0"/>
        <v>-3.5689304955190994E-2</v>
      </c>
      <c r="E37" s="53"/>
    </row>
    <row r="38" spans="1:7" ht="15.75" customHeight="1" x14ac:dyDescent="0.3">
      <c r="C38" s="95">
        <v>648.08000000000004</v>
      </c>
      <c r="D38" s="88">
        <f t="shared" si="0"/>
        <v>-1.1326390589233126E-2</v>
      </c>
      <c r="E38" s="53"/>
    </row>
    <row r="39" spans="1:7" ht="15.75" customHeight="1" x14ac:dyDescent="0.3">
      <c r="C39" s="95">
        <v>641.9</v>
      </c>
      <c r="D39" s="88">
        <f t="shared" si="0"/>
        <v>-2.0754243487268249E-2</v>
      </c>
      <c r="E39" s="53"/>
    </row>
    <row r="40" spans="1:7" ht="15.75" customHeight="1" x14ac:dyDescent="0.3">
      <c r="C40" s="95">
        <v>653.35</v>
      </c>
      <c r="D40" s="88">
        <f t="shared" si="0"/>
        <v>-3.2867814027210864E-3</v>
      </c>
      <c r="E40" s="53"/>
    </row>
    <row r="41" spans="1:7" ht="15.75" customHeight="1" x14ac:dyDescent="0.3">
      <c r="C41" s="95">
        <v>657.03</v>
      </c>
      <c r="D41" s="88">
        <f t="shared" si="0"/>
        <v>2.3272151449760686E-3</v>
      </c>
      <c r="E41" s="53"/>
    </row>
    <row r="42" spans="1:7" ht="15.75" customHeight="1" x14ac:dyDescent="0.3">
      <c r="C42" s="95">
        <v>684.65</v>
      </c>
      <c r="D42" s="88">
        <f t="shared" si="0"/>
        <v>4.4462700103508015E-2</v>
      </c>
      <c r="E42" s="53"/>
    </row>
    <row r="43" spans="1:7" ht="16.5" customHeight="1" x14ac:dyDescent="0.3">
      <c r="C43" s="96">
        <v>652.41999999999996</v>
      </c>
      <c r="D43" s="89">
        <f t="shared" si="0"/>
        <v>-4.7055359650468431E-3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13110.09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655.50450000000001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66">
        <f>C46</f>
        <v>655.50450000000001</v>
      </c>
      <c r="C49" s="93">
        <f>-IF(C46&lt;=80,10%,IF(C46&lt;250,7.5%,5%))</f>
        <v>-0.05</v>
      </c>
      <c r="D49" s="81">
        <f>IF(C46&lt;=80,C46*0.9,IF(C46&lt;250,C46*0.925,C46*0.95))</f>
        <v>622.72927500000003</v>
      </c>
    </row>
    <row r="50" spans="1:6" ht="17.25" customHeight="1" x14ac:dyDescent="0.3">
      <c r="B50" s="467"/>
      <c r="C50" s="94">
        <f>IF(C46&lt;=80, 10%, IF(C46&lt;250, 7.5%, 5%))</f>
        <v>0.05</v>
      </c>
      <c r="D50" s="81">
        <f>IF(C46&lt;=80, C46*1.1, IF(C46&lt;250, C46*1.075, C46*1.05))</f>
        <v>688.27972499999998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showWhiteSpace="0" view="pageLayout" zoomScale="50" zoomScaleNormal="40" zoomScalePageLayoutView="50" workbookViewId="0">
      <selection activeCell="C19" sqref="C1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4" t="s">
        <v>45</v>
      </c>
      <c r="B1" s="474"/>
      <c r="C1" s="474"/>
      <c r="D1" s="474"/>
      <c r="E1" s="474"/>
      <c r="F1" s="474"/>
      <c r="G1" s="474"/>
      <c r="H1" s="474"/>
      <c r="I1" s="474"/>
    </row>
    <row r="2" spans="1:9" ht="18.75" customHeight="1" x14ac:dyDescent="0.25">
      <c r="A2" s="474"/>
      <c r="B2" s="474"/>
      <c r="C2" s="474"/>
      <c r="D2" s="474"/>
      <c r="E2" s="474"/>
      <c r="F2" s="474"/>
      <c r="G2" s="474"/>
      <c r="H2" s="474"/>
      <c r="I2" s="474"/>
    </row>
    <row r="3" spans="1:9" ht="18.75" customHeight="1" x14ac:dyDescent="0.25">
      <c r="A3" s="474"/>
      <c r="B3" s="474"/>
      <c r="C3" s="474"/>
      <c r="D3" s="474"/>
      <c r="E3" s="474"/>
      <c r="F3" s="474"/>
      <c r="G3" s="474"/>
      <c r="H3" s="474"/>
      <c r="I3" s="474"/>
    </row>
    <row r="4" spans="1:9" ht="18.75" customHeight="1" x14ac:dyDescent="0.25">
      <c r="A4" s="474"/>
      <c r="B4" s="474"/>
      <c r="C4" s="474"/>
      <c r="D4" s="474"/>
      <c r="E4" s="474"/>
      <c r="F4" s="474"/>
      <c r="G4" s="474"/>
      <c r="H4" s="474"/>
      <c r="I4" s="474"/>
    </row>
    <row r="5" spans="1:9" ht="18.75" customHeight="1" x14ac:dyDescent="0.25">
      <c r="A5" s="474"/>
      <c r="B5" s="474"/>
      <c r="C5" s="474"/>
      <c r="D5" s="474"/>
      <c r="E5" s="474"/>
      <c r="F5" s="474"/>
      <c r="G5" s="474"/>
      <c r="H5" s="474"/>
      <c r="I5" s="474"/>
    </row>
    <row r="6" spans="1:9" ht="18.75" customHeight="1" x14ac:dyDescent="0.25">
      <c r="A6" s="474"/>
      <c r="B6" s="474"/>
      <c r="C6" s="474"/>
      <c r="D6" s="474"/>
      <c r="E6" s="474"/>
      <c r="F6" s="474"/>
      <c r="G6" s="474"/>
      <c r="H6" s="474"/>
      <c r="I6" s="474"/>
    </row>
    <row r="7" spans="1:9" ht="18.75" customHeight="1" x14ac:dyDescent="0.25">
      <c r="A7" s="474"/>
      <c r="B7" s="474"/>
      <c r="C7" s="474"/>
      <c r="D7" s="474"/>
      <c r="E7" s="474"/>
      <c r="F7" s="474"/>
      <c r="G7" s="474"/>
      <c r="H7" s="474"/>
      <c r="I7" s="474"/>
    </row>
    <row r="8" spans="1:9" x14ac:dyDescent="0.25">
      <c r="A8" s="475" t="s">
        <v>46</v>
      </c>
      <c r="B8" s="475"/>
      <c r="C8" s="475"/>
      <c r="D8" s="475"/>
      <c r="E8" s="475"/>
      <c r="F8" s="475"/>
      <c r="G8" s="475"/>
      <c r="H8" s="475"/>
      <c r="I8" s="475"/>
    </row>
    <row r="9" spans="1:9" x14ac:dyDescent="0.25">
      <c r="A9" s="475"/>
      <c r="B9" s="475"/>
      <c r="C9" s="475"/>
      <c r="D9" s="475"/>
      <c r="E9" s="475"/>
      <c r="F9" s="475"/>
      <c r="G9" s="475"/>
      <c r="H9" s="475"/>
      <c r="I9" s="475"/>
    </row>
    <row r="10" spans="1:9" x14ac:dyDescent="0.25">
      <c r="A10" s="475"/>
      <c r="B10" s="475"/>
      <c r="C10" s="475"/>
      <c r="D10" s="475"/>
      <c r="E10" s="475"/>
      <c r="F10" s="475"/>
      <c r="G10" s="475"/>
      <c r="H10" s="475"/>
      <c r="I10" s="475"/>
    </row>
    <row r="11" spans="1:9" x14ac:dyDescent="0.25">
      <c r="A11" s="475"/>
      <c r="B11" s="475"/>
      <c r="C11" s="475"/>
      <c r="D11" s="475"/>
      <c r="E11" s="475"/>
      <c r="F11" s="475"/>
      <c r="G11" s="475"/>
      <c r="H11" s="475"/>
      <c r="I11" s="475"/>
    </row>
    <row r="12" spans="1:9" x14ac:dyDescent="0.25">
      <c r="A12" s="475"/>
      <c r="B12" s="475"/>
      <c r="C12" s="475"/>
      <c r="D12" s="475"/>
      <c r="E12" s="475"/>
      <c r="F12" s="475"/>
      <c r="G12" s="475"/>
      <c r="H12" s="475"/>
      <c r="I12" s="475"/>
    </row>
    <row r="13" spans="1:9" x14ac:dyDescent="0.25">
      <c r="A13" s="475"/>
      <c r="B13" s="475"/>
      <c r="C13" s="475"/>
      <c r="D13" s="475"/>
      <c r="E13" s="475"/>
      <c r="F13" s="475"/>
      <c r="G13" s="475"/>
      <c r="H13" s="475"/>
      <c r="I13" s="475"/>
    </row>
    <row r="14" spans="1:9" x14ac:dyDescent="0.25">
      <c r="A14" s="475"/>
      <c r="B14" s="475"/>
      <c r="C14" s="475"/>
      <c r="D14" s="475"/>
      <c r="E14" s="475"/>
      <c r="F14" s="475"/>
      <c r="G14" s="475"/>
      <c r="H14" s="475"/>
      <c r="I14" s="475"/>
    </row>
    <row r="15" spans="1:9" ht="19.5" customHeight="1" x14ac:dyDescent="0.3">
      <c r="A15" s="98"/>
    </row>
    <row r="16" spans="1:9" ht="19.5" customHeight="1" x14ac:dyDescent="0.3">
      <c r="A16" s="508" t="s">
        <v>31</v>
      </c>
      <c r="B16" s="509"/>
      <c r="C16" s="509"/>
      <c r="D16" s="509"/>
      <c r="E16" s="509"/>
      <c r="F16" s="509"/>
      <c r="G16" s="509"/>
      <c r="H16" s="510"/>
    </row>
    <row r="17" spans="1:14" ht="20.25" customHeight="1" x14ac:dyDescent="0.25">
      <c r="A17" s="511" t="s">
        <v>47</v>
      </c>
      <c r="B17" s="511"/>
      <c r="C17" s="511"/>
      <c r="D17" s="511"/>
      <c r="E17" s="511"/>
      <c r="F17" s="511"/>
      <c r="G17" s="511"/>
      <c r="H17" s="511"/>
    </row>
    <row r="18" spans="1:14" ht="26.25" customHeight="1" x14ac:dyDescent="0.4">
      <c r="A18" s="100" t="s">
        <v>33</v>
      </c>
      <c r="B18" s="507" t="s">
        <v>5</v>
      </c>
      <c r="C18" s="507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12" t="s">
        <v>127</v>
      </c>
      <c r="C20" s="512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12" t="s">
        <v>11</v>
      </c>
      <c r="C21" s="512"/>
      <c r="D21" s="512"/>
      <c r="E21" s="512"/>
      <c r="F21" s="512"/>
      <c r="G21" s="512"/>
      <c r="H21" s="512"/>
      <c r="I21" s="104"/>
    </row>
    <row r="22" spans="1:14" ht="26.25" customHeight="1" x14ac:dyDescent="0.4">
      <c r="A22" s="100" t="s">
        <v>37</v>
      </c>
      <c r="B22" s="105">
        <v>42578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42578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07" t="s">
        <v>126</v>
      </c>
      <c r="C26" s="507"/>
    </row>
    <row r="27" spans="1:14" ht="26.25" customHeight="1" x14ac:dyDescent="0.4">
      <c r="A27" s="109" t="s">
        <v>48</v>
      </c>
      <c r="B27" s="505" t="s">
        <v>125</v>
      </c>
      <c r="C27" s="505"/>
    </row>
    <row r="28" spans="1:14" ht="27" customHeight="1" x14ac:dyDescent="0.4">
      <c r="A28" s="109" t="s">
        <v>6</v>
      </c>
      <c r="B28" s="110">
        <v>99.74</v>
      </c>
    </row>
    <row r="29" spans="1:14" s="14" customFormat="1" ht="27" customHeight="1" x14ac:dyDescent="0.4">
      <c r="A29" s="109" t="s">
        <v>49</v>
      </c>
      <c r="B29" s="111">
        <v>0</v>
      </c>
      <c r="C29" s="482" t="s">
        <v>50</v>
      </c>
      <c r="D29" s="483"/>
      <c r="E29" s="483"/>
      <c r="F29" s="483"/>
      <c r="G29" s="484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99.74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85" t="s">
        <v>53</v>
      </c>
      <c r="D31" s="486"/>
      <c r="E31" s="486"/>
      <c r="F31" s="486"/>
      <c r="G31" s="486"/>
      <c r="H31" s="487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85" t="s">
        <v>55</v>
      </c>
      <c r="D32" s="486"/>
      <c r="E32" s="486"/>
      <c r="F32" s="486"/>
      <c r="G32" s="486"/>
      <c r="H32" s="487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20</v>
      </c>
      <c r="C36" s="99"/>
      <c r="D36" s="488" t="s">
        <v>59</v>
      </c>
      <c r="E36" s="506"/>
      <c r="F36" s="488" t="s">
        <v>60</v>
      </c>
      <c r="G36" s="489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50</v>
      </c>
      <c r="C38" s="131">
        <v>1</v>
      </c>
      <c r="D38" s="132">
        <v>0.38700000000000001</v>
      </c>
      <c r="E38" s="133">
        <f>IF(ISBLANK(D38),"-",$D$48/$D$45*D38)</f>
        <v>0.38531164144949659</v>
      </c>
      <c r="F38" s="132">
        <v>0.443</v>
      </c>
      <c r="G38" s="134">
        <f>IF(ISBLANK(F38),"-",$D$48/$F$45*F38)</f>
        <v>0.38841696763136407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5</v>
      </c>
      <c r="C39" s="136">
        <v>2</v>
      </c>
      <c r="D39" s="137">
        <v>0.39100000000000001</v>
      </c>
      <c r="E39" s="138">
        <f>IF(ISBLANK(D39),"-",$D$48/$D$45*D39)</f>
        <v>0.3892941907151245</v>
      </c>
      <c r="F39" s="137">
        <v>0.443</v>
      </c>
      <c r="G39" s="139">
        <f>IF(ISBLANK(F39),"-",$D$48/$F$45*F39)</f>
        <v>0.38841696763136407</v>
      </c>
      <c r="I39" s="490">
        <f>ABS((F43/D43*D42)-F42)/D42</f>
        <v>1.1438700428040122E-4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50</v>
      </c>
      <c r="C40" s="136">
        <v>3</v>
      </c>
      <c r="D40" s="137">
        <v>0.39400000000000002</v>
      </c>
      <c r="E40" s="138">
        <f>IF(ISBLANK(D40),"-",$D$48/$D$45*D40)</f>
        <v>0.3922811026643454</v>
      </c>
      <c r="F40" s="137">
        <v>0.44500000000000001</v>
      </c>
      <c r="G40" s="139">
        <f>IF(ISBLANK(F40),"-",$D$48/$F$45*F40)</f>
        <v>0.39017054310599775</v>
      </c>
      <c r="I40" s="490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0.39066666666666672</v>
      </c>
      <c r="E42" s="148">
        <f>AVERAGE(E38:E41)</f>
        <v>0.3889623116096555</v>
      </c>
      <c r="F42" s="147">
        <f>AVERAGE(F38:F41)</f>
        <v>0.44366666666666665</v>
      </c>
      <c r="G42" s="149">
        <f>AVERAGE(G38:G41)</f>
        <v>0.3890014927895753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20.14</v>
      </c>
      <c r="E43" s="140"/>
      <c r="F43" s="152">
        <v>22.87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20.14</v>
      </c>
      <c r="E44" s="155"/>
      <c r="F44" s="154">
        <f>F43*$B$34</f>
        <v>22.87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2000</v>
      </c>
      <c r="C45" s="153" t="s">
        <v>77</v>
      </c>
      <c r="D45" s="157">
        <f>D44*$B$30/100</f>
        <v>20.087636</v>
      </c>
      <c r="E45" s="158"/>
      <c r="F45" s="157">
        <f>F44*$B$30/100</f>
        <v>22.810538000000001</v>
      </c>
      <c r="H45" s="150"/>
    </row>
    <row r="46" spans="1:14" ht="19.5" customHeight="1" x14ac:dyDescent="0.3">
      <c r="A46" s="476" t="s">
        <v>78</v>
      </c>
      <c r="B46" s="477"/>
      <c r="C46" s="153" t="s">
        <v>79</v>
      </c>
      <c r="D46" s="159">
        <f>D45/$B$45</f>
        <v>1.0043817999999999E-2</v>
      </c>
      <c r="E46" s="160"/>
      <c r="F46" s="161">
        <f>F45/$B$45</f>
        <v>1.1405269000000001E-2</v>
      </c>
      <c r="H46" s="150"/>
    </row>
    <row r="47" spans="1:14" ht="27" customHeight="1" x14ac:dyDescent="0.4">
      <c r="A47" s="478"/>
      <c r="B47" s="479"/>
      <c r="C47" s="162" t="s">
        <v>80</v>
      </c>
      <c r="D47" s="163">
        <v>0.01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0.38898190219961543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5.9189300453898969E-3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Diloxanide Futoate B.P 250 mg Metronidazole B.P 200 mg</v>
      </c>
    </row>
    <row r="56" spans="1:12" ht="26.25" customHeight="1" x14ac:dyDescent="0.4">
      <c r="A56" s="177" t="s">
        <v>87</v>
      </c>
      <c r="B56" s="178">
        <v>200</v>
      </c>
      <c r="C56" s="99" t="str">
        <f>B20</f>
        <v xml:space="preserve">Metronidazole </v>
      </c>
      <c r="H56" s="179"/>
    </row>
    <row r="57" spans="1:12" ht="18.75" x14ac:dyDescent="0.3">
      <c r="A57" s="176" t="s">
        <v>88</v>
      </c>
      <c r="B57" s="268">
        <f>Uniformity!C46</f>
        <v>655.50450000000001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493" t="s">
        <v>94</v>
      </c>
      <c r="D60" s="496">
        <v>524.69000000000005</v>
      </c>
      <c r="E60" s="182">
        <v>1</v>
      </c>
      <c r="F60" s="183">
        <v>0.36</v>
      </c>
      <c r="G60" s="269">
        <f>IF(ISBLANK(F60),"-",(F60/$D$50*$D$47*$B$68)*($B$57/$D$60))</f>
        <v>192.70578172717509</v>
      </c>
      <c r="H60" s="184">
        <f t="shared" ref="H60:H71" si="0">IF(ISBLANK(F60),"-",G60/$B$56)</f>
        <v>0.96352890863587548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494"/>
      <c r="D61" s="497"/>
      <c r="E61" s="185">
        <v>2</v>
      </c>
      <c r="F61" s="137">
        <v>0.35599999999999998</v>
      </c>
      <c r="G61" s="270">
        <f>IF(ISBLANK(F61),"-",(F61/$D$50*$D$47*$B$68)*($B$57/$D$60))</f>
        <v>190.56460637465094</v>
      </c>
      <c r="H61" s="186">
        <f t="shared" si="0"/>
        <v>0.95282303187325468</v>
      </c>
      <c r="L61" s="112"/>
    </row>
    <row r="62" spans="1:12" s="14" customFormat="1" ht="26.25" customHeight="1" x14ac:dyDescent="0.4">
      <c r="A62" s="124" t="s">
        <v>96</v>
      </c>
      <c r="B62" s="125">
        <v>3</v>
      </c>
      <c r="C62" s="494"/>
      <c r="D62" s="497"/>
      <c r="E62" s="185">
        <v>3</v>
      </c>
      <c r="F62" s="187">
        <v>0.35399999999999998</v>
      </c>
      <c r="G62" s="270">
        <f>IF(ISBLANK(F62),"-",(F62/$D$50*$D$47*$B$68)*($B$57/$D$60))</f>
        <v>189.4940186983888</v>
      </c>
      <c r="H62" s="186">
        <f t="shared" si="0"/>
        <v>0.947470093491944</v>
      </c>
      <c r="L62" s="112"/>
    </row>
    <row r="63" spans="1:12" ht="27" customHeight="1" x14ac:dyDescent="0.4">
      <c r="A63" s="124" t="s">
        <v>97</v>
      </c>
      <c r="B63" s="125">
        <v>50</v>
      </c>
      <c r="C63" s="504"/>
      <c r="D63" s="498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493" t="s">
        <v>99</v>
      </c>
      <c r="D64" s="496">
        <v>518.61</v>
      </c>
      <c r="E64" s="182">
        <v>1</v>
      </c>
      <c r="F64" s="183">
        <v>0.35699999999999998</v>
      </c>
      <c r="G64" s="271">
        <f>IF(ISBLANK(F64),"-",(F64/$D$50*$D$47*$B$68)*($B$57/$D$64))</f>
        <v>193.34028777432863</v>
      </c>
      <c r="H64" s="190">
        <f t="shared" si="0"/>
        <v>0.96670143887164317</v>
      </c>
    </row>
    <row r="65" spans="1:8" ht="26.25" customHeight="1" x14ac:dyDescent="0.4">
      <c r="A65" s="124" t="s">
        <v>100</v>
      </c>
      <c r="B65" s="125">
        <v>1</v>
      </c>
      <c r="C65" s="494"/>
      <c r="D65" s="497"/>
      <c r="E65" s="185">
        <v>2</v>
      </c>
      <c r="F65" s="137">
        <v>0.35899999999999999</v>
      </c>
      <c r="G65" s="272">
        <f>IF(ISBLANK(F65),"-",(F65/$D$50*$D$47*$B$68)*($B$57/$D$64))</f>
        <v>194.42342664141174</v>
      </c>
      <c r="H65" s="191">
        <f t="shared" si="0"/>
        <v>0.97211713320705873</v>
      </c>
    </row>
    <row r="66" spans="1:8" ht="26.25" customHeight="1" x14ac:dyDescent="0.4">
      <c r="A66" s="124" t="s">
        <v>101</v>
      </c>
      <c r="B66" s="125">
        <v>1</v>
      </c>
      <c r="C66" s="494"/>
      <c r="D66" s="497"/>
      <c r="E66" s="185">
        <v>3</v>
      </c>
      <c r="F66" s="137">
        <v>0.36</v>
      </c>
      <c r="G66" s="272">
        <f>IF(ISBLANK(F66),"-",(F66/$D$50*$D$47*$B$68)*($B$57/$D$64))</f>
        <v>194.96499607495326</v>
      </c>
      <c r="H66" s="191">
        <f t="shared" si="0"/>
        <v>0.97482498037476628</v>
      </c>
    </row>
    <row r="67" spans="1:8" ht="27" customHeight="1" x14ac:dyDescent="0.4">
      <c r="A67" s="124" t="s">
        <v>102</v>
      </c>
      <c r="B67" s="125">
        <v>1</v>
      </c>
      <c r="C67" s="504"/>
      <c r="D67" s="498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16666.666666666668</v>
      </c>
      <c r="C68" s="493" t="s">
        <v>104</v>
      </c>
      <c r="D68" s="496">
        <v>520.21</v>
      </c>
      <c r="E68" s="182">
        <v>1</v>
      </c>
      <c r="F68" s="183"/>
      <c r="G68" s="271" t="str">
        <f>IF(ISBLANK(F68),"-",(F68/$D$50*$D$47*$B$68)*($B$57/$D$68))</f>
        <v>-</v>
      </c>
      <c r="H68" s="186" t="str">
        <f t="shared" si="0"/>
        <v>-</v>
      </c>
    </row>
    <row r="69" spans="1:8" ht="27" customHeight="1" x14ac:dyDescent="0.4">
      <c r="A69" s="172" t="s">
        <v>105</v>
      </c>
      <c r="B69" s="194">
        <f>(D47*B68)/B56*B57</f>
        <v>546.25375000000008</v>
      </c>
      <c r="C69" s="494"/>
      <c r="D69" s="497"/>
      <c r="E69" s="185">
        <v>2</v>
      </c>
      <c r="F69" s="137"/>
      <c r="G69" s="272" t="str">
        <f>IF(ISBLANK(F69),"-",(F69/$D$50*$D$47*$B$68)*($B$57/$D$68))</f>
        <v>-</v>
      </c>
      <c r="H69" s="186" t="str">
        <f t="shared" si="0"/>
        <v>-</v>
      </c>
    </row>
    <row r="70" spans="1:8" ht="26.25" customHeight="1" x14ac:dyDescent="0.4">
      <c r="A70" s="499" t="s">
        <v>78</v>
      </c>
      <c r="B70" s="500"/>
      <c r="C70" s="494"/>
      <c r="D70" s="497"/>
      <c r="E70" s="185">
        <v>3</v>
      </c>
      <c r="F70" s="137"/>
      <c r="G70" s="272" t="str">
        <f>IF(ISBLANK(F70),"-",(F70/$D$50*$D$47*$B$68)*($B$57/$D$68))</f>
        <v>-</v>
      </c>
      <c r="H70" s="186" t="str">
        <f t="shared" si="0"/>
        <v>-</v>
      </c>
    </row>
    <row r="71" spans="1:8" ht="27" customHeight="1" x14ac:dyDescent="0.4">
      <c r="A71" s="501"/>
      <c r="B71" s="502"/>
      <c r="C71" s="495"/>
      <c r="D71" s="498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192.58218621515141</v>
      </c>
      <c r="H72" s="199">
        <f>AVERAGE(H60:H71)</f>
        <v>0.96291093107575698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1.1200919611004249E-2</v>
      </c>
      <c r="H73" s="274">
        <f>STDEV(H60:H71)/H72</f>
        <v>1.1200919611004251E-2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6</v>
      </c>
      <c r="H74" s="203">
        <f>COUNT(H60:H71)</f>
        <v>6</v>
      </c>
    </row>
    <row r="76" spans="1:8" ht="26.25" customHeight="1" x14ac:dyDescent="0.4">
      <c r="A76" s="108" t="s">
        <v>106</v>
      </c>
      <c r="B76" s="204" t="s">
        <v>107</v>
      </c>
      <c r="C76" s="480" t="str">
        <f>B20</f>
        <v xml:space="preserve">Metronidazole </v>
      </c>
      <c r="D76" s="480"/>
      <c r="E76" s="205" t="s">
        <v>108</v>
      </c>
      <c r="F76" s="205"/>
      <c r="G76" s="206">
        <f>H72</f>
        <v>0.96291093107575698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3" t="str">
        <f>B26</f>
        <v>Metronidazole</v>
      </c>
      <c r="C79" s="503"/>
    </row>
    <row r="80" spans="1:8" ht="26.25" customHeight="1" x14ac:dyDescent="0.4">
      <c r="A80" s="109" t="s">
        <v>48</v>
      </c>
      <c r="B80" s="503" t="str">
        <f>B27</f>
        <v>M2-3</v>
      </c>
      <c r="C80" s="503"/>
    </row>
    <row r="81" spans="1:12" ht="27" customHeight="1" x14ac:dyDescent="0.4">
      <c r="A81" s="109" t="s">
        <v>6</v>
      </c>
      <c r="B81" s="208">
        <f>B28</f>
        <v>99.74</v>
      </c>
    </row>
    <row r="82" spans="1:12" s="14" customFormat="1" ht="27" customHeight="1" x14ac:dyDescent="0.4">
      <c r="A82" s="109" t="s">
        <v>49</v>
      </c>
      <c r="B82" s="111">
        <v>0</v>
      </c>
      <c r="C82" s="482" t="s">
        <v>50</v>
      </c>
      <c r="D82" s="483"/>
      <c r="E82" s="483"/>
      <c r="F82" s="483"/>
      <c r="G82" s="484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99.74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154.46</v>
      </c>
      <c r="C84" s="485" t="s">
        <v>111</v>
      </c>
      <c r="D84" s="486"/>
      <c r="E84" s="486"/>
      <c r="F84" s="486"/>
      <c r="G84" s="486"/>
      <c r="H84" s="487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165.23</v>
      </c>
      <c r="C85" s="485" t="s">
        <v>112</v>
      </c>
      <c r="D85" s="486"/>
      <c r="E85" s="486"/>
      <c r="F85" s="486"/>
      <c r="G85" s="486"/>
      <c r="H85" s="487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0.93481813230042976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9" t="s">
        <v>59</v>
      </c>
      <c r="E89" s="210"/>
      <c r="F89" s="488" t="s">
        <v>60</v>
      </c>
      <c r="G89" s="489"/>
    </row>
    <row r="90" spans="1:12" ht="27" customHeight="1" x14ac:dyDescent="0.4">
      <c r="A90" s="124" t="s">
        <v>61</v>
      </c>
      <c r="B90" s="125">
        <v>4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200</v>
      </c>
      <c r="C91" s="213">
        <v>1</v>
      </c>
      <c r="D91" s="132">
        <v>52522362</v>
      </c>
      <c r="E91" s="133">
        <f>IF(ISBLANK(D91),"-",$D$101/$D$98*D91)</f>
        <v>62291045.659712479</v>
      </c>
      <c r="F91" s="132">
        <v>53289728</v>
      </c>
      <c r="G91" s="134">
        <f>IF(ISBLANK(F91),"-",$D$101/$F$98*F91)</f>
        <v>61583107.285670862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52553125</v>
      </c>
      <c r="E92" s="138">
        <f>IF(ISBLANK(D92),"-",$D$101/$D$98*D92)</f>
        <v>62327530.299105309</v>
      </c>
      <c r="F92" s="137">
        <v>53121237</v>
      </c>
      <c r="G92" s="139">
        <f>IF(ISBLANK(F92),"-",$D$101/$F$98*F92)</f>
        <v>61388394.350944117</v>
      </c>
      <c r="I92" s="490">
        <f>ABS((F96/D96*D95)-F95)/D95</f>
        <v>9.1663928758481394E-3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52565096</v>
      </c>
      <c r="E93" s="138">
        <f>IF(ISBLANK(D93),"-",$D$101/$D$98*D93)</f>
        <v>62341727.796689145</v>
      </c>
      <c r="F93" s="137">
        <v>54057613</v>
      </c>
      <c r="G93" s="139">
        <f>IF(ISBLANK(F93),"-",$D$101/$F$98*F93)</f>
        <v>62470496.771653175</v>
      </c>
      <c r="I93" s="490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>
        <v>52522362</v>
      </c>
      <c r="E94" s="143">
        <f>IF(ISBLANK(D94),"-",$D$101/$D$98*D94)</f>
        <v>62291045.659712479</v>
      </c>
      <c r="F94" s="215">
        <v>53289728</v>
      </c>
      <c r="G94" s="144">
        <f>IF(ISBLANK(F94),"-",$D$101/$F$98*F94)</f>
        <v>61583107.285670862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52540736.25</v>
      </c>
      <c r="E95" s="148">
        <f>AVERAGE(E91:E94)</f>
        <v>62312837.353804857</v>
      </c>
      <c r="F95" s="218">
        <f>AVERAGE(F91:F94)</f>
        <v>53439576.5</v>
      </c>
      <c r="G95" s="219">
        <f>AVERAGE(G91:G94)</f>
        <v>61756276.423484758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25.12</v>
      </c>
      <c r="E96" s="140"/>
      <c r="F96" s="152">
        <v>25.78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23.482631483386797</v>
      </c>
      <c r="E97" s="155"/>
      <c r="F97" s="154">
        <f>F96*$B$87</f>
        <v>24.09961145070508</v>
      </c>
    </row>
    <row r="98" spans="1:10" ht="19.5" customHeight="1" x14ac:dyDescent="0.3">
      <c r="A98" s="124" t="s">
        <v>76</v>
      </c>
      <c r="B98" s="224">
        <f>(B97/B96)*(B95/B94)*(B93/B92)*(B91/B90)*B89</f>
        <v>1250</v>
      </c>
      <c r="C98" s="222" t="s">
        <v>115</v>
      </c>
      <c r="D98" s="225">
        <f>D97*$B$83/100</f>
        <v>23.421576641529992</v>
      </c>
      <c r="E98" s="158"/>
      <c r="F98" s="157">
        <f>F97*$B$83/100</f>
        <v>24.036952460933243</v>
      </c>
    </row>
    <row r="99" spans="1:10" ht="19.5" customHeight="1" x14ac:dyDescent="0.3">
      <c r="A99" s="476" t="s">
        <v>78</v>
      </c>
      <c r="B99" s="491"/>
      <c r="C99" s="222" t="s">
        <v>116</v>
      </c>
      <c r="D99" s="226">
        <f>D98/$B$98</f>
        <v>1.8737261313223993E-2</v>
      </c>
      <c r="E99" s="158"/>
      <c r="F99" s="161">
        <f>F98/$B$98</f>
        <v>1.9229561968746596E-2</v>
      </c>
      <c r="G99" s="227"/>
      <c r="H99" s="150"/>
    </row>
    <row r="100" spans="1:10" ht="19.5" customHeight="1" x14ac:dyDescent="0.3">
      <c r="A100" s="478"/>
      <c r="B100" s="492"/>
      <c r="C100" s="222" t="s">
        <v>80</v>
      </c>
      <c r="D100" s="228">
        <f>$B$56/$B$116</f>
        <v>2.2222222222222223E-2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27.777777777777779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27.777777777777779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62034556.888644807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7.0184870796217271E-3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8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5</v>
      </c>
      <c r="C108" s="243">
        <v>1</v>
      </c>
      <c r="D108" s="244">
        <v>87619284</v>
      </c>
      <c r="E108" s="275">
        <f t="shared" ref="E108:E113" si="1">IF(ISBLANK(D108),"-",D108/$D$103*$D$100*$B$116)</f>
        <v>282.48540295784198</v>
      </c>
      <c r="F108" s="245">
        <f t="shared" ref="F108:F113" si="2">IF(ISBLANK(D108), "-", E108/$B$56)</f>
        <v>1.41242701478921</v>
      </c>
    </row>
    <row r="109" spans="1:10" ht="26.25" customHeight="1" x14ac:dyDescent="0.4">
      <c r="A109" s="124" t="s">
        <v>95</v>
      </c>
      <c r="B109" s="125">
        <v>50</v>
      </c>
      <c r="C109" s="243">
        <v>2</v>
      </c>
      <c r="D109" s="244">
        <v>87231228</v>
      </c>
      <c r="E109" s="276">
        <f t="shared" si="1"/>
        <v>281.234306731922</v>
      </c>
      <c r="F109" s="246">
        <f t="shared" si="2"/>
        <v>1.4061715336596101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87224653</v>
      </c>
      <c r="E110" s="276">
        <f t="shared" si="1"/>
        <v>281.21310886953768</v>
      </c>
      <c r="F110" s="246">
        <f t="shared" si="2"/>
        <v>1.4060655443476884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86491264</v>
      </c>
      <c r="E111" s="276">
        <f t="shared" si="1"/>
        <v>278.84865577505855</v>
      </c>
      <c r="F111" s="246">
        <f t="shared" si="2"/>
        <v>1.3942432788752928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88080316</v>
      </c>
      <c r="E112" s="276">
        <f t="shared" si="1"/>
        <v>283.97177450016659</v>
      </c>
      <c r="F112" s="246">
        <f t="shared" si="2"/>
        <v>1.419858872500833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87568449</v>
      </c>
      <c r="E113" s="277">
        <f t="shared" si="1"/>
        <v>282.32151043551363</v>
      </c>
      <c r="F113" s="249">
        <f t="shared" si="2"/>
        <v>1.4116075521775682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281.67912654500674</v>
      </c>
      <c r="F115" s="252">
        <f>AVERAGE(F108:F113)</f>
        <v>1.4083956327250338</v>
      </c>
    </row>
    <row r="116" spans="1:10" ht="27" customHeight="1" x14ac:dyDescent="0.4">
      <c r="A116" s="124" t="s">
        <v>103</v>
      </c>
      <c r="B116" s="156">
        <f>(B115/B114)*(B113/B112)*(B111/B110)*(B109/B108)*B107</f>
        <v>9000</v>
      </c>
      <c r="C116" s="253"/>
      <c r="D116" s="216" t="s">
        <v>84</v>
      </c>
      <c r="E116" s="254">
        <f>STDEV(E108:E113)/E115</f>
        <v>6.0966490078911669E-3</v>
      </c>
      <c r="F116" s="254">
        <f>STDEV(F108:F113)/F115</f>
        <v>6.0966490078911669E-3</v>
      </c>
      <c r="I116" s="98"/>
    </row>
    <row r="117" spans="1:10" ht="27" customHeight="1" x14ac:dyDescent="0.4">
      <c r="A117" s="476" t="s">
        <v>78</v>
      </c>
      <c r="B117" s="477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478"/>
      <c r="B118" s="479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480" t="str">
        <f>B20</f>
        <v xml:space="preserve">Metronidazole </v>
      </c>
      <c r="D120" s="480"/>
      <c r="E120" s="205" t="s">
        <v>124</v>
      </c>
      <c r="F120" s="205"/>
      <c r="G120" s="206">
        <f>F115</f>
        <v>1.4083956327250338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481" t="s">
        <v>26</v>
      </c>
      <c r="C122" s="481"/>
      <c r="E122" s="211" t="s">
        <v>27</v>
      </c>
      <c r="F122" s="260"/>
      <c r="G122" s="481" t="s">
        <v>28</v>
      </c>
      <c r="H122" s="481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28" zoomScale="50" zoomScaleNormal="40" zoomScalePageLayoutView="50" workbookViewId="0">
      <selection activeCell="F41" sqref="F4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4" t="s">
        <v>45</v>
      </c>
      <c r="B1" s="474"/>
      <c r="C1" s="474"/>
      <c r="D1" s="474"/>
      <c r="E1" s="474"/>
      <c r="F1" s="474"/>
      <c r="G1" s="474"/>
      <c r="H1" s="474"/>
      <c r="I1" s="474"/>
    </row>
    <row r="2" spans="1:9" ht="18.75" customHeight="1" x14ac:dyDescent="0.25">
      <c r="A2" s="474"/>
      <c r="B2" s="474"/>
      <c r="C2" s="474"/>
      <c r="D2" s="474"/>
      <c r="E2" s="474"/>
      <c r="F2" s="474"/>
      <c r="G2" s="474"/>
      <c r="H2" s="474"/>
      <c r="I2" s="474"/>
    </row>
    <row r="3" spans="1:9" ht="18.75" customHeight="1" x14ac:dyDescent="0.25">
      <c r="A3" s="474"/>
      <c r="B3" s="474"/>
      <c r="C3" s="474"/>
      <c r="D3" s="474"/>
      <c r="E3" s="474"/>
      <c r="F3" s="474"/>
      <c r="G3" s="474"/>
      <c r="H3" s="474"/>
      <c r="I3" s="474"/>
    </row>
    <row r="4" spans="1:9" ht="18.75" customHeight="1" x14ac:dyDescent="0.25">
      <c r="A4" s="474"/>
      <c r="B4" s="474"/>
      <c r="C4" s="474"/>
      <c r="D4" s="474"/>
      <c r="E4" s="474"/>
      <c r="F4" s="474"/>
      <c r="G4" s="474"/>
      <c r="H4" s="474"/>
      <c r="I4" s="474"/>
    </row>
    <row r="5" spans="1:9" ht="18.75" customHeight="1" x14ac:dyDescent="0.25">
      <c r="A5" s="474"/>
      <c r="B5" s="474"/>
      <c r="C5" s="474"/>
      <c r="D5" s="474"/>
      <c r="E5" s="474"/>
      <c r="F5" s="474"/>
      <c r="G5" s="474"/>
      <c r="H5" s="474"/>
      <c r="I5" s="474"/>
    </row>
    <row r="6" spans="1:9" ht="18.75" customHeight="1" x14ac:dyDescent="0.25">
      <c r="A6" s="474"/>
      <c r="B6" s="474"/>
      <c r="C6" s="474"/>
      <c r="D6" s="474"/>
      <c r="E6" s="474"/>
      <c r="F6" s="474"/>
      <c r="G6" s="474"/>
      <c r="H6" s="474"/>
      <c r="I6" s="474"/>
    </row>
    <row r="7" spans="1:9" ht="18.75" customHeight="1" x14ac:dyDescent="0.25">
      <c r="A7" s="474"/>
      <c r="B7" s="474"/>
      <c r="C7" s="474"/>
      <c r="D7" s="474"/>
      <c r="E7" s="474"/>
      <c r="F7" s="474"/>
      <c r="G7" s="474"/>
      <c r="H7" s="474"/>
      <c r="I7" s="474"/>
    </row>
    <row r="8" spans="1:9" x14ac:dyDescent="0.25">
      <c r="A8" s="475" t="s">
        <v>46</v>
      </c>
      <c r="B8" s="475"/>
      <c r="C8" s="475"/>
      <c r="D8" s="475"/>
      <c r="E8" s="475"/>
      <c r="F8" s="475"/>
      <c r="G8" s="475"/>
      <c r="H8" s="475"/>
      <c r="I8" s="475"/>
    </row>
    <row r="9" spans="1:9" x14ac:dyDescent="0.25">
      <c r="A9" s="475"/>
      <c r="B9" s="475"/>
      <c r="C9" s="475"/>
      <c r="D9" s="475"/>
      <c r="E9" s="475"/>
      <c r="F9" s="475"/>
      <c r="G9" s="475"/>
      <c r="H9" s="475"/>
      <c r="I9" s="475"/>
    </row>
    <row r="10" spans="1:9" x14ac:dyDescent="0.25">
      <c r="A10" s="475"/>
      <c r="B10" s="475"/>
      <c r="C10" s="475"/>
      <c r="D10" s="475"/>
      <c r="E10" s="475"/>
      <c r="F10" s="475"/>
      <c r="G10" s="475"/>
      <c r="H10" s="475"/>
      <c r="I10" s="475"/>
    </row>
    <row r="11" spans="1:9" x14ac:dyDescent="0.25">
      <c r="A11" s="475"/>
      <c r="B11" s="475"/>
      <c r="C11" s="475"/>
      <c r="D11" s="475"/>
      <c r="E11" s="475"/>
      <c r="F11" s="475"/>
      <c r="G11" s="475"/>
      <c r="H11" s="475"/>
      <c r="I11" s="475"/>
    </row>
    <row r="12" spans="1:9" x14ac:dyDescent="0.25">
      <c r="A12" s="475"/>
      <c r="B12" s="475"/>
      <c r="C12" s="475"/>
      <c r="D12" s="475"/>
      <c r="E12" s="475"/>
      <c r="F12" s="475"/>
      <c r="G12" s="475"/>
      <c r="H12" s="475"/>
      <c r="I12" s="475"/>
    </row>
    <row r="13" spans="1:9" x14ac:dyDescent="0.25">
      <c r="A13" s="475"/>
      <c r="B13" s="475"/>
      <c r="C13" s="475"/>
      <c r="D13" s="475"/>
      <c r="E13" s="475"/>
      <c r="F13" s="475"/>
      <c r="G13" s="475"/>
      <c r="H13" s="475"/>
      <c r="I13" s="475"/>
    </row>
    <row r="14" spans="1:9" x14ac:dyDescent="0.25">
      <c r="A14" s="475"/>
      <c r="B14" s="475"/>
      <c r="C14" s="475"/>
      <c r="D14" s="475"/>
      <c r="E14" s="475"/>
      <c r="F14" s="475"/>
      <c r="G14" s="475"/>
      <c r="H14" s="475"/>
      <c r="I14" s="475"/>
    </row>
    <row r="15" spans="1:9" ht="19.5" customHeight="1" x14ac:dyDescent="0.3">
      <c r="A15" s="281"/>
    </row>
    <row r="16" spans="1:9" ht="19.5" customHeight="1" x14ac:dyDescent="0.3">
      <c r="A16" s="508" t="s">
        <v>31</v>
      </c>
      <c r="B16" s="509"/>
      <c r="C16" s="509"/>
      <c r="D16" s="509"/>
      <c r="E16" s="509"/>
      <c r="F16" s="509"/>
      <c r="G16" s="509"/>
      <c r="H16" s="510"/>
    </row>
    <row r="17" spans="1:14" ht="20.25" customHeight="1" x14ac:dyDescent="0.25">
      <c r="A17" s="511" t="s">
        <v>47</v>
      </c>
      <c r="B17" s="511"/>
      <c r="C17" s="511"/>
      <c r="D17" s="511"/>
      <c r="E17" s="511"/>
      <c r="F17" s="511"/>
      <c r="G17" s="511"/>
      <c r="H17" s="511"/>
    </row>
    <row r="18" spans="1:14" ht="26.25" customHeight="1" x14ac:dyDescent="0.4">
      <c r="A18" s="283" t="s">
        <v>33</v>
      </c>
      <c r="B18" s="507" t="s">
        <v>5</v>
      </c>
      <c r="C18" s="507"/>
      <c r="D18" s="450"/>
      <c r="E18" s="284"/>
      <c r="F18" s="285"/>
      <c r="G18" s="285"/>
      <c r="H18" s="285"/>
    </row>
    <row r="19" spans="1:14" ht="26.25" customHeight="1" x14ac:dyDescent="0.4">
      <c r="A19" s="283" t="s">
        <v>34</v>
      </c>
      <c r="B19" s="286" t="s">
        <v>7</v>
      </c>
      <c r="C19" s="463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35</v>
      </c>
      <c r="B20" s="512" t="s">
        <v>9</v>
      </c>
      <c r="C20" s="512"/>
      <c r="D20" s="285"/>
      <c r="E20" s="285"/>
      <c r="F20" s="285"/>
      <c r="G20" s="285"/>
      <c r="H20" s="285"/>
    </row>
    <row r="21" spans="1:14" ht="26.25" customHeight="1" x14ac:dyDescent="0.4">
      <c r="A21" s="283" t="s">
        <v>36</v>
      </c>
      <c r="B21" s="512" t="s">
        <v>11</v>
      </c>
      <c r="C21" s="512"/>
      <c r="D21" s="512"/>
      <c r="E21" s="512"/>
      <c r="F21" s="512"/>
      <c r="G21" s="512"/>
      <c r="H21" s="512"/>
      <c r="I21" s="287"/>
    </row>
    <row r="22" spans="1:14" ht="26.25" customHeight="1" x14ac:dyDescent="0.4">
      <c r="A22" s="283" t="s">
        <v>37</v>
      </c>
      <c r="B22" s="288">
        <v>42578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38</v>
      </c>
      <c r="B23" s="288"/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507" t="s">
        <v>126</v>
      </c>
      <c r="C26" s="507"/>
    </row>
    <row r="27" spans="1:14" ht="26.25" customHeight="1" x14ac:dyDescent="0.4">
      <c r="A27" s="292" t="s">
        <v>48</v>
      </c>
      <c r="B27" s="505" t="s">
        <v>125</v>
      </c>
      <c r="C27" s="505"/>
    </row>
    <row r="28" spans="1:14" ht="27" customHeight="1" x14ac:dyDescent="0.4">
      <c r="A28" s="292" t="s">
        <v>6</v>
      </c>
      <c r="B28" s="293">
        <v>99.74</v>
      </c>
    </row>
    <row r="29" spans="1:14" s="14" customFormat="1" ht="27" customHeight="1" x14ac:dyDescent="0.4">
      <c r="A29" s="292" t="s">
        <v>49</v>
      </c>
      <c r="B29" s="294">
        <v>0</v>
      </c>
      <c r="C29" s="482" t="s">
        <v>50</v>
      </c>
      <c r="D29" s="483"/>
      <c r="E29" s="483"/>
      <c r="F29" s="483"/>
      <c r="G29" s="484"/>
      <c r="I29" s="295"/>
      <c r="J29" s="295"/>
      <c r="K29" s="295"/>
      <c r="L29" s="295"/>
    </row>
    <row r="30" spans="1:14" s="14" customFormat="1" ht="19.5" customHeight="1" x14ac:dyDescent="0.3">
      <c r="A30" s="292" t="s">
        <v>51</v>
      </c>
      <c r="B30" s="296">
        <f>B28-B29</f>
        <v>99.74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52</v>
      </c>
      <c r="B31" s="299">
        <v>1</v>
      </c>
      <c r="C31" s="485" t="s">
        <v>53</v>
      </c>
      <c r="D31" s="486"/>
      <c r="E31" s="486"/>
      <c r="F31" s="486"/>
      <c r="G31" s="486"/>
      <c r="H31" s="487"/>
      <c r="I31" s="295"/>
      <c r="J31" s="295"/>
      <c r="K31" s="295"/>
      <c r="L31" s="295"/>
    </row>
    <row r="32" spans="1:14" s="14" customFormat="1" ht="27" customHeight="1" x14ac:dyDescent="0.4">
      <c r="A32" s="292" t="s">
        <v>54</v>
      </c>
      <c r="B32" s="299">
        <v>1</v>
      </c>
      <c r="C32" s="485" t="s">
        <v>55</v>
      </c>
      <c r="D32" s="486"/>
      <c r="E32" s="486"/>
      <c r="F32" s="486"/>
      <c r="G32" s="486"/>
      <c r="H32" s="487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56</v>
      </c>
      <c r="B34" s="304">
        <f>B31/B32</f>
        <v>1</v>
      </c>
      <c r="C34" s="282" t="s">
        <v>57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58</v>
      </c>
      <c r="B36" s="306">
        <v>20</v>
      </c>
      <c r="C36" s="282"/>
      <c r="D36" s="488" t="s">
        <v>59</v>
      </c>
      <c r="E36" s="506"/>
      <c r="F36" s="488" t="s">
        <v>60</v>
      </c>
      <c r="G36" s="489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61</v>
      </c>
      <c r="B37" s="308">
        <v>5</v>
      </c>
      <c r="C37" s="309" t="s">
        <v>62</v>
      </c>
      <c r="D37" s="310" t="s">
        <v>63</v>
      </c>
      <c r="E37" s="311" t="s">
        <v>64</v>
      </c>
      <c r="F37" s="310" t="s">
        <v>63</v>
      </c>
      <c r="G37" s="312" t="s">
        <v>64</v>
      </c>
      <c r="I37" s="313" t="s">
        <v>65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66</v>
      </c>
      <c r="B38" s="308">
        <v>50</v>
      </c>
      <c r="C38" s="314">
        <v>1</v>
      </c>
      <c r="D38" s="315">
        <v>0.38700000000000001</v>
      </c>
      <c r="E38" s="316">
        <f>IF(ISBLANK(D38),"-",$D$48/$D$45*D38)</f>
        <v>0.38531164144949659</v>
      </c>
      <c r="F38" s="315">
        <v>0.443</v>
      </c>
      <c r="G38" s="317">
        <f>IF(ISBLANK(F38),"-",$D$48/$F$45*F38)</f>
        <v>0.38841696763136407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67</v>
      </c>
      <c r="B39" s="308">
        <v>5</v>
      </c>
      <c r="C39" s="319">
        <v>2</v>
      </c>
      <c r="D39" s="320">
        <v>0.39100000000000001</v>
      </c>
      <c r="E39" s="321">
        <f>IF(ISBLANK(D39),"-",$D$48/$D$45*D39)</f>
        <v>0.3892941907151245</v>
      </c>
      <c r="F39" s="320">
        <v>0.443</v>
      </c>
      <c r="G39" s="322">
        <f>IF(ISBLANK(F39),"-",$D$48/$F$45*F39)</f>
        <v>0.38841696763136407</v>
      </c>
      <c r="I39" s="490">
        <f>ABS((F43/D43*D42)-F42)/D42</f>
        <v>1.1438700428040122E-4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68</v>
      </c>
      <c r="B40" s="308">
        <v>50</v>
      </c>
      <c r="C40" s="319">
        <v>3</v>
      </c>
      <c r="D40" s="320">
        <v>0.39400000000000002</v>
      </c>
      <c r="E40" s="321">
        <f>IF(ISBLANK(D40),"-",$D$48/$D$45*D40)</f>
        <v>0.3922811026643454</v>
      </c>
      <c r="F40" s="320">
        <v>0.44500000000000001</v>
      </c>
      <c r="G40" s="322">
        <f>IF(ISBLANK(F40),"-",$D$48/$F$45*F40)</f>
        <v>0.39017054310599775</v>
      </c>
      <c r="I40" s="490"/>
      <c r="L40" s="300"/>
      <c r="M40" s="300"/>
      <c r="N40" s="323"/>
    </row>
    <row r="41" spans="1:14" ht="27" customHeight="1" x14ac:dyDescent="0.4">
      <c r="A41" s="307" t="s">
        <v>69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70</v>
      </c>
      <c r="B42" s="308">
        <v>1</v>
      </c>
      <c r="C42" s="329" t="s">
        <v>71</v>
      </c>
      <c r="D42" s="330">
        <f>AVERAGE(D38:D41)</f>
        <v>0.39066666666666672</v>
      </c>
      <c r="E42" s="331">
        <f>AVERAGE(E38:E41)</f>
        <v>0.3889623116096555</v>
      </c>
      <c r="F42" s="330">
        <f>AVERAGE(F38:F41)</f>
        <v>0.44366666666666665</v>
      </c>
      <c r="G42" s="332">
        <f>AVERAGE(G38:G41)</f>
        <v>0.3890014927895753</v>
      </c>
      <c r="H42" s="333"/>
    </row>
    <row r="43" spans="1:14" ht="26.25" customHeight="1" x14ac:dyDescent="0.4">
      <c r="A43" s="307" t="s">
        <v>72</v>
      </c>
      <c r="B43" s="308">
        <v>1</v>
      </c>
      <c r="C43" s="334" t="s">
        <v>73</v>
      </c>
      <c r="D43" s="335">
        <v>20.14</v>
      </c>
      <c r="E43" s="323"/>
      <c r="F43" s="335">
        <v>22.87</v>
      </c>
      <c r="H43" s="333"/>
    </row>
    <row r="44" spans="1:14" ht="26.25" customHeight="1" x14ac:dyDescent="0.4">
      <c r="A44" s="307" t="s">
        <v>74</v>
      </c>
      <c r="B44" s="308">
        <v>1</v>
      </c>
      <c r="C44" s="336" t="s">
        <v>75</v>
      </c>
      <c r="D44" s="337">
        <f>D43*$B$34</f>
        <v>20.14</v>
      </c>
      <c r="E44" s="338"/>
      <c r="F44" s="337">
        <f>F43*$B$34</f>
        <v>22.87</v>
      </c>
      <c r="H44" s="333"/>
    </row>
    <row r="45" spans="1:14" ht="19.5" customHeight="1" x14ac:dyDescent="0.3">
      <c r="A45" s="307" t="s">
        <v>76</v>
      </c>
      <c r="B45" s="339">
        <f>(B44/B43)*(B42/B41)*(B40/B39)*(B38/B37)*B36</f>
        <v>2000</v>
      </c>
      <c r="C45" s="336" t="s">
        <v>77</v>
      </c>
      <c r="D45" s="340">
        <f>D44*$B$30/100</f>
        <v>20.087636</v>
      </c>
      <c r="E45" s="341"/>
      <c r="F45" s="340">
        <f>F44*$B$30/100</f>
        <v>22.810538000000001</v>
      </c>
      <c r="H45" s="333"/>
    </row>
    <row r="46" spans="1:14" ht="19.5" customHeight="1" x14ac:dyDescent="0.3">
      <c r="A46" s="476" t="s">
        <v>78</v>
      </c>
      <c r="B46" s="477"/>
      <c r="C46" s="336" t="s">
        <v>79</v>
      </c>
      <c r="D46" s="342">
        <f>D45/$B$45</f>
        <v>1.0043817999999999E-2</v>
      </c>
      <c r="E46" s="343"/>
      <c r="F46" s="344">
        <f>F45/$B$45</f>
        <v>1.1405269000000001E-2</v>
      </c>
      <c r="H46" s="333"/>
    </row>
    <row r="47" spans="1:14" ht="27" customHeight="1" x14ac:dyDescent="0.4">
      <c r="A47" s="478"/>
      <c r="B47" s="479"/>
      <c r="C47" s="345" t="s">
        <v>80</v>
      </c>
      <c r="D47" s="346">
        <v>0.01</v>
      </c>
      <c r="E47" s="347"/>
      <c r="F47" s="343"/>
      <c r="H47" s="333"/>
    </row>
    <row r="48" spans="1:14" ht="18.75" x14ac:dyDescent="0.3">
      <c r="C48" s="348" t="s">
        <v>81</v>
      </c>
      <c r="D48" s="340">
        <f>D47*$B$45</f>
        <v>20</v>
      </c>
      <c r="F48" s="349"/>
      <c r="H48" s="333"/>
    </row>
    <row r="49" spans="1:12" ht="19.5" customHeight="1" x14ac:dyDescent="0.3">
      <c r="C49" s="350" t="s">
        <v>82</v>
      </c>
      <c r="D49" s="351">
        <f>D48/B34</f>
        <v>20</v>
      </c>
      <c r="F49" s="349"/>
      <c r="H49" s="333"/>
    </row>
    <row r="50" spans="1:12" ht="18.75" x14ac:dyDescent="0.3">
      <c r="C50" s="305" t="s">
        <v>83</v>
      </c>
      <c r="D50" s="352">
        <f>AVERAGE(E38:E41,G38:G41)</f>
        <v>0.38898190219961543</v>
      </c>
      <c r="F50" s="353"/>
      <c r="H50" s="333"/>
    </row>
    <row r="51" spans="1:12" ht="18.75" x14ac:dyDescent="0.3">
      <c r="C51" s="307" t="s">
        <v>84</v>
      </c>
      <c r="D51" s="354">
        <f>STDEV(E38:E41,G38:G41)/D50</f>
        <v>5.9189300453898969E-3</v>
      </c>
      <c r="F51" s="353"/>
      <c r="H51" s="333"/>
    </row>
    <row r="52" spans="1:12" ht="19.5" customHeight="1" x14ac:dyDescent="0.3">
      <c r="C52" s="355" t="s">
        <v>20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85</v>
      </c>
    </row>
    <row r="55" spans="1:12" ht="18.75" x14ac:dyDescent="0.3">
      <c r="A55" s="282" t="s">
        <v>86</v>
      </c>
      <c r="B55" s="359" t="str">
        <f>B21</f>
        <v>Diloxanide Futoate B.P 250 mg Metronidazole B.P 200 mg</v>
      </c>
    </row>
    <row r="56" spans="1:12" ht="26.25" customHeight="1" x14ac:dyDescent="0.4">
      <c r="A56" s="360" t="s">
        <v>87</v>
      </c>
      <c r="B56" s="361">
        <v>300</v>
      </c>
      <c r="C56" s="282" t="str">
        <f>B20</f>
        <v>Diloxanide Futoate B.P, Metronidazole B.P</v>
      </c>
      <c r="H56" s="362"/>
    </row>
    <row r="57" spans="1:12" ht="18.75" x14ac:dyDescent="0.3">
      <c r="A57" s="359" t="s">
        <v>88</v>
      </c>
      <c r="B57" s="451">
        <f>Uniformity!C46</f>
        <v>655.50450000000001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89</v>
      </c>
      <c r="B59" s="306">
        <v>50</v>
      </c>
      <c r="C59" s="282"/>
      <c r="D59" s="363" t="s">
        <v>90</v>
      </c>
      <c r="E59" s="364" t="s">
        <v>62</v>
      </c>
      <c r="F59" s="364" t="s">
        <v>63</v>
      </c>
      <c r="G59" s="364" t="s">
        <v>91</v>
      </c>
      <c r="H59" s="309" t="s">
        <v>92</v>
      </c>
      <c r="L59" s="295"/>
    </row>
    <row r="60" spans="1:12" s="14" customFormat="1" ht="26.25" customHeight="1" x14ac:dyDescent="0.4">
      <c r="A60" s="307" t="s">
        <v>93</v>
      </c>
      <c r="B60" s="308">
        <v>4</v>
      </c>
      <c r="C60" s="493" t="s">
        <v>94</v>
      </c>
      <c r="D60" s="496">
        <v>90.52</v>
      </c>
      <c r="E60" s="365">
        <v>1</v>
      </c>
      <c r="F60" s="366">
        <v>55899703</v>
      </c>
      <c r="G60" s="452">
        <f>IF(ISBLANK(F60),"-",(F60/$D$50*$D$47*$B$68)*($B$57/$D$60))</f>
        <v>26016642274.4519</v>
      </c>
      <c r="H60" s="367">
        <f t="shared" ref="H60:H71" si="0">IF(ISBLANK(F60),"-",G60/$B$56)</f>
        <v>86722140.91483967</v>
      </c>
      <c r="L60" s="295"/>
    </row>
    <row r="61" spans="1:12" s="14" customFormat="1" ht="26.25" customHeight="1" x14ac:dyDescent="0.4">
      <c r="A61" s="307" t="s">
        <v>95</v>
      </c>
      <c r="B61" s="308">
        <v>200</v>
      </c>
      <c r="C61" s="494"/>
      <c r="D61" s="497"/>
      <c r="E61" s="368">
        <v>2</v>
      </c>
      <c r="F61" s="320">
        <v>56207803</v>
      </c>
      <c r="G61" s="453">
        <f>IF(ISBLANK(F61),"-",(F61/$D$50*$D$47*$B$68)*($B$57/$D$60))</f>
        <v>26160037087.92271</v>
      </c>
      <c r="H61" s="369">
        <f t="shared" si="0"/>
        <v>87200123.626409039</v>
      </c>
      <c r="L61" s="295"/>
    </row>
    <row r="62" spans="1:12" s="14" customFormat="1" ht="26.25" customHeight="1" x14ac:dyDescent="0.4">
      <c r="A62" s="307" t="s">
        <v>96</v>
      </c>
      <c r="B62" s="308">
        <v>1</v>
      </c>
      <c r="C62" s="494"/>
      <c r="D62" s="497"/>
      <c r="E62" s="368">
        <v>3</v>
      </c>
      <c r="F62" s="370">
        <v>54857529</v>
      </c>
      <c r="G62" s="453">
        <f>IF(ISBLANK(F62),"-",(F62/$D$50*$D$47*$B$68)*($B$57/$D$60))</f>
        <v>25531597333.412865</v>
      </c>
      <c r="H62" s="369">
        <f t="shared" si="0"/>
        <v>85105324.444709554</v>
      </c>
      <c r="L62" s="295"/>
    </row>
    <row r="63" spans="1:12" ht="27" customHeight="1" x14ac:dyDescent="0.4">
      <c r="A63" s="307" t="s">
        <v>97</v>
      </c>
      <c r="B63" s="308">
        <v>1</v>
      </c>
      <c r="C63" s="504"/>
      <c r="D63" s="498"/>
      <c r="E63" s="371">
        <v>4</v>
      </c>
      <c r="F63" s="372">
        <v>55899703</v>
      </c>
      <c r="G63" s="453">
        <f>IF(ISBLANK(F63),"-",(F63/$D$50*$D$47*$B$68)*($B$57/$D$60))</f>
        <v>26016642274.4519</v>
      </c>
      <c r="H63" s="369">
        <f t="shared" si="0"/>
        <v>86722140.91483967</v>
      </c>
    </row>
    <row r="64" spans="1:12" ht="26.25" customHeight="1" x14ac:dyDescent="0.4">
      <c r="A64" s="307" t="s">
        <v>98</v>
      </c>
      <c r="B64" s="308">
        <v>1</v>
      </c>
      <c r="C64" s="493" t="s">
        <v>99</v>
      </c>
      <c r="D64" s="496">
        <v>87.21</v>
      </c>
      <c r="E64" s="365">
        <v>1</v>
      </c>
      <c r="F64" s="366">
        <v>54374410</v>
      </c>
      <c r="G64" s="454">
        <f>IF(ISBLANK(F64),"-",(F64/$D$50*$D$47*$B$68)*($B$57/$D$64))</f>
        <v>26267247212.378696</v>
      </c>
      <c r="H64" s="373">
        <f t="shared" si="0"/>
        <v>87557490.707928985</v>
      </c>
    </row>
    <row r="65" spans="1:8" ht="26.25" customHeight="1" x14ac:dyDescent="0.4">
      <c r="A65" s="307" t="s">
        <v>100</v>
      </c>
      <c r="B65" s="308">
        <v>1</v>
      </c>
      <c r="C65" s="494"/>
      <c r="D65" s="497"/>
      <c r="E65" s="368">
        <v>2</v>
      </c>
      <c r="F65" s="320">
        <v>55245409</v>
      </c>
      <c r="G65" s="455">
        <f>IF(ISBLANK(F65),"-",(F65/$D$50*$D$47*$B$68)*($B$57/$D$64))</f>
        <v>26688010326.033352</v>
      </c>
      <c r="H65" s="374">
        <f t="shared" si="0"/>
        <v>88960034.420111179</v>
      </c>
    </row>
    <row r="66" spans="1:8" ht="26.25" customHeight="1" x14ac:dyDescent="0.4">
      <c r="A66" s="307" t="s">
        <v>101</v>
      </c>
      <c r="B66" s="308">
        <v>1</v>
      </c>
      <c r="C66" s="494"/>
      <c r="D66" s="497"/>
      <c r="E66" s="368">
        <v>3</v>
      </c>
      <c r="F66" s="320">
        <v>54431185</v>
      </c>
      <c r="G66" s="455">
        <f>IF(ISBLANK(F66),"-",(F66/$D$50*$D$47*$B$68)*($B$57/$D$64))</f>
        <v>26294674139.134918</v>
      </c>
      <c r="H66" s="374">
        <f t="shared" si="0"/>
        <v>87648913.797116399</v>
      </c>
    </row>
    <row r="67" spans="1:8" ht="27" customHeight="1" x14ac:dyDescent="0.4">
      <c r="A67" s="307" t="s">
        <v>102</v>
      </c>
      <c r="B67" s="308">
        <v>1</v>
      </c>
      <c r="C67" s="504"/>
      <c r="D67" s="498"/>
      <c r="E67" s="371">
        <v>4</v>
      </c>
      <c r="F67" s="372">
        <v>54374410</v>
      </c>
      <c r="G67" s="456">
        <f>IF(ISBLANK(F67),"-",(F67/$D$50*$D$47*$B$68)*($B$57/$D$64))</f>
        <v>26267247212.378696</v>
      </c>
      <c r="H67" s="375">
        <f t="shared" si="0"/>
        <v>87557490.707928985</v>
      </c>
    </row>
    <row r="68" spans="1:8" ht="26.25" customHeight="1" x14ac:dyDescent="0.4">
      <c r="A68" s="307" t="s">
        <v>103</v>
      </c>
      <c r="B68" s="376">
        <f>(B67/B66)*(B65/B64)*(B63/B62)*(B61/B60)*B59</f>
        <v>2500</v>
      </c>
      <c r="C68" s="493" t="s">
        <v>104</v>
      </c>
      <c r="D68" s="496">
        <v>105.17</v>
      </c>
      <c r="E68" s="365">
        <v>1</v>
      </c>
      <c r="F68" s="366">
        <v>63256003</v>
      </c>
      <c r="G68" s="454">
        <f>IF(ISBLANK(F68),"-",(F68/$D$50*$D$47*$B$68)*($B$57/$D$68))</f>
        <v>25339390407.494492</v>
      </c>
      <c r="H68" s="369">
        <f t="shared" si="0"/>
        <v>84464634.691648304</v>
      </c>
    </row>
    <row r="69" spans="1:8" ht="27" customHeight="1" x14ac:dyDescent="0.4">
      <c r="A69" s="355" t="s">
        <v>105</v>
      </c>
      <c r="B69" s="377">
        <f>(D47*B68)/B56*B57</f>
        <v>54.625374999999998</v>
      </c>
      <c r="C69" s="494"/>
      <c r="D69" s="497"/>
      <c r="E69" s="368">
        <v>2</v>
      </c>
      <c r="F69" s="320">
        <v>63562552</v>
      </c>
      <c r="G69" s="455">
        <f>IF(ISBLANK(F69),"-",(F69/$D$50*$D$47*$B$68)*($B$57/$D$68))</f>
        <v>25462189263.280983</v>
      </c>
      <c r="H69" s="369">
        <f t="shared" si="0"/>
        <v>84873964.210936606</v>
      </c>
    </row>
    <row r="70" spans="1:8" ht="26.25" customHeight="1" x14ac:dyDescent="0.4">
      <c r="A70" s="499" t="s">
        <v>78</v>
      </c>
      <c r="B70" s="500"/>
      <c r="C70" s="494"/>
      <c r="D70" s="497"/>
      <c r="E70" s="368">
        <v>3</v>
      </c>
      <c r="F70" s="320">
        <v>63968506</v>
      </c>
      <c r="G70" s="455">
        <f>IF(ISBLANK(F70),"-",(F70/$D$50*$D$47*$B$68)*($B$57/$D$68))</f>
        <v>25624808246.549404</v>
      </c>
      <c r="H70" s="369">
        <f t="shared" si="0"/>
        <v>85416027.488498017</v>
      </c>
    </row>
    <row r="71" spans="1:8" ht="27" customHeight="1" x14ac:dyDescent="0.4">
      <c r="A71" s="501"/>
      <c r="B71" s="502"/>
      <c r="C71" s="495"/>
      <c r="D71" s="498"/>
      <c r="E71" s="371">
        <v>4</v>
      </c>
      <c r="F71" s="372">
        <v>63256003</v>
      </c>
      <c r="G71" s="456">
        <f>IF(ISBLANK(F71),"-",(F71/$D$50*$D$47*$B$68)*($B$57/$D$68))</f>
        <v>25339390407.494492</v>
      </c>
      <c r="H71" s="378">
        <f t="shared" si="0"/>
        <v>84464634.691648304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71</v>
      </c>
      <c r="G72" s="461">
        <f>AVERAGE(G60:G71)</f>
        <v>25917323015.415371</v>
      </c>
      <c r="H72" s="382">
        <f>AVERAGE(H60:H71)</f>
        <v>86391076.71805121</v>
      </c>
    </row>
    <row r="73" spans="1:8" ht="26.25" customHeight="1" x14ac:dyDescent="0.4">
      <c r="C73" s="379"/>
      <c r="D73" s="379"/>
      <c r="E73" s="379"/>
      <c r="F73" s="383" t="s">
        <v>84</v>
      </c>
      <c r="G73" s="457">
        <f>STDEV(G60:G71)/G72</f>
        <v>1.7134944002517489E-2</v>
      </c>
      <c r="H73" s="457">
        <f>STDEV(H60:H71)/H72</f>
        <v>1.7134944002517506E-2</v>
      </c>
    </row>
    <row r="74" spans="1:8" ht="27" customHeight="1" x14ac:dyDescent="0.4">
      <c r="A74" s="379"/>
      <c r="B74" s="379"/>
      <c r="C74" s="380"/>
      <c r="D74" s="380"/>
      <c r="E74" s="384"/>
      <c r="F74" s="385" t="s">
        <v>20</v>
      </c>
      <c r="G74" s="386">
        <f>COUNT(G60:G71)</f>
        <v>12</v>
      </c>
      <c r="H74" s="386">
        <f>COUNT(H60:H71)</f>
        <v>12</v>
      </c>
    </row>
    <row r="76" spans="1:8" ht="26.25" customHeight="1" x14ac:dyDescent="0.4">
      <c r="A76" s="291" t="s">
        <v>106</v>
      </c>
      <c r="B76" s="387" t="s">
        <v>107</v>
      </c>
      <c r="C76" s="480" t="str">
        <f>B20</f>
        <v>Diloxanide Futoate B.P, Metronidazole B.P</v>
      </c>
      <c r="D76" s="480"/>
      <c r="E76" s="388" t="s">
        <v>108</v>
      </c>
      <c r="F76" s="388"/>
      <c r="G76" s="389">
        <f>H72</f>
        <v>86391076.71805121</v>
      </c>
      <c r="H76" s="390"/>
    </row>
    <row r="77" spans="1:8" ht="18.75" x14ac:dyDescent="0.3">
      <c r="A77" s="290" t="s">
        <v>109</v>
      </c>
      <c r="B77" s="290" t="s">
        <v>110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503" t="str">
        <f>B26</f>
        <v>Metronidazole</v>
      </c>
      <c r="C79" s="503"/>
    </row>
    <row r="80" spans="1:8" ht="26.25" customHeight="1" x14ac:dyDescent="0.4">
      <c r="A80" s="292" t="s">
        <v>48</v>
      </c>
      <c r="B80" s="503" t="str">
        <f>B27</f>
        <v>M2-3</v>
      </c>
      <c r="C80" s="503"/>
    </row>
    <row r="81" spans="1:12" ht="27" customHeight="1" x14ac:dyDescent="0.4">
      <c r="A81" s="292" t="s">
        <v>6</v>
      </c>
      <c r="B81" s="391">
        <f>B28</f>
        <v>99.74</v>
      </c>
    </row>
    <row r="82" spans="1:12" s="14" customFormat="1" ht="27" customHeight="1" x14ac:dyDescent="0.4">
      <c r="A82" s="292" t="s">
        <v>49</v>
      </c>
      <c r="B82" s="294">
        <v>0</v>
      </c>
      <c r="C82" s="482" t="s">
        <v>50</v>
      </c>
      <c r="D82" s="483"/>
      <c r="E82" s="483"/>
      <c r="F82" s="483"/>
      <c r="G82" s="484"/>
      <c r="I82" s="295"/>
      <c r="J82" s="295"/>
      <c r="K82" s="295"/>
      <c r="L82" s="295"/>
    </row>
    <row r="83" spans="1:12" s="14" customFormat="1" ht="19.5" customHeight="1" x14ac:dyDescent="0.3">
      <c r="A83" s="292" t="s">
        <v>51</v>
      </c>
      <c r="B83" s="296">
        <f>B81-B82</f>
        <v>99.74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52</v>
      </c>
      <c r="B84" s="299">
        <v>154.46</v>
      </c>
      <c r="C84" s="485" t="s">
        <v>111</v>
      </c>
      <c r="D84" s="486"/>
      <c r="E84" s="486"/>
      <c r="F84" s="486"/>
      <c r="G84" s="486"/>
      <c r="H84" s="487"/>
      <c r="I84" s="295"/>
      <c r="J84" s="295"/>
      <c r="K84" s="295"/>
      <c r="L84" s="295"/>
    </row>
    <row r="85" spans="1:12" s="14" customFormat="1" ht="27" customHeight="1" x14ac:dyDescent="0.4">
      <c r="A85" s="292" t="s">
        <v>54</v>
      </c>
      <c r="B85" s="299">
        <v>165.23</v>
      </c>
      <c r="C85" s="485" t="s">
        <v>112</v>
      </c>
      <c r="D85" s="486"/>
      <c r="E85" s="486"/>
      <c r="F85" s="486"/>
      <c r="G85" s="486"/>
      <c r="H85" s="487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56</v>
      </c>
      <c r="B87" s="304">
        <f>B84/B85</f>
        <v>0.93481813230042976</v>
      </c>
      <c r="C87" s="282" t="s">
        <v>57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58</v>
      </c>
      <c r="B89" s="306">
        <v>25</v>
      </c>
      <c r="D89" s="392" t="s">
        <v>59</v>
      </c>
      <c r="E89" s="393"/>
      <c r="F89" s="488" t="s">
        <v>60</v>
      </c>
      <c r="G89" s="489"/>
    </row>
    <row r="90" spans="1:12" ht="27" customHeight="1" x14ac:dyDescent="0.4">
      <c r="A90" s="307" t="s">
        <v>61</v>
      </c>
      <c r="B90" s="308">
        <v>4</v>
      </c>
      <c r="C90" s="394" t="s">
        <v>62</v>
      </c>
      <c r="D90" s="310" t="s">
        <v>63</v>
      </c>
      <c r="E90" s="311" t="s">
        <v>64</v>
      </c>
      <c r="F90" s="310" t="s">
        <v>63</v>
      </c>
      <c r="G90" s="395" t="s">
        <v>64</v>
      </c>
      <c r="I90" s="313" t="s">
        <v>65</v>
      </c>
    </row>
    <row r="91" spans="1:12" ht="26.25" customHeight="1" x14ac:dyDescent="0.4">
      <c r="A91" s="307" t="s">
        <v>66</v>
      </c>
      <c r="B91" s="308">
        <v>200</v>
      </c>
      <c r="C91" s="396">
        <v>1</v>
      </c>
      <c r="D91" s="315">
        <v>52522362</v>
      </c>
      <c r="E91" s="316">
        <f>IF(ISBLANK(D91),"-",$D$101/$D$98*D91)</f>
        <v>93436568.48956871</v>
      </c>
      <c r="F91" s="315">
        <v>53289728</v>
      </c>
      <c r="G91" s="317">
        <f>IF(ISBLANK(F91),"-",$D$101/$F$98*F91)</f>
        <v>92374660.9285063</v>
      </c>
      <c r="I91" s="318"/>
    </row>
    <row r="92" spans="1:12" ht="26.25" customHeight="1" x14ac:dyDescent="0.4">
      <c r="A92" s="307" t="s">
        <v>67</v>
      </c>
      <c r="B92" s="308">
        <v>1</v>
      </c>
      <c r="C92" s="380">
        <v>2</v>
      </c>
      <c r="D92" s="320">
        <v>52553125</v>
      </c>
      <c r="E92" s="321">
        <f>IF(ISBLANK(D92),"-",$D$101/$D$98*D92)</f>
        <v>93491295.44865796</v>
      </c>
      <c r="F92" s="320">
        <v>53121237</v>
      </c>
      <c r="G92" s="322">
        <f>IF(ISBLANK(F92),"-",$D$101/$F$98*F92)</f>
        <v>92082591.526416183</v>
      </c>
      <c r="I92" s="490">
        <f>ABS((F96/D96*D95)-F95)/D95</f>
        <v>9.1663928758481394E-3</v>
      </c>
    </row>
    <row r="93" spans="1:12" ht="26.25" customHeight="1" x14ac:dyDescent="0.4">
      <c r="A93" s="307" t="s">
        <v>68</v>
      </c>
      <c r="B93" s="308">
        <v>1</v>
      </c>
      <c r="C93" s="380">
        <v>3</v>
      </c>
      <c r="D93" s="320">
        <v>52565096</v>
      </c>
      <c r="E93" s="321">
        <f>IF(ISBLANK(D93),"-",$D$101/$D$98*D93)</f>
        <v>93512591.695033714</v>
      </c>
      <c r="F93" s="320">
        <v>54057613</v>
      </c>
      <c r="G93" s="322">
        <f>IF(ISBLANK(F93),"-",$D$101/$F$98*F93)</f>
        <v>93705745.157479763</v>
      </c>
      <c r="I93" s="490"/>
    </row>
    <row r="94" spans="1:12" ht="27" customHeight="1" x14ac:dyDescent="0.4">
      <c r="A94" s="307" t="s">
        <v>69</v>
      </c>
      <c r="B94" s="308">
        <v>1</v>
      </c>
      <c r="C94" s="397">
        <v>4</v>
      </c>
      <c r="D94" s="325">
        <v>52522362</v>
      </c>
      <c r="E94" s="326">
        <f>IF(ISBLANK(D94),"-",$D$101/$D$98*D94)</f>
        <v>93436568.48956871</v>
      </c>
      <c r="F94" s="398">
        <v>53289728</v>
      </c>
      <c r="G94" s="327">
        <f>IF(ISBLANK(F94),"-",$D$101/$F$98*F94)</f>
        <v>92374660.9285063</v>
      </c>
      <c r="I94" s="328"/>
    </row>
    <row r="95" spans="1:12" ht="27" customHeight="1" x14ac:dyDescent="0.4">
      <c r="A95" s="307" t="s">
        <v>70</v>
      </c>
      <c r="B95" s="308">
        <v>1</v>
      </c>
      <c r="C95" s="399" t="s">
        <v>71</v>
      </c>
      <c r="D95" s="400">
        <f>AVERAGE(D91:D94)</f>
        <v>52540736.25</v>
      </c>
      <c r="E95" s="331">
        <f>AVERAGE(E91:E94)</f>
        <v>93469256.03070727</v>
      </c>
      <c r="F95" s="401">
        <f>AVERAGE(F91:F94)</f>
        <v>53439576.5</v>
      </c>
      <c r="G95" s="402">
        <f>AVERAGE(G91:G94)</f>
        <v>92634414.635227144</v>
      </c>
    </row>
    <row r="96" spans="1:12" ht="26.25" customHeight="1" x14ac:dyDescent="0.4">
      <c r="A96" s="307" t="s">
        <v>72</v>
      </c>
      <c r="B96" s="293">
        <v>1</v>
      </c>
      <c r="C96" s="403" t="s">
        <v>113</v>
      </c>
      <c r="D96" s="404">
        <v>25.12</v>
      </c>
      <c r="E96" s="323"/>
      <c r="F96" s="335">
        <v>25.78</v>
      </c>
    </row>
    <row r="97" spans="1:10" ht="26.25" customHeight="1" x14ac:dyDescent="0.4">
      <c r="A97" s="307" t="s">
        <v>74</v>
      </c>
      <c r="B97" s="293">
        <v>1</v>
      </c>
      <c r="C97" s="405" t="s">
        <v>114</v>
      </c>
      <c r="D97" s="406">
        <f>D96*$B$87</f>
        <v>23.482631483386797</v>
      </c>
      <c r="E97" s="338"/>
      <c r="F97" s="337">
        <f>F96*$B$87</f>
        <v>24.09961145070508</v>
      </c>
    </row>
    <row r="98" spans="1:10" ht="19.5" customHeight="1" x14ac:dyDescent="0.3">
      <c r="A98" s="307" t="s">
        <v>76</v>
      </c>
      <c r="B98" s="407">
        <f>(B97/B96)*(B95/B94)*(B93/B92)*(B91/B90)*B89</f>
        <v>1250</v>
      </c>
      <c r="C98" s="405" t="s">
        <v>115</v>
      </c>
      <c r="D98" s="408">
        <f>D97*$B$83/100</f>
        <v>23.421576641529992</v>
      </c>
      <c r="E98" s="341"/>
      <c r="F98" s="340">
        <f>F97*$B$83/100</f>
        <v>24.036952460933243</v>
      </c>
    </row>
    <row r="99" spans="1:10" ht="19.5" customHeight="1" x14ac:dyDescent="0.3">
      <c r="A99" s="476" t="s">
        <v>78</v>
      </c>
      <c r="B99" s="491"/>
      <c r="C99" s="405" t="s">
        <v>116</v>
      </c>
      <c r="D99" s="409">
        <f>D98/$B$98</f>
        <v>1.8737261313223993E-2</v>
      </c>
      <c r="E99" s="341"/>
      <c r="F99" s="344">
        <f>F98/$B$98</f>
        <v>1.9229561968746596E-2</v>
      </c>
      <c r="G99" s="410"/>
      <c r="H99" s="333"/>
    </row>
    <row r="100" spans="1:10" ht="19.5" customHeight="1" x14ac:dyDescent="0.3">
      <c r="A100" s="478"/>
      <c r="B100" s="492"/>
      <c r="C100" s="405" t="s">
        <v>80</v>
      </c>
      <c r="D100" s="411">
        <f>$B$56/$B$116</f>
        <v>3.3333333333333333E-2</v>
      </c>
      <c r="F100" s="349"/>
      <c r="G100" s="412"/>
      <c r="H100" s="333"/>
    </row>
    <row r="101" spans="1:10" ht="18.75" x14ac:dyDescent="0.3">
      <c r="C101" s="405" t="s">
        <v>81</v>
      </c>
      <c r="D101" s="406">
        <f>D100*$B$98</f>
        <v>41.666666666666664</v>
      </c>
      <c r="F101" s="349"/>
      <c r="G101" s="410"/>
      <c r="H101" s="333"/>
    </row>
    <row r="102" spans="1:10" ht="19.5" customHeight="1" x14ac:dyDescent="0.3">
      <c r="C102" s="413" t="s">
        <v>82</v>
      </c>
      <c r="D102" s="414">
        <f>D101/B34</f>
        <v>41.666666666666664</v>
      </c>
      <c r="F102" s="353"/>
      <c r="G102" s="410"/>
      <c r="H102" s="333"/>
      <c r="J102" s="415"/>
    </row>
    <row r="103" spans="1:10" ht="18.75" x14ac:dyDescent="0.3">
      <c r="C103" s="416" t="s">
        <v>117</v>
      </c>
      <c r="D103" s="417">
        <f>AVERAGE(E91:E94,G91:G94)</f>
        <v>93051835.332967207</v>
      </c>
      <c r="F103" s="353"/>
      <c r="G103" s="418"/>
      <c r="H103" s="333"/>
      <c r="J103" s="419"/>
    </row>
    <row r="104" spans="1:10" ht="18.75" x14ac:dyDescent="0.3">
      <c r="C104" s="383" t="s">
        <v>84</v>
      </c>
      <c r="D104" s="420">
        <f>STDEV(E91:E94,G91:G94)/D103</f>
        <v>7.0184870796216655E-3</v>
      </c>
      <c r="F104" s="353"/>
      <c r="G104" s="410"/>
      <c r="H104" s="333"/>
      <c r="J104" s="419"/>
    </row>
    <row r="105" spans="1:10" ht="19.5" customHeight="1" x14ac:dyDescent="0.3">
      <c r="C105" s="385" t="s">
        <v>20</v>
      </c>
      <c r="D105" s="421">
        <f>COUNT(E91:E94,G91:G94)</f>
        <v>8</v>
      </c>
      <c r="F105" s="353"/>
      <c r="G105" s="410"/>
      <c r="H105" s="333"/>
      <c r="J105" s="419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118</v>
      </c>
      <c r="B107" s="306">
        <v>900</v>
      </c>
      <c r="C107" s="422" t="s">
        <v>119</v>
      </c>
      <c r="D107" s="423" t="s">
        <v>63</v>
      </c>
      <c r="E107" s="424" t="s">
        <v>120</v>
      </c>
      <c r="F107" s="425" t="s">
        <v>121</v>
      </c>
    </row>
    <row r="108" spans="1:10" ht="26.25" customHeight="1" x14ac:dyDescent="0.4">
      <c r="A108" s="307" t="s">
        <v>122</v>
      </c>
      <c r="B108" s="308">
        <v>5</v>
      </c>
      <c r="C108" s="426">
        <v>1</v>
      </c>
      <c r="D108" s="427">
        <v>87619284</v>
      </c>
      <c r="E108" s="458">
        <f t="shared" ref="E108:E113" si="1">IF(ISBLANK(D108),"-",D108/$D$103*$D$100*$B$116)</f>
        <v>282.48540295784198</v>
      </c>
      <c r="F108" s="428">
        <f t="shared" ref="F108:F113" si="2">IF(ISBLANK(D108), "-", E108/$B$56)</f>
        <v>0.9416180098594733</v>
      </c>
    </row>
    <row r="109" spans="1:10" ht="26.25" customHeight="1" x14ac:dyDescent="0.4">
      <c r="A109" s="307" t="s">
        <v>95</v>
      </c>
      <c r="B109" s="308">
        <v>50</v>
      </c>
      <c r="C109" s="426">
        <v>2</v>
      </c>
      <c r="D109" s="427">
        <v>87231228</v>
      </c>
      <c r="E109" s="459">
        <f t="shared" si="1"/>
        <v>281.234306731922</v>
      </c>
      <c r="F109" s="429">
        <f t="shared" si="2"/>
        <v>0.93744768910640663</v>
      </c>
    </row>
    <row r="110" spans="1:10" ht="26.25" customHeight="1" x14ac:dyDescent="0.4">
      <c r="A110" s="307" t="s">
        <v>96</v>
      </c>
      <c r="B110" s="308">
        <v>1</v>
      </c>
      <c r="C110" s="426">
        <v>3</v>
      </c>
      <c r="D110" s="427">
        <v>87224653</v>
      </c>
      <c r="E110" s="459">
        <f t="shared" si="1"/>
        <v>281.21310886953768</v>
      </c>
      <c r="F110" s="429">
        <f t="shared" si="2"/>
        <v>0.93737702956512559</v>
      </c>
    </row>
    <row r="111" spans="1:10" ht="26.25" customHeight="1" x14ac:dyDescent="0.4">
      <c r="A111" s="307" t="s">
        <v>97</v>
      </c>
      <c r="B111" s="308">
        <v>1</v>
      </c>
      <c r="C111" s="426">
        <v>4</v>
      </c>
      <c r="D111" s="427">
        <v>86491264</v>
      </c>
      <c r="E111" s="459">
        <f t="shared" si="1"/>
        <v>278.84865577505849</v>
      </c>
      <c r="F111" s="429">
        <f t="shared" si="2"/>
        <v>0.92949551925019491</v>
      </c>
    </row>
    <row r="112" spans="1:10" ht="26.25" customHeight="1" x14ac:dyDescent="0.4">
      <c r="A112" s="307" t="s">
        <v>98</v>
      </c>
      <c r="B112" s="308">
        <v>1</v>
      </c>
      <c r="C112" s="426">
        <v>5</v>
      </c>
      <c r="D112" s="427">
        <v>88080316</v>
      </c>
      <c r="E112" s="459">
        <f t="shared" si="1"/>
        <v>283.97177450016659</v>
      </c>
      <c r="F112" s="429">
        <f t="shared" si="2"/>
        <v>0.94657258166722191</v>
      </c>
    </row>
    <row r="113" spans="1:10" ht="26.25" customHeight="1" x14ac:dyDescent="0.4">
      <c r="A113" s="307" t="s">
        <v>100</v>
      </c>
      <c r="B113" s="308">
        <v>1</v>
      </c>
      <c r="C113" s="430">
        <v>6</v>
      </c>
      <c r="D113" s="431">
        <v>87568449</v>
      </c>
      <c r="E113" s="460">
        <f t="shared" si="1"/>
        <v>282.32151043551363</v>
      </c>
      <c r="F113" s="432">
        <f t="shared" si="2"/>
        <v>0.94107170145171215</v>
      </c>
    </row>
    <row r="114" spans="1:10" ht="26.25" customHeight="1" x14ac:dyDescent="0.4">
      <c r="A114" s="307" t="s">
        <v>101</v>
      </c>
      <c r="B114" s="308">
        <v>1</v>
      </c>
      <c r="C114" s="426"/>
      <c r="D114" s="380"/>
      <c r="E114" s="281"/>
      <c r="F114" s="433"/>
    </row>
    <row r="115" spans="1:10" ht="26.25" customHeight="1" x14ac:dyDescent="0.4">
      <c r="A115" s="307" t="s">
        <v>102</v>
      </c>
      <c r="B115" s="308">
        <v>1</v>
      </c>
      <c r="C115" s="426"/>
      <c r="D115" s="434" t="s">
        <v>71</v>
      </c>
      <c r="E115" s="462">
        <f>AVERAGE(E108:E113)</f>
        <v>281.67912654500674</v>
      </c>
      <c r="F115" s="435">
        <f>AVERAGE(F108:F113)</f>
        <v>0.93893042181668906</v>
      </c>
    </row>
    <row r="116" spans="1:10" ht="27" customHeight="1" x14ac:dyDescent="0.4">
      <c r="A116" s="307" t="s">
        <v>103</v>
      </c>
      <c r="B116" s="339">
        <f>(B115/B114)*(B113/B112)*(B111/B110)*(B109/B108)*B107</f>
        <v>9000</v>
      </c>
      <c r="C116" s="436"/>
      <c r="D116" s="399" t="s">
        <v>84</v>
      </c>
      <c r="E116" s="437">
        <f>STDEV(E108:E113)/E115</f>
        <v>6.0966490078912337E-3</v>
      </c>
      <c r="F116" s="437">
        <f>STDEV(F108:F113)/F115</f>
        <v>6.0966490078912467E-3</v>
      </c>
      <c r="I116" s="281"/>
    </row>
    <row r="117" spans="1:10" ht="27" customHeight="1" x14ac:dyDescent="0.4">
      <c r="A117" s="476" t="s">
        <v>78</v>
      </c>
      <c r="B117" s="477"/>
      <c r="C117" s="438"/>
      <c r="D117" s="439" t="s">
        <v>20</v>
      </c>
      <c r="E117" s="440">
        <f>COUNT(E108:E113)</f>
        <v>6</v>
      </c>
      <c r="F117" s="440">
        <f>COUNT(F108:F113)</f>
        <v>6</v>
      </c>
      <c r="I117" s="281"/>
      <c r="J117" s="419"/>
    </row>
    <row r="118" spans="1:10" ht="19.5" customHeight="1" x14ac:dyDescent="0.3">
      <c r="A118" s="478"/>
      <c r="B118" s="479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106</v>
      </c>
      <c r="B120" s="387" t="s">
        <v>123</v>
      </c>
      <c r="C120" s="480" t="str">
        <f>B20</f>
        <v>Diloxanide Futoate B.P, Metronidazole B.P</v>
      </c>
      <c r="D120" s="480"/>
      <c r="E120" s="388" t="s">
        <v>124</v>
      </c>
      <c r="F120" s="388"/>
      <c r="G120" s="389">
        <f>F115</f>
        <v>0.93893042181668906</v>
      </c>
      <c r="H120" s="281"/>
      <c r="I120" s="281"/>
    </row>
    <row r="121" spans="1:10" ht="19.5" customHeight="1" x14ac:dyDescent="0.3">
      <c r="A121" s="441"/>
      <c r="B121" s="441"/>
      <c r="C121" s="442"/>
      <c r="D121" s="442"/>
      <c r="E121" s="442"/>
      <c r="F121" s="442"/>
      <c r="G121" s="442"/>
      <c r="H121" s="442"/>
    </row>
    <row r="122" spans="1:10" ht="18.75" x14ac:dyDescent="0.3">
      <c r="B122" s="481" t="s">
        <v>26</v>
      </c>
      <c r="C122" s="481"/>
      <c r="E122" s="394" t="s">
        <v>27</v>
      </c>
      <c r="F122" s="443"/>
      <c r="G122" s="481" t="s">
        <v>28</v>
      </c>
      <c r="H122" s="481"/>
    </row>
    <row r="123" spans="1:10" ht="69.95" customHeight="1" x14ac:dyDescent="0.3">
      <c r="A123" s="444" t="s">
        <v>29</v>
      </c>
      <c r="B123" s="445"/>
      <c r="C123" s="445"/>
      <c r="E123" s="445"/>
      <c r="F123" s="281"/>
      <c r="G123" s="446"/>
      <c r="H123" s="446"/>
    </row>
    <row r="124" spans="1:10" ht="69.95" customHeight="1" x14ac:dyDescent="0.3">
      <c r="A124" s="444" t="s">
        <v>30</v>
      </c>
      <c r="B124" s="447"/>
      <c r="C124" s="447"/>
      <c r="E124" s="447"/>
      <c r="F124" s="281"/>
      <c r="G124" s="448"/>
      <c r="H124" s="448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Uniformity</vt:lpstr>
      <vt:lpstr>Metronidazole</vt:lpstr>
      <vt:lpstr>Diloxanide Furoate</vt:lpstr>
      <vt:lpstr>Metronidazole!Print_Area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2016-07-27T11:28:04Z</cp:lastPrinted>
  <dcterms:created xsi:type="dcterms:W3CDTF">2005-07-05T10:19:27Z</dcterms:created>
  <dcterms:modified xsi:type="dcterms:W3CDTF">2016-07-27T11:28:48Z</dcterms:modified>
</cp:coreProperties>
</file>