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Uniformity" sheetId="2" r:id="rId1"/>
    <sheet name="Metronidazole" sheetId="3" r:id="rId2"/>
    <sheet name="Friability" sheetId="6" r:id="rId3"/>
  </sheets>
  <definedNames>
    <definedName name="_xlnm.Print_Area" localSheetId="1">Metronidazole!$A$1:$I$124</definedName>
    <definedName name="_xlnm.Print_Area" localSheetId="0">Uniformity!$A$12:$F$54</definedName>
  </definedNames>
  <calcPr calcId="145621"/>
</workbook>
</file>

<file path=xl/calcChain.xml><?xml version="1.0" encoding="utf-8"?>
<calcChain xmlns="http://schemas.openxmlformats.org/spreadsheetml/2006/main">
  <c r="D8" i="6" l="1"/>
  <c r="D7" i="6"/>
  <c r="C120" i="3" l="1"/>
  <c r="B116" i="3"/>
  <c r="D100" i="3" s="1"/>
  <c r="B98" i="3"/>
  <c r="F97" i="3"/>
  <c r="F95" i="3"/>
  <c r="D95" i="3"/>
  <c r="I92" i="3" s="1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D101" i="3" l="1"/>
  <c r="B69" i="3"/>
  <c r="D45" i="3"/>
  <c r="D46" i="3" s="1"/>
  <c r="D98" i="3"/>
  <c r="D99" i="3" s="1"/>
  <c r="F98" i="3"/>
  <c r="F99" i="3" s="1"/>
  <c r="I39" i="3"/>
  <c r="D49" i="3"/>
  <c r="E41" i="3"/>
  <c r="G41" i="3"/>
  <c r="D102" i="3"/>
  <c r="E92" i="3"/>
  <c r="E91" i="3"/>
  <c r="E93" i="3"/>
  <c r="G91" i="3"/>
  <c r="G94" i="3"/>
  <c r="E94" i="3"/>
  <c r="G92" i="3"/>
  <c r="G93" i="3"/>
  <c r="D27" i="2"/>
  <c r="D31" i="2"/>
  <c r="D35" i="2"/>
  <c r="D39" i="2"/>
  <c r="D43" i="2"/>
  <c r="C49" i="2"/>
  <c r="F44" i="3"/>
  <c r="F45" i="3" s="1"/>
  <c r="F46" i="3" s="1"/>
  <c r="G95" i="3" l="1"/>
  <c r="E40" i="3"/>
  <c r="E39" i="3"/>
  <c r="E38" i="3"/>
  <c r="E95" i="3"/>
  <c r="D105" i="3"/>
  <c r="D103" i="3"/>
  <c r="G39" i="3"/>
  <c r="G40" i="3"/>
  <c r="G38" i="3"/>
  <c r="E42" i="3" l="1"/>
  <c r="G42" i="3"/>
  <c r="D50" i="3"/>
  <c r="G71" i="3" s="1"/>
  <c r="H71" i="3" s="1"/>
  <c r="D52" i="3"/>
  <c r="D51" i="3"/>
  <c r="E112" i="3"/>
  <c r="F112" i="3" s="1"/>
  <c r="E110" i="3"/>
  <c r="F110" i="3" s="1"/>
  <c r="E111" i="3"/>
  <c r="F111" i="3" s="1"/>
  <c r="E109" i="3"/>
  <c r="F109" i="3" s="1"/>
  <c r="D104" i="3"/>
  <c r="E113" i="3"/>
  <c r="F113" i="3" s="1"/>
  <c r="E108" i="3"/>
  <c r="G63" i="3" l="1"/>
  <c r="H63" i="3" s="1"/>
  <c r="G62" i="3"/>
  <c r="H62" i="3" s="1"/>
  <c r="G64" i="3"/>
  <c r="H64" i="3" s="1"/>
  <c r="G60" i="3"/>
  <c r="H60" i="3" s="1"/>
  <c r="G68" i="3"/>
  <c r="H68" i="3" s="1"/>
  <c r="G65" i="3"/>
  <c r="H65" i="3" s="1"/>
  <c r="G67" i="3"/>
  <c r="H67" i="3" s="1"/>
  <c r="G69" i="3"/>
  <c r="H69" i="3" s="1"/>
  <c r="G61" i="3"/>
  <c r="H61" i="3" s="1"/>
  <c r="G70" i="3"/>
  <c r="H70" i="3" s="1"/>
  <c r="G66" i="3"/>
  <c r="H66" i="3" s="1"/>
  <c r="E115" i="3"/>
  <c r="E116" i="3" s="1"/>
  <c r="E117" i="3"/>
  <c r="F108" i="3"/>
  <c r="G74" i="3" l="1"/>
  <c r="G72" i="3"/>
  <c r="G73" i="3" s="1"/>
  <c r="H74" i="3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<sst xmlns="http://schemas.openxmlformats.org/spreadsheetml/2006/main" count="186" uniqueCount="111">
  <si>
    <t>Analysis Data</t>
  </si>
  <si>
    <t>Reference Substance:</t>
  </si>
  <si>
    <t>DIAZOLE TABLETS</t>
  </si>
  <si>
    <t>% age Purity:</t>
  </si>
  <si>
    <t>NDQA201503107</t>
  </si>
  <si>
    <t>Diloxanide Futoate B.P, Metronidazole B.P</t>
  </si>
  <si>
    <t>Diloxanide Futoate B.P 250 mg Metronidazole B.P 200 mg</t>
  </si>
  <si>
    <t>2015-03-03 07:49:29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</si>
  <si>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</si>
  <si>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</si>
  <si>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</si>
  <si>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</si>
  <si>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</si>
  <si>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</si>
  <si>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</si>
  <si>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</si>
  <si>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</si>
  <si>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</si>
  <si>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</si>
  <si>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</si>
  <si>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</si>
  <si>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</si>
  <si>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</si>
  <si>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</si>
  <si>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</si>
  <si>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</si>
  <si>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</si>
  <si>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</si>
  <si>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</si>
  <si>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</si>
  <si>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</si>
  <si>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</si>
  <si>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</si>
  <si>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</si>
  <si>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</si>
  <si>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</si>
  <si>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</si>
  <si>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</si>
  <si>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</si>
  <si>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</si>
  <si>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</si>
  <si>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</si>
  <si>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</si>
  <si>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</si>
  <si>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</si>
  <si>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</si>
  <si>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</si>
  <si>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</si>
  <si>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</si>
  <si>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</si>
  <si>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</si>
  <si>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</si>
  <si>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</si>
  <si>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</si>
  <si>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</si>
  <si>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</si>
  <si>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</si>
  <si>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</si>
  <si>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</si>
  <si>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</si>
  <si>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</si>
  <si>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</si>
  <si>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</si>
  <si>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</si>
  <si>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</si>
  <si>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</si>
  <si>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</si>
  <si>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</si>
  <si>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</si>
  <si>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</si>
  <si>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</si>
  <si>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</si>
  <si>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</si>
  <si>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</si>
  <si>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</si>
  <si>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</si>
  <si>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</si>
  <si>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</si>
  <si>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</si>
  <si>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</si>
  <si>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</si>
  <si>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</si>
  <si>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</si>
  <si>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</si>
  <si>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</si>
  <si>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</si>
  <si>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</si>
  <si>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</si>
  <si>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</si>
  <si>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</si>
  <si>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</si>
  <si>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</si>
  <si>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</si>
  <si>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</si>
  <si>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</si>
  <si>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</si>
  <si>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</si>
  <si>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</si>
  <si>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</si>
  <si>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</si>
  <si>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</si>
  <si>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</si>
  <si>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</si>
  <si>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</si>
  <si>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</si>
  <si>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</si>
  <si>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</si>
  <si>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</si>
  <si>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M2-3</t>
  </si>
  <si>
    <t>Metronidazole</t>
  </si>
  <si>
    <t xml:space="preserve">Metronidazole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</si>
</sst>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4" formatCode="0.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8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Protection="1">
      <protection locked="0"/>
    </xf>
    <xf numFmtId="2" fontId="6" fillId="3" borderId="10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171" fontId="12" fillId="3" borderId="16" xfId="0" applyNumberFormat="1" applyFont="1" applyFill="1" applyBorder="1" applyAlignment="1" applyProtection="1">
      <alignment horizontal="center"/>
      <protection locked="0"/>
    </xf>
    <xf numFmtId="171" fontId="12" fillId="3" borderId="18" xfId="0" applyNumberFormat="1" applyFont="1" applyFill="1" applyBorder="1" applyAlignment="1" applyProtection="1">
      <alignment horizontal="center"/>
      <protection locked="0"/>
    </xf>
    <xf numFmtId="171" fontId="12" fillId="3" borderId="38" xfId="0" applyNumberFormat="1" applyFont="1" applyFill="1" applyBorder="1" applyAlignment="1" applyProtection="1">
      <alignment horizontal="center"/>
      <protection locked="0"/>
    </xf>
    <xf numFmtId="171" fontId="11" fillId="4" borderId="32" xfId="0" applyNumberFormat="1" applyFont="1" applyFill="1" applyBorder="1" applyAlignment="1">
      <alignment horizontal="center"/>
    </xf>
    <xf numFmtId="174" fontId="0" fillId="2" borderId="0" xfId="1" applyNumberFormat="1" applyFont="1" applyFill="1"/>
  </cellXfs>
  <cellStyles count="2">
    <cellStyle name="Normal" xfId="0" builtinId="0"/>
    <cellStyle name="Percent" xfId="1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A21" sqref="A21:B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3" t="s">
        <v>14</v>
      </c>
      <c r="B11" s="234"/>
      <c r="C11" s="234"/>
      <c r="D11" s="234"/>
      <c r="E11" s="234"/>
      <c r="F11" s="235"/>
      <c r="G11" s="43"/>
    </row>
    <row r="12" spans="1:7" ht="16.5" customHeight="1" x14ac:dyDescent="0.3">
      <c r="A12" s="232" t="s">
        <v>15</v>
      </c>
      <c r="B12" s="232"/>
      <c r="C12" s="232"/>
      <c r="D12" s="232"/>
      <c r="E12" s="232"/>
      <c r="F12" s="232"/>
      <c r="G12" s="42"/>
    </row>
    <row r="14" spans="1:7" ht="16.5" customHeight="1" x14ac:dyDescent="0.3">
      <c r="A14" s="237" t="s">
        <v>16</v>
      </c>
      <c r="B14" s="237"/>
      <c r="C14" s="12" t="s">
        <v>2</v>
      </c>
    </row>
    <row r="15" spans="1:7" ht="16.5" customHeight="1" x14ac:dyDescent="0.3">
      <c r="A15" s="237" t="s">
        <v>17</v>
      </c>
      <c r="B15" s="237"/>
      <c r="C15" s="12" t="s">
        <v>4</v>
      </c>
    </row>
    <row r="16" spans="1:7" ht="16.5" customHeight="1" x14ac:dyDescent="0.3">
      <c r="A16" s="237" t="s">
        <v>18</v>
      </c>
      <c r="B16" s="237"/>
      <c r="C16" s="12" t="s">
        <v>5</v>
      </c>
    </row>
    <row r="17" spans="1:5" ht="16.5" customHeight="1" x14ac:dyDescent="0.3">
      <c r="A17" s="237" t="s">
        <v>19</v>
      </c>
      <c r="B17" s="237"/>
      <c r="C17" s="12" t="s">
        <v>6</v>
      </c>
    </row>
    <row r="18" spans="1:5" ht="16.5" customHeight="1" x14ac:dyDescent="0.3">
      <c r="A18" s="237" t="s">
        <v>20</v>
      </c>
      <c r="B18" s="237"/>
      <c r="C18" s="49" t="s">
        <v>7</v>
      </c>
    </row>
    <row r="19" spans="1:5" ht="16.5" customHeight="1" x14ac:dyDescent="0.3">
      <c r="A19" s="237" t="s">
        <v>21</v>
      </c>
      <c r="B19" s="23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2" t="s">
        <v>0</v>
      </c>
      <c r="B21" s="232"/>
      <c r="C21" s="11" t="s">
        <v>22</v>
      </c>
      <c r="D21" s="18"/>
    </row>
    <row r="22" spans="1:5" ht="15.75" customHeight="1" x14ac:dyDescent="0.3">
      <c r="A22" s="236"/>
      <c r="B22" s="236"/>
      <c r="C22" s="9"/>
      <c r="D22" s="236"/>
      <c r="E22" s="236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651.54999999999995</v>
      </c>
      <c r="D24" s="39">
        <f t="shared" ref="D24:D43" si="0">(C24-$C$46)/$C$46</f>
        <v>-6.0327579749644014E-3</v>
      </c>
      <c r="E24" s="5"/>
    </row>
    <row r="25" spans="1:5" ht="15.75" customHeight="1" x14ac:dyDescent="0.3">
      <c r="C25" s="47">
        <v>685.77</v>
      </c>
      <c r="D25" s="40">
        <f t="shared" si="0"/>
        <v>4.6171307748459352E-2</v>
      </c>
      <c r="E25" s="5"/>
    </row>
    <row r="26" spans="1:5" ht="15.75" customHeight="1" x14ac:dyDescent="0.3">
      <c r="C26" s="47">
        <v>673.12</v>
      </c>
      <c r="D26" s="40">
        <f t="shared" si="0"/>
        <v>2.6873194615750155E-2</v>
      </c>
      <c r="E26" s="5"/>
    </row>
    <row r="27" spans="1:5" ht="15.75" customHeight="1" x14ac:dyDescent="0.3">
      <c r="C27" s="47">
        <v>670.43</v>
      </c>
      <c r="D27" s="40">
        <f t="shared" si="0"/>
        <v>2.2769485182786604E-2</v>
      </c>
      <c r="E27" s="5"/>
    </row>
    <row r="28" spans="1:5" ht="15.75" customHeight="1" x14ac:dyDescent="0.3">
      <c r="C28" s="47">
        <v>658.41</v>
      </c>
      <c r="D28" s="40">
        <f t="shared" si="0"/>
        <v>4.4324638503625237E-3</v>
      </c>
      <c r="E28" s="5"/>
    </row>
    <row r="29" spans="1:5" ht="15.75" customHeight="1" x14ac:dyDescent="0.3">
      <c r="C29" s="47">
        <v>655.56</v>
      </c>
      <c r="D29" s="40">
        <f t="shared" si="0"/>
        <v>8.4667610977404663E-5</v>
      </c>
      <c r="E29" s="5"/>
    </row>
    <row r="30" spans="1:5" ht="15.75" customHeight="1" x14ac:dyDescent="0.3">
      <c r="C30" s="47">
        <v>665.31</v>
      </c>
      <c r="D30" s="40">
        <f t="shared" si="0"/>
        <v>1.4958707377294798E-2</v>
      </c>
      <c r="E30" s="5"/>
    </row>
    <row r="31" spans="1:5" ht="15.75" customHeight="1" x14ac:dyDescent="0.3">
      <c r="C31" s="47">
        <v>656.86</v>
      </c>
      <c r="D31" s="40">
        <f t="shared" si="0"/>
        <v>2.0678729131531613E-3</v>
      </c>
      <c r="E31" s="5"/>
    </row>
    <row r="32" spans="1:5" ht="15.75" customHeight="1" x14ac:dyDescent="0.3">
      <c r="C32" s="47">
        <v>657.4</v>
      </c>
      <c r="D32" s="40">
        <f t="shared" si="0"/>
        <v>2.891665884826069E-3</v>
      </c>
      <c r="E32" s="5"/>
    </row>
    <row r="33" spans="1:7" ht="15.75" customHeight="1" x14ac:dyDescent="0.3">
      <c r="C33" s="47">
        <v>636.08000000000004</v>
      </c>
      <c r="D33" s="40">
        <f t="shared" si="0"/>
        <v>-2.9632901070854534E-2</v>
      </c>
      <c r="E33" s="5"/>
    </row>
    <row r="34" spans="1:7" ht="15.75" customHeight="1" x14ac:dyDescent="0.3">
      <c r="C34" s="47">
        <v>638.75</v>
      </c>
      <c r="D34" s="40">
        <f t="shared" si="0"/>
        <v>-2.5559702488693832E-2</v>
      </c>
      <c r="E34" s="5"/>
    </row>
    <row r="35" spans="1:7" ht="15.75" customHeight="1" x14ac:dyDescent="0.3">
      <c r="C35" s="47">
        <v>641.71</v>
      </c>
      <c r="D35" s="40">
        <f t="shared" si="0"/>
        <v>-2.1044096569893832E-2</v>
      </c>
      <c r="E35" s="5"/>
    </row>
    <row r="36" spans="1:7" ht="15.75" customHeight="1" x14ac:dyDescent="0.3">
      <c r="C36" s="47">
        <v>649.6</v>
      </c>
      <c r="D36" s="40">
        <f t="shared" si="0"/>
        <v>-9.0075659282277763E-3</v>
      </c>
      <c r="E36" s="5"/>
    </row>
    <row r="37" spans="1:7" ht="15.75" customHeight="1" x14ac:dyDescent="0.3">
      <c r="C37" s="47">
        <v>632.11</v>
      </c>
      <c r="D37" s="40">
        <f t="shared" si="0"/>
        <v>-3.5689304955190994E-2</v>
      </c>
      <c r="E37" s="5"/>
    </row>
    <row r="38" spans="1:7" ht="15.75" customHeight="1" x14ac:dyDescent="0.3">
      <c r="C38" s="47">
        <v>648.08000000000004</v>
      </c>
      <c r="D38" s="40">
        <f t="shared" si="0"/>
        <v>-1.1326390589233126E-2</v>
      </c>
      <c r="E38" s="5"/>
    </row>
    <row r="39" spans="1:7" ht="15.75" customHeight="1" x14ac:dyDescent="0.3">
      <c r="C39" s="47">
        <v>641.9</v>
      </c>
      <c r="D39" s="40">
        <f t="shared" si="0"/>
        <v>-2.0754243487268249E-2</v>
      </c>
      <c r="E39" s="5"/>
    </row>
    <row r="40" spans="1:7" ht="15.75" customHeight="1" x14ac:dyDescent="0.3">
      <c r="C40" s="47">
        <v>653.35</v>
      </c>
      <c r="D40" s="40">
        <f t="shared" si="0"/>
        <v>-3.2867814027210864E-3</v>
      </c>
      <c r="E40" s="5"/>
    </row>
    <row r="41" spans="1:7" ht="15.75" customHeight="1" x14ac:dyDescent="0.3">
      <c r="C41" s="47">
        <v>657.03</v>
      </c>
      <c r="D41" s="40">
        <f t="shared" si="0"/>
        <v>2.3272151449760686E-3</v>
      </c>
      <c r="E41" s="5"/>
    </row>
    <row r="42" spans="1:7" ht="15.75" customHeight="1" x14ac:dyDescent="0.3">
      <c r="C42" s="47">
        <v>684.65</v>
      </c>
      <c r="D42" s="40">
        <f t="shared" si="0"/>
        <v>4.4462700103508015E-2</v>
      </c>
      <c r="E42" s="5"/>
    </row>
    <row r="43" spans="1:7" ht="16.5" customHeight="1" x14ac:dyDescent="0.3">
      <c r="C43" s="48">
        <v>652.41999999999996</v>
      </c>
      <c r="D43" s="41">
        <f t="shared" si="0"/>
        <v>-4.7055359650468431E-3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13110.09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655.50450000000001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30">
        <f>C46</f>
        <v>655.50450000000001</v>
      </c>
      <c r="C49" s="45">
        <f>-IF(C46&lt;=80,10%,IF(C46&lt;250,7.5%,5%))</f>
        <v>-0.05</v>
      </c>
      <c r="D49" s="33">
        <f>IF(C46&lt;=80,C46*0.9,IF(C46&lt;250,C46*0.925,C46*0.95))</f>
        <v>622.72927500000003</v>
      </c>
    </row>
    <row r="50" spans="1:6" ht="17.25" customHeight="1" x14ac:dyDescent="0.3">
      <c r="B50" s="231"/>
      <c r="C50" s="46">
        <f>IF(C46&lt;=80, 10%, IF(C46&lt;250, 7.5%, 5%))</f>
        <v>0.05</v>
      </c>
      <c r="D50" s="33">
        <f>IF(C46&lt;=80, C46*1.1, IF(C46&lt;250, C46*1.075, C46*1.05))</f>
        <v>688.27972499999998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showWhiteSpace="0" view="pageBreakPreview" topLeftCell="A52" zoomScale="60" zoomScaleNormal="40" zoomScalePageLayoutView="50" workbookViewId="0">
      <selection activeCell="B110" sqref="B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6" t="s">
        <v>28</v>
      </c>
      <c r="B1" s="266"/>
      <c r="C1" s="266"/>
      <c r="D1" s="266"/>
      <c r="E1" s="266"/>
      <c r="F1" s="266"/>
      <c r="G1" s="266"/>
      <c r="H1" s="266"/>
      <c r="I1" s="266"/>
    </row>
    <row r="2" spans="1:9" ht="18.75" customHeight="1" x14ac:dyDescent="0.25">
      <c r="A2" s="266"/>
      <c r="B2" s="266"/>
      <c r="C2" s="266"/>
      <c r="D2" s="266"/>
      <c r="E2" s="266"/>
      <c r="F2" s="266"/>
      <c r="G2" s="266"/>
      <c r="H2" s="266"/>
      <c r="I2" s="266"/>
    </row>
    <row r="3" spans="1:9" ht="18.75" customHeight="1" x14ac:dyDescent="0.25">
      <c r="A3" s="266"/>
      <c r="B3" s="266"/>
      <c r="C3" s="266"/>
      <c r="D3" s="266"/>
      <c r="E3" s="266"/>
      <c r="F3" s="266"/>
      <c r="G3" s="266"/>
      <c r="H3" s="266"/>
      <c r="I3" s="266"/>
    </row>
    <row r="4" spans="1:9" ht="18.75" customHeight="1" x14ac:dyDescent="0.25">
      <c r="A4" s="266"/>
      <c r="B4" s="266"/>
      <c r="C4" s="266"/>
      <c r="D4" s="266"/>
      <c r="E4" s="266"/>
      <c r="F4" s="266"/>
      <c r="G4" s="266"/>
      <c r="H4" s="266"/>
      <c r="I4" s="266"/>
    </row>
    <row r="5" spans="1:9" ht="18.75" customHeight="1" x14ac:dyDescent="0.25">
      <c r="A5" s="266"/>
      <c r="B5" s="266"/>
      <c r="C5" s="266"/>
      <c r="D5" s="266"/>
      <c r="E5" s="266"/>
      <c r="F5" s="266"/>
      <c r="G5" s="266"/>
      <c r="H5" s="266"/>
      <c r="I5" s="266"/>
    </row>
    <row r="6" spans="1:9" ht="18.75" customHeight="1" x14ac:dyDescent="0.25">
      <c r="A6" s="266"/>
      <c r="B6" s="266"/>
      <c r="C6" s="266"/>
      <c r="D6" s="266"/>
      <c r="E6" s="266"/>
      <c r="F6" s="266"/>
      <c r="G6" s="266"/>
      <c r="H6" s="266"/>
      <c r="I6" s="266"/>
    </row>
    <row r="7" spans="1:9" ht="18.75" customHeight="1" x14ac:dyDescent="0.25">
      <c r="A7" s="266"/>
      <c r="B7" s="266"/>
      <c r="C7" s="266"/>
      <c r="D7" s="266"/>
      <c r="E7" s="266"/>
      <c r="F7" s="266"/>
      <c r="G7" s="266"/>
      <c r="H7" s="266"/>
      <c r="I7" s="266"/>
    </row>
    <row r="8" spans="1:9" x14ac:dyDescent="0.25">
      <c r="A8" s="267" t="s">
        <v>29</v>
      </c>
      <c r="B8" s="267"/>
      <c r="C8" s="267"/>
      <c r="D8" s="267"/>
      <c r="E8" s="267"/>
      <c r="F8" s="267"/>
      <c r="G8" s="267"/>
      <c r="H8" s="267"/>
      <c r="I8" s="267"/>
    </row>
    <row r="9" spans="1:9" x14ac:dyDescent="0.25">
      <c r="A9" s="267"/>
      <c r="B9" s="267"/>
      <c r="C9" s="267"/>
      <c r="D9" s="267"/>
      <c r="E9" s="267"/>
      <c r="F9" s="267"/>
      <c r="G9" s="267"/>
      <c r="H9" s="267"/>
      <c r="I9" s="267"/>
    </row>
    <row r="10" spans="1:9" x14ac:dyDescent="0.25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9" x14ac:dyDescent="0.25">
      <c r="A11" s="267"/>
      <c r="B11" s="267"/>
      <c r="C11" s="267"/>
      <c r="D11" s="267"/>
      <c r="E11" s="267"/>
      <c r="F11" s="267"/>
      <c r="G11" s="267"/>
      <c r="H11" s="267"/>
      <c r="I11" s="267"/>
    </row>
    <row r="12" spans="1:9" x14ac:dyDescent="0.25">
      <c r="A12" s="267"/>
      <c r="B12" s="267"/>
      <c r="C12" s="267"/>
      <c r="D12" s="267"/>
      <c r="E12" s="267"/>
      <c r="F12" s="267"/>
      <c r="G12" s="267"/>
      <c r="H12" s="267"/>
      <c r="I12" s="267"/>
    </row>
    <row r="13" spans="1:9" x14ac:dyDescent="0.25">
      <c r="A13" s="267"/>
      <c r="B13" s="267"/>
      <c r="C13" s="267"/>
      <c r="D13" s="267"/>
      <c r="E13" s="267"/>
      <c r="F13" s="267"/>
      <c r="G13" s="267"/>
      <c r="H13" s="267"/>
      <c r="I13" s="267"/>
    </row>
    <row r="14" spans="1:9" x14ac:dyDescent="0.25">
      <c r="A14" s="267"/>
      <c r="B14" s="267"/>
      <c r="C14" s="267"/>
      <c r="D14" s="267"/>
      <c r="E14" s="267"/>
      <c r="F14" s="267"/>
      <c r="G14" s="267"/>
      <c r="H14" s="267"/>
      <c r="I14" s="267"/>
    </row>
    <row r="15" spans="1:9" ht="19.5" customHeight="1" x14ac:dyDescent="0.3">
      <c r="A15" s="50"/>
    </row>
    <row r="16" spans="1:9" ht="19.5" customHeight="1" x14ac:dyDescent="0.3">
      <c r="A16" s="239" t="s">
        <v>14</v>
      </c>
      <c r="B16" s="240"/>
      <c r="C16" s="240"/>
      <c r="D16" s="240"/>
      <c r="E16" s="240"/>
      <c r="F16" s="240"/>
      <c r="G16" s="240"/>
      <c r="H16" s="241"/>
    </row>
    <row r="17" spans="1:14" ht="20.25" customHeight="1" x14ac:dyDescent="0.25">
      <c r="A17" s="242" t="s">
        <v>30</v>
      </c>
      <c r="B17" s="242"/>
      <c r="C17" s="242"/>
      <c r="D17" s="242"/>
      <c r="E17" s="242"/>
      <c r="F17" s="242"/>
      <c r="G17" s="242"/>
      <c r="H17" s="242"/>
    </row>
    <row r="18" spans="1:14" ht="26.25" customHeight="1" x14ac:dyDescent="0.4">
      <c r="A18" s="52" t="s">
        <v>16</v>
      </c>
      <c r="B18" s="238" t="s">
        <v>2</v>
      </c>
      <c r="C18" s="238"/>
      <c r="D18" s="214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27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243" t="s">
        <v>110</v>
      </c>
      <c r="C20" s="243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243" t="s">
        <v>6</v>
      </c>
      <c r="C21" s="243"/>
      <c r="D21" s="243"/>
      <c r="E21" s="243"/>
      <c r="F21" s="243"/>
      <c r="G21" s="243"/>
      <c r="H21" s="243"/>
      <c r="I21" s="56"/>
    </row>
    <row r="22" spans="1:14" ht="26.25" customHeight="1" x14ac:dyDescent="0.4">
      <c r="A22" s="52" t="s">
        <v>20</v>
      </c>
      <c r="B22" s="57">
        <v>42578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42578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238" t="s">
        <v>109</v>
      </c>
      <c r="C26" s="238"/>
    </row>
    <row r="27" spans="1:14" ht="26.25" customHeight="1" x14ac:dyDescent="0.4">
      <c r="A27" s="61" t="s">
        <v>31</v>
      </c>
      <c r="B27" s="244" t="s">
        <v>108</v>
      </c>
      <c r="C27" s="244"/>
    </row>
    <row r="28" spans="1:14" ht="27" customHeight="1" x14ac:dyDescent="0.4">
      <c r="A28" s="61" t="s">
        <v>3</v>
      </c>
      <c r="B28" s="62">
        <v>99.74</v>
      </c>
    </row>
    <row r="29" spans="1:14" s="3" customFormat="1" ht="27" customHeight="1" x14ac:dyDescent="0.4">
      <c r="A29" s="61" t="s">
        <v>32</v>
      </c>
      <c r="B29" s="63">
        <v>0</v>
      </c>
      <c r="C29" s="245" t="s">
        <v>33</v>
      </c>
      <c r="D29" s="246"/>
      <c r="E29" s="246"/>
      <c r="F29" s="246"/>
      <c r="G29" s="247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248" t="s">
        <v>36</v>
      </c>
      <c r="D31" s="249"/>
      <c r="E31" s="249"/>
      <c r="F31" s="249"/>
      <c r="G31" s="249"/>
      <c r="H31" s="250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248" t="s">
        <v>38</v>
      </c>
      <c r="D32" s="249"/>
      <c r="E32" s="249"/>
      <c r="F32" s="249"/>
      <c r="G32" s="249"/>
      <c r="H32" s="25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20</v>
      </c>
      <c r="C36" s="51"/>
      <c r="D36" s="251" t="s">
        <v>42</v>
      </c>
      <c r="E36" s="252"/>
      <c r="F36" s="251" t="s">
        <v>43</v>
      </c>
      <c r="G36" s="25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5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50</v>
      </c>
      <c r="C38" s="83">
        <v>1</v>
      </c>
      <c r="D38" s="84">
        <v>0.38700000000000001</v>
      </c>
      <c r="E38" s="85">
        <f>IF(ISBLANK(D38),"-",$D$48/$D$45*D38)</f>
        <v>0.38531164144949659</v>
      </c>
      <c r="F38" s="84">
        <v>0.443</v>
      </c>
      <c r="G38" s="86">
        <f>IF(ISBLANK(F38),"-",$D$48/$F$45*F38)</f>
        <v>0.38841696763136407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5</v>
      </c>
      <c r="C39" s="88">
        <v>2</v>
      </c>
      <c r="D39" s="89">
        <v>0.39100000000000001</v>
      </c>
      <c r="E39" s="90">
        <f>IF(ISBLANK(D39),"-",$D$48/$D$45*D39)</f>
        <v>0.3892941907151245</v>
      </c>
      <c r="F39" s="89">
        <v>0.443</v>
      </c>
      <c r="G39" s="91">
        <f>IF(ISBLANK(F39),"-",$D$48/$F$45*F39)</f>
        <v>0.38841696763136407</v>
      </c>
      <c r="I39" s="255">
        <f>ABS((F43/D43*D42)-F42)/D42</f>
        <v>1.1438700428040122E-4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50</v>
      </c>
      <c r="C40" s="88">
        <v>3</v>
      </c>
      <c r="D40" s="89">
        <v>0.39400000000000002</v>
      </c>
      <c r="E40" s="90">
        <f>IF(ISBLANK(D40),"-",$D$48/$D$45*D40)</f>
        <v>0.3922811026643454</v>
      </c>
      <c r="F40" s="89">
        <v>0.44500000000000001</v>
      </c>
      <c r="G40" s="91">
        <f>IF(ISBLANK(F40),"-",$D$48/$F$45*F40)</f>
        <v>0.39017054310599775</v>
      </c>
      <c r="I40" s="255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280">
        <f>AVERAGE(D38:D41)</f>
        <v>0.39066666666666672</v>
      </c>
      <c r="E42" s="228">
        <f>AVERAGE(E38:E41)</f>
        <v>0.3889623116096555</v>
      </c>
      <c r="F42" s="280">
        <f>AVERAGE(F38:F41)</f>
        <v>0.44366666666666665</v>
      </c>
      <c r="G42" s="229">
        <f>AVERAGE(G38:G41)</f>
        <v>0.3890014927895753</v>
      </c>
      <c r="H42" s="100"/>
    </row>
    <row r="43" spans="1:14" ht="26.25" customHeight="1" x14ac:dyDescent="0.4">
      <c r="A43" s="76" t="s">
        <v>55</v>
      </c>
      <c r="B43" s="77">
        <v>1</v>
      </c>
      <c r="C43" s="101" t="s">
        <v>56</v>
      </c>
      <c r="D43" s="102">
        <v>20.14</v>
      </c>
      <c r="E43" s="92"/>
      <c r="F43" s="102">
        <v>22.87</v>
      </c>
      <c r="H43" s="100"/>
    </row>
    <row r="44" spans="1:14" ht="26.25" customHeight="1" x14ac:dyDescent="0.4">
      <c r="A44" s="76" t="s">
        <v>57</v>
      </c>
      <c r="B44" s="77">
        <v>1</v>
      </c>
      <c r="C44" s="103" t="s">
        <v>58</v>
      </c>
      <c r="D44" s="104">
        <f>D43*$B$34</f>
        <v>20.14</v>
      </c>
      <c r="E44" s="105"/>
      <c r="F44" s="104">
        <f>F43*$B$34</f>
        <v>22.87</v>
      </c>
      <c r="H44" s="100"/>
    </row>
    <row r="45" spans="1:14" ht="19.5" customHeight="1" x14ac:dyDescent="0.3">
      <c r="A45" s="76" t="s">
        <v>59</v>
      </c>
      <c r="B45" s="106">
        <f>(B44/B43)*(B42/B41)*(B40/B39)*(B38/B37)*B36</f>
        <v>2000</v>
      </c>
      <c r="C45" s="103" t="s">
        <v>60</v>
      </c>
      <c r="D45" s="107">
        <f>D44*$B$30/100</f>
        <v>20.087636</v>
      </c>
      <c r="E45" s="108"/>
      <c r="F45" s="107">
        <f>F44*$B$30/100</f>
        <v>22.810538000000001</v>
      </c>
      <c r="H45" s="100"/>
    </row>
    <row r="46" spans="1:14" ht="19.5" customHeight="1" x14ac:dyDescent="0.3">
      <c r="A46" s="256" t="s">
        <v>61</v>
      </c>
      <c r="B46" s="257"/>
      <c r="C46" s="103" t="s">
        <v>62</v>
      </c>
      <c r="D46" s="109">
        <f>D45/$B$45</f>
        <v>1.0043817999999999E-2</v>
      </c>
      <c r="E46" s="110"/>
      <c r="F46" s="111">
        <f>F45/$B$45</f>
        <v>1.1405269000000001E-2</v>
      </c>
      <c r="H46" s="100"/>
    </row>
    <row r="47" spans="1:14" ht="27" customHeight="1" x14ac:dyDescent="0.4">
      <c r="A47" s="258"/>
      <c r="B47" s="259"/>
      <c r="C47" s="112" t="s">
        <v>63</v>
      </c>
      <c r="D47" s="113">
        <v>0.01</v>
      </c>
      <c r="E47" s="114"/>
      <c r="F47" s="110"/>
      <c r="H47" s="100"/>
    </row>
    <row r="48" spans="1:14" ht="18.75" x14ac:dyDescent="0.3">
      <c r="C48" s="115" t="s">
        <v>64</v>
      </c>
      <c r="D48" s="107">
        <f>D47*$B$45</f>
        <v>20</v>
      </c>
      <c r="F48" s="116"/>
      <c r="H48" s="100"/>
    </row>
    <row r="49" spans="1:12" ht="19.5" customHeight="1" x14ac:dyDescent="0.3">
      <c r="C49" s="117" t="s">
        <v>65</v>
      </c>
      <c r="D49" s="118">
        <f>D48/B34</f>
        <v>20</v>
      </c>
      <c r="F49" s="116"/>
      <c r="H49" s="100"/>
    </row>
    <row r="50" spans="1:12" ht="18.75" x14ac:dyDescent="0.3">
      <c r="C50" s="74" t="s">
        <v>66</v>
      </c>
      <c r="D50" s="119">
        <f>AVERAGE(E38:E41,G38:G41)</f>
        <v>0.38898190219961543</v>
      </c>
      <c r="F50" s="120"/>
      <c r="H50" s="100"/>
    </row>
    <row r="51" spans="1:12" ht="18.75" x14ac:dyDescent="0.3">
      <c r="C51" s="76" t="s">
        <v>67</v>
      </c>
      <c r="D51" s="121">
        <f>STDEV(E38:E41,G38:G41)/D50</f>
        <v>5.9189300453898969E-3</v>
      </c>
      <c r="F51" s="120"/>
      <c r="H51" s="100"/>
    </row>
    <row r="52" spans="1:12" ht="19.5" customHeight="1" x14ac:dyDescent="0.3">
      <c r="C52" s="122" t="s">
        <v>8</v>
      </c>
      <c r="D52" s="123">
        <f>COUNT(E38:E41,G38:G41)</f>
        <v>6</v>
      </c>
      <c r="F52" s="120"/>
    </row>
    <row r="54" spans="1:12" ht="18.75" x14ac:dyDescent="0.3">
      <c r="A54" s="124" t="s">
        <v>0</v>
      </c>
      <c r="B54" s="125" t="s">
        <v>68</v>
      </c>
    </row>
    <row r="55" spans="1:12" ht="18.75" x14ac:dyDescent="0.3">
      <c r="A55" s="51" t="s">
        <v>69</v>
      </c>
      <c r="B55" s="126" t="str">
        <f>B21</f>
        <v>Diloxanide Futoate B.P 250 mg Metronidazole B.P 200 mg</v>
      </c>
    </row>
    <row r="56" spans="1:12" ht="26.25" customHeight="1" x14ac:dyDescent="0.4">
      <c r="A56" s="127" t="s">
        <v>70</v>
      </c>
      <c r="B56" s="128">
        <v>200</v>
      </c>
      <c r="C56" s="51" t="str">
        <f>B20</f>
        <v xml:space="preserve">Metronidazole </v>
      </c>
      <c r="H56" s="129"/>
    </row>
    <row r="57" spans="1:12" ht="18.75" x14ac:dyDescent="0.3">
      <c r="A57" s="126" t="s">
        <v>71</v>
      </c>
      <c r="B57" s="215">
        <f>Uniformity!C46</f>
        <v>655.50450000000001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72</v>
      </c>
      <c r="B59" s="75">
        <v>100</v>
      </c>
      <c r="C59" s="51"/>
      <c r="D59" s="130" t="s">
        <v>73</v>
      </c>
      <c r="E59" s="131" t="s">
        <v>45</v>
      </c>
      <c r="F59" s="131" t="s">
        <v>46</v>
      </c>
      <c r="G59" s="131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5</v>
      </c>
      <c r="C60" s="260" t="s">
        <v>77</v>
      </c>
      <c r="D60" s="263">
        <v>524.69000000000005</v>
      </c>
      <c r="E60" s="132">
        <v>1</v>
      </c>
      <c r="F60" s="277">
        <v>0.36</v>
      </c>
      <c r="G60" s="216">
        <f>IF(ISBLANK(F60),"-",(F60/$D$50*$D$47*$B$68)*($B$57/$D$60))</f>
        <v>192.70578172717509</v>
      </c>
      <c r="H60" s="133">
        <f t="shared" ref="H60:H71" si="0">IF(ISBLANK(F60),"-",G60/$B$56)</f>
        <v>0.96352890863587548</v>
      </c>
      <c r="L60" s="64"/>
    </row>
    <row r="61" spans="1:12" s="3" customFormat="1" ht="26.25" customHeight="1" x14ac:dyDescent="0.4">
      <c r="A61" s="76" t="s">
        <v>78</v>
      </c>
      <c r="B61" s="77">
        <v>50</v>
      </c>
      <c r="C61" s="261"/>
      <c r="D61" s="264"/>
      <c r="E61" s="134">
        <v>2</v>
      </c>
      <c r="F61" s="278">
        <v>0.35599999999999998</v>
      </c>
      <c r="G61" s="217">
        <f>IF(ISBLANK(F61),"-",(F61/$D$50*$D$47*$B$68)*($B$57/$D$60))</f>
        <v>190.56460637465094</v>
      </c>
      <c r="H61" s="135">
        <f t="shared" si="0"/>
        <v>0.95282303187325468</v>
      </c>
      <c r="L61" s="64"/>
    </row>
    <row r="62" spans="1:12" s="3" customFormat="1" ht="26.25" customHeight="1" x14ac:dyDescent="0.4">
      <c r="A62" s="76" t="s">
        <v>79</v>
      </c>
      <c r="B62" s="77">
        <v>3</v>
      </c>
      <c r="C62" s="261"/>
      <c r="D62" s="264"/>
      <c r="E62" s="134">
        <v>3</v>
      </c>
      <c r="F62" s="278">
        <v>0.35399999999999998</v>
      </c>
      <c r="G62" s="217">
        <f>IF(ISBLANK(F62),"-",(F62/$D$50*$D$47*$B$68)*($B$57/$D$60))</f>
        <v>189.4940186983888</v>
      </c>
      <c r="H62" s="135">
        <f t="shared" si="0"/>
        <v>0.947470093491944</v>
      </c>
      <c r="L62" s="64"/>
    </row>
    <row r="63" spans="1:12" ht="27" customHeight="1" x14ac:dyDescent="0.4">
      <c r="A63" s="76" t="s">
        <v>80</v>
      </c>
      <c r="B63" s="77">
        <v>50</v>
      </c>
      <c r="C63" s="262"/>
      <c r="D63" s="265"/>
      <c r="E63" s="136">
        <v>4</v>
      </c>
      <c r="F63" s="279"/>
      <c r="G63" s="217" t="str">
        <f>IF(ISBLANK(F63),"-",(F63/$D$50*$D$47*$B$68)*($B$57/$D$60))</f>
        <v>-</v>
      </c>
      <c r="H63" s="135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260" t="s">
        <v>82</v>
      </c>
      <c r="D64" s="263">
        <v>518.61</v>
      </c>
      <c r="E64" s="132">
        <v>1</v>
      </c>
      <c r="F64" s="277">
        <v>0.35699999999999998</v>
      </c>
      <c r="G64" s="218">
        <f>IF(ISBLANK(F64),"-",(F64/$D$50*$D$47*$B$68)*($B$57/$D$64))</f>
        <v>193.34028777432863</v>
      </c>
      <c r="H64" s="137">
        <f t="shared" si="0"/>
        <v>0.96670143887164317</v>
      </c>
    </row>
    <row r="65" spans="1:8" ht="26.25" customHeight="1" x14ac:dyDescent="0.4">
      <c r="A65" s="76" t="s">
        <v>83</v>
      </c>
      <c r="B65" s="77">
        <v>1</v>
      </c>
      <c r="C65" s="261"/>
      <c r="D65" s="264"/>
      <c r="E65" s="134">
        <v>2</v>
      </c>
      <c r="F65" s="278">
        <v>0.35899999999999999</v>
      </c>
      <c r="G65" s="219">
        <f>IF(ISBLANK(F65),"-",(F65/$D$50*$D$47*$B$68)*($B$57/$D$64))</f>
        <v>194.42342664141174</v>
      </c>
      <c r="H65" s="138">
        <f t="shared" si="0"/>
        <v>0.97211713320705873</v>
      </c>
    </row>
    <row r="66" spans="1:8" ht="26.25" customHeight="1" x14ac:dyDescent="0.4">
      <c r="A66" s="76" t="s">
        <v>84</v>
      </c>
      <c r="B66" s="77">
        <v>1</v>
      </c>
      <c r="C66" s="261"/>
      <c r="D66" s="264"/>
      <c r="E66" s="134">
        <v>3</v>
      </c>
      <c r="F66" s="278">
        <v>0.36</v>
      </c>
      <c r="G66" s="219">
        <f>IF(ISBLANK(F66),"-",(F66/$D$50*$D$47*$B$68)*($B$57/$D$64))</f>
        <v>194.96499607495326</v>
      </c>
      <c r="H66" s="138">
        <f t="shared" si="0"/>
        <v>0.97482498037476628</v>
      </c>
    </row>
    <row r="67" spans="1:8" ht="27" customHeight="1" x14ac:dyDescent="0.4">
      <c r="A67" s="76" t="s">
        <v>85</v>
      </c>
      <c r="B67" s="77">
        <v>1</v>
      </c>
      <c r="C67" s="262"/>
      <c r="D67" s="265"/>
      <c r="E67" s="136">
        <v>4</v>
      </c>
      <c r="F67" s="279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6" t="s">
        <v>86</v>
      </c>
      <c r="B68" s="140">
        <f>(B67/B66)*(B65/B64)*(B63/B62)*(B61/B60)*B59</f>
        <v>16666.666666666668</v>
      </c>
      <c r="C68" s="260" t="s">
        <v>87</v>
      </c>
      <c r="D68" s="263">
        <v>520.21</v>
      </c>
      <c r="E68" s="132">
        <v>1</v>
      </c>
      <c r="F68" s="277"/>
      <c r="G68" s="218" t="str">
        <f>IF(ISBLANK(F68),"-",(F68/$D$50*$D$47*$B$68)*($B$57/$D$68))</f>
        <v>-</v>
      </c>
      <c r="H68" s="135" t="str">
        <f t="shared" si="0"/>
        <v>-</v>
      </c>
    </row>
    <row r="69" spans="1:8" ht="27" customHeight="1" x14ac:dyDescent="0.4">
      <c r="A69" s="122" t="s">
        <v>88</v>
      </c>
      <c r="B69" s="141">
        <f>(D47*B68)/B56*B57</f>
        <v>546.25375000000008</v>
      </c>
      <c r="C69" s="261"/>
      <c r="D69" s="264"/>
      <c r="E69" s="134">
        <v>2</v>
      </c>
      <c r="F69" s="278"/>
      <c r="G69" s="219" t="str">
        <f>IF(ISBLANK(F69),"-",(F69/$D$50*$D$47*$B$68)*($B$57/$D$68))</f>
        <v>-</v>
      </c>
      <c r="H69" s="135" t="str">
        <f t="shared" si="0"/>
        <v>-</v>
      </c>
    </row>
    <row r="70" spans="1:8" ht="26.25" customHeight="1" x14ac:dyDescent="0.4">
      <c r="A70" s="273" t="s">
        <v>61</v>
      </c>
      <c r="B70" s="274"/>
      <c r="C70" s="261"/>
      <c r="D70" s="264"/>
      <c r="E70" s="134">
        <v>3</v>
      </c>
      <c r="F70" s="278"/>
      <c r="G70" s="219" t="str">
        <f>IF(ISBLANK(F70),"-",(F70/$D$50*$D$47*$B$68)*($B$57/$D$68))</f>
        <v>-</v>
      </c>
      <c r="H70" s="135" t="str">
        <f t="shared" si="0"/>
        <v>-</v>
      </c>
    </row>
    <row r="71" spans="1:8" ht="27" customHeight="1" x14ac:dyDescent="0.4">
      <c r="A71" s="275"/>
      <c r="B71" s="276"/>
      <c r="C71" s="272"/>
      <c r="D71" s="265"/>
      <c r="E71" s="136">
        <v>4</v>
      </c>
      <c r="F71" s="279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54</v>
      </c>
      <c r="G72" s="225">
        <f>AVERAGE(G60:G71)</f>
        <v>192.58218621515141</v>
      </c>
      <c r="H72" s="146">
        <f>AVERAGE(H60:H71)</f>
        <v>0.96291093107575698</v>
      </c>
    </row>
    <row r="73" spans="1:8" ht="26.25" customHeight="1" x14ac:dyDescent="0.4">
      <c r="C73" s="143"/>
      <c r="D73" s="143"/>
      <c r="E73" s="143"/>
      <c r="F73" s="147" t="s">
        <v>67</v>
      </c>
      <c r="G73" s="221">
        <f>STDEV(G60:G71)/G72</f>
        <v>1.1200919611004249E-2</v>
      </c>
      <c r="H73" s="221">
        <f>STDEV(H60:H71)/H72</f>
        <v>1.1200919611004251E-2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8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60" t="s">
        <v>89</v>
      </c>
      <c r="B76" s="151" t="s">
        <v>90</v>
      </c>
      <c r="C76" s="268" t="str">
        <f>B20</f>
        <v xml:space="preserve">Metronidazole </v>
      </c>
      <c r="D76" s="268"/>
      <c r="E76" s="152" t="s">
        <v>91</v>
      </c>
      <c r="F76" s="152"/>
      <c r="G76" s="153">
        <f>H72</f>
        <v>0.96291093107575698</v>
      </c>
      <c r="H76" s="154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254" t="str">
        <f>B26</f>
        <v>Metronidazole</v>
      </c>
      <c r="C79" s="254"/>
    </row>
    <row r="80" spans="1:8" ht="26.25" customHeight="1" x14ac:dyDescent="0.4">
      <c r="A80" s="61" t="s">
        <v>31</v>
      </c>
      <c r="B80" s="254" t="str">
        <f>B27</f>
        <v>M2-3</v>
      </c>
      <c r="C80" s="254"/>
    </row>
    <row r="81" spans="1:12" ht="27" customHeight="1" x14ac:dyDescent="0.4">
      <c r="A81" s="61" t="s">
        <v>3</v>
      </c>
      <c r="B81" s="155">
        <f>B28</f>
        <v>99.74</v>
      </c>
    </row>
    <row r="82" spans="1:12" s="3" customFormat="1" ht="27" customHeight="1" x14ac:dyDescent="0.4">
      <c r="A82" s="61" t="s">
        <v>32</v>
      </c>
      <c r="B82" s="63">
        <v>0</v>
      </c>
      <c r="C82" s="245" t="s">
        <v>33</v>
      </c>
      <c r="D82" s="246"/>
      <c r="E82" s="246"/>
      <c r="F82" s="246"/>
      <c r="G82" s="247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154.46</v>
      </c>
      <c r="C84" s="248" t="s">
        <v>94</v>
      </c>
      <c r="D84" s="249"/>
      <c r="E84" s="249"/>
      <c r="F84" s="249"/>
      <c r="G84" s="249"/>
      <c r="H84" s="250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165.23</v>
      </c>
      <c r="C85" s="248" t="s">
        <v>95</v>
      </c>
      <c r="D85" s="249"/>
      <c r="E85" s="249"/>
      <c r="F85" s="249"/>
      <c r="G85" s="249"/>
      <c r="H85" s="25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0.93481813230042976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1</v>
      </c>
      <c r="D89" s="156" t="s">
        <v>42</v>
      </c>
      <c r="E89" s="157"/>
      <c r="F89" s="251" t="s">
        <v>43</v>
      </c>
      <c r="G89" s="253"/>
    </row>
    <row r="90" spans="1:12" ht="27" customHeight="1" x14ac:dyDescent="0.4">
      <c r="A90" s="76" t="s">
        <v>44</v>
      </c>
      <c r="B90" s="77">
        <v>1</v>
      </c>
      <c r="C90" s="158" t="s">
        <v>45</v>
      </c>
      <c r="D90" s="79" t="s">
        <v>46</v>
      </c>
      <c r="E90" s="80" t="s">
        <v>47</v>
      </c>
      <c r="F90" s="79" t="s">
        <v>46</v>
      </c>
      <c r="G90" s="159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</v>
      </c>
      <c r="C91" s="160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50</v>
      </c>
      <c r="B92" s="77">
        <v>1</v>
      </c>
      <c r="C92" s="144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255" t="e">
        <f>ABS((F96/D96*D95)-F95)/D95</f>
        <v>#DIV/0!</v>
      </c>
    </row>
    <row r="93" spans="1:12" ht="26.25" customHeight="1" x14ac:dyDescent="0.4">
      <c r="A93" s="76" t="s">
        <v>51</v>
      </c>
      <c r="B93" s="77">
        <v>1</v>
      </c>
      <c r="C93" s="144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255"/>
    </row>
    <row r="94" spans="1:12" ht="27" customHeight="1" x14ac:dyDescent="0.4">
      <c r="A94" s="76" t="s">
        <v>52</v>
      </c>
      <c r="B94" s="77">
        <v>1</v>
      </c>
      <c r="C94" s="161">
        <v>4</v>
      </c>
      <c r="D94" s="94"/>
      <c r="E94" s="95" t="str">
        <f>IF(ISBLANK(D94),"-",$D$101/$D$98*D94)</f>
        <v>-</v>
      </c>
      <c r="F94" s="162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63" t="s">
        <v>54</v>
      </c>
      <c r="D95" s="164" t="e">
        <f>AVERAGE(D91:D94)</f>
        <v>#DIV/0!</v>
      </c>
      <c r="E95" s="99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6" t="s">
        <v>55</v>
      </c>
      <c r="B96" s="62">
        <v>1</v>
      </c>
      <c r="C96" s="167" t="s">
        <v>96</v>
      </c>
      <c r="D96" s="168"/>
      <c r="E96" s="92"/>
      <c r="F96" s="102"/>
    </row>
    <row r="97" spans="1:10" ht="26.25" customHeight="1" x14ac:dyDescent="0.4">
      <c r="A97" s="76" t="s">
        <v>57</v>
      </c>
      <c r="B97" s="62">
        <v>1</v>
      </c>
      <c r="C97" s="169" t="s">
        <v>97</v>
      </c>
      <c r="D97" s="170">
        <f>D96*$B$87</f>
        <v>0</v>
      </c>
      <c r="E97" s="105"/>
      <c r="F97" s="104">
        <f>F96*$B$87</f>
        <v>0</v>
      </c>
    </row>
    <row r="98" spans="1:10" ht="19.5" customHeight="1" x14ac:dyDescent="0.3">
      <c r="A98" s="76" t="s">
        <v>59</v>
      </c>
      <c r="B98" s="171">
        <f>(B97/B96)*(B95/B94)*(B93/B92)*(B91/B90)*B89</f>
        <v>1</v>
      </c>
      <c r="C98" s="169" t="s">
        <v>98</v>
      </c>
      <c r="D98" s="172">
        <f>D97*$B$83/100</f>
        <v>0</v>
      </c>
      <c r="E98" s="108"/>
      <c r="F98" s="107">
        <f>F97*$B$83/100</f>
        <v>0</v>
      </c>
    </row>
    <row r="99" spans="1:10" ht="19.5" customHeight="1" x14ac:dyDescent="0.3">
      <c r="A99" s="256" t="s">
        <v>61</v>
      </c>
      <c r="B99" s="270"/>
      <c r="C99" s="169" t="s">
        <v>99</v>
      </c>
      <c r="D99" s="173">
        <f>D98/$B$98</f>
        <v>0</v>
      </c>
      <c r="E99" s="108"/>
      <c r="F99" s="111">
        <f>F98/$B$98</f>
        <v>0</v>
      </c>
      <c r="G99" s="174"/>
      <c r="H99" s="100"/>
    </row>
    <row r="100" spans="1:10" ht="19.5" customHeight="1" x14ac:dyDescent="0.3">
      <c r="A100" s="258"/>
      <c r="B100" s="271"/>
      <c r="C100" s="169" t="s">
        <v>63</v>
      </c>
      <c r="D100" s="175">
        <f>$B$56/$B$116</f>
        <v>200</v>
      </c>
      <c r="F100" s="116"/>
      <c r="G100" s="176"/>
      <c r="H100" s="100"/>
    </row>
    <row r="101" spans="1:10" ht="18.75" x14ac:dyDescent="0.3">
      <c r="C101" s="169" t="s">
        <v>64</v>
      </c>
      <c r="D101" s="170">
        <f>D100*$B$98</f>
        <v>200</v>
      </c>
      <c r="F101" s="116"/>
      <c r="G101" s="174"/>
      <c r="H101" s="100"/>
    </row>
    <row r="102" spans="1:10" ht="19.5" customHeight="1" x14ac:dyDescent="0.3">
      <c r="C102" s="177" t="s">
        <v>65</v>
      </c>
      <c r="D102" s="178">
        <f>D101/B34</f>
        <v>200</v>
      </c>
      <c r="F102" s="120"/>
      <c r="G102" s="174"/>
      <c r="H102" s="100"/>
      <c r="J102" s="179"/>
    </row>
    <row r="103" spans="1:10" ht="18.75" x14ac:dyDescent="0.3">
      <c r="C103" s="180" t="s">
        <v>100</v>
      </c>
      <c r="D103" s="181" t="e">
        <f>AVERAGE(E91:E94,G91:G94)</f>
        <v>#DIV/0!</v>
      </c>
      <c r="F103" s="120"/>
      <c r="G103" s="182"/>
      <c r="H103" s="100"/>
      <c r="J103" s="183"/>
    </row>
    <row r="104" spans="1:10" ht="18.75" x14ac:dyDescent="0.3">
      <c r="C104" s="147" t="s">
        <v>67</v>
      </c>
      <c r="D104" s="184" t="e">
        <f>STDEV(E91:E94,G91:G94)/D103</f>
        <v>#DIV/0!</v>
      </c>
      <c r="F104" s="120"/>
      <c r="G104" s="174"/>
      <c r="H104" s="100"/>
      <c r="J104" s="183"/>
    </row>
    <row r="105" spans="1:10" ht="19.5" customHeight="1" x14ac:dyDescent="0.3">
      <c r="C105" s="149" t="s">
        <v>8</v>
      </c>
      <c r="D105" s="185">
        <f>COUNT(E91:E94,G91:G94)</f>
        <v>0</v>
      </c>
      <c r="F105" s="120"/>
      <c r="G105" s="174"/>
      <c r="H105" s="100"/>
      <c r="J105" s="183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101</v>
      </c>
      <c r="B107" s="75">
        <v>1</v>
      </c>
      <c r="C107" s="186" t="s">
        <v>102</v>
      </c>
      <c r="D107" s="187" t="s">
        <v>46</v>
      </c>
      <c r="E107" s="188" t="s">
        <v>103</v>
      </c>
      <c r="F107" s="189" t="s">
        <v>104</v>
      </c>
    </row>
    <row r="108" spans="1:10" ht="26.25" customHeight="1" x14ac:dyDescent="0.4">
      <c r="A108" s="76" t="s">
        <v>105</v>
      </c>
      <c r="B108" s="77">
        <v>1</v>
      </c>
      <c r="C108" s="190">
        <v>1</v>
      </c>
      <c r="D108" s="191"/>
      <c r="E108" s="222" t="str">
        <f t="shared" ref="E108:E113" si="1">IF(ISBLANK(D108),"-",D108/$D$103*$D$100*$B$116)</f>
        <v>-</v>
      </c>
      <c r="F108" s="192" t="str">
        <f t="shared" ref="F108:F113" si="2">IF(ISBLANK(D108), "-", E108/$B$56)</f>
        <v>-</v>
      </c>
    </row>
    <row r="109" spans="1:10" ht="26.25" customHeight="1" x14ac:dyDescent="0.4">
      <c r="A109" s="76" t="s">
        <v>78</v>
      </c>
      <c r="B109" s="77">
        <v>1</v>
      </c>
      <c r="C109" s="190">
        <v>2</v>
      </c>
      <c r="D109" s="191"/>
      <c r="E109" s="223" t="str">
        <f t="shared" si="1"/>
        <v>-</v>
      </c>
      <c r="F109" s="193" t="str">
        <f t="shared" si="2"/>
        <v>-</v>
      </c>
    </row>
    <row r="110" spans="1:10" ht="26.25" customHeight="1" x14ac:dyDescent="0.4">
      <c r="A110" s="76" t="s">
        <v>79</v>
      </c>
      <c r="B110" s="77">
        <v>1</v>
      </c>
      <c r="C110" s="190">
        <v>3</v>
      </c>
      <c r="D110" s="191"/>
      <c r="E110" s="223" t="str">
        <f t="shared" si="1"/>
        <v>-</v>
      </c>
      <c r="F110" s="193" t="str">
        <f t="shared" si="2"/>
        <v>-</v>
      </c>
    </row>
    <row r="111" spans="1:10" ht="26.25" customHeight="1" x14ac:dyDescent="0.4">
      <c r="A111" s="76" t="s">
        <v>80</v>
      </c>
      <c r="B111" s="77">
        <v>1</v>
      </c>
      <c r="C111" s="190">
        <v>4</v>
      </c>
      <c r="D111" s="191"/>
      <c r="E111" s="223" t="str">
        <f t="shared" si="1"/>
        <v>-</v>
      </c>
      <c r="F111" s="193" t="str">
        <f t="shared" si="2"/>
        <v>-</v>
      </c>
    </row>
    <row r="112" spans="1:10" ht="26.25" customHeight="1" x14ac:dyDescent="0.4">
      <c r="A112" s="76" t="s">
        <v>81</v>
      </c>
      <c r="B112" s="77">
        <v>1</v>
      </c>
      <c r="C112" s="190">
        <v>5</v>
      </c>
      <c r="D112" s="191"/>
      <c r="E112" s="223" t="str">
        <f t="shared" si="1"/>
        <v>-</v>
      </c>
      <c r="F112" s="193" t="str">
        <f t="shared" si="2"/>
        <v>-</v>
      </c>
    </row>
    <row r="113" spans="1:10" ht="26.25" customHeight="1" x14ac:dyDescent="0.4">
      <c r="A113" s="76" t="s">
        <v>83</v>
      </c>
      <c r="B113" s="77">
        <v>1</v>
      </c>
      <c r="C113" s="194">
        <v>6</v>
      </c>
      <c r="D113" s="195"/>
      <c r="E113" s="224" t="str">
        <f t="shared" si="1"/>
        <v>-</v>
      </c>
      <c r="F113" s="196" t="str">
        <f t="shared" si="2"/>
        <v>-</v>
      </c>
    </row>
    <row r="114" spans="1:10" ht="26.25" customHeight="1" x14ac:dyDescent="0.4">
      <c r="A114" s="76" t="s">
        <v>84</v>
      </c>
      <c r="B114" s="77">
        <v>1</v>
      </c>
      <c r="C114" s="190"/>
      <c r="D114" s="144"/>
      <c r="E114" s="50"/>
      <c r="F114" s="197"/>
    </row>
    <row r="115" spans="1:10" ht="26.25" customHeight="1" x14ac:dyDescent="0.4">
      <c r="A115" s="76" t="s">
        <v>85</v>
      </c>
      <c r="B115" s="77">
        <v>1</v>
      </c>
      <c r="C115" s="190"/>
      <c r="D115" s="198" t="s">
        <v>54</v>
      </c>
      <c r="E115" s="226" t="e">
        <f>AVERAGE(E108:E113)</f>
        <v>#DIV/0!</v>
      </c>
      <c r="F115" s="199" t="e">
        <f>AVERAGE(F108:F113)</f>
        <v>#DIV/0!</v>
      </c>
    </row>
    <row r="116" spans="1:10" ht="27" customHeight="1" x14ac:dyDescent="0.4">
      <c r="A116" s="76" t="s">
        <v>86</v>
      </c>
      <c r="B116" s="106">
        <f>(B115/B114)*(B113/B112)*(B111/B110)*(B109/B108)*B107</f>
        <v>1</v>
      </c>
      <c r="C116" s="200"/>
      <c r="D116" s="163" t="s">
        <v>67</v>
      </c>
      <c r="E116" s="201" t="e">
        <f>STDEV(E108:E113)/E115</f>
        <v>#DIV/0!</v>
      </c>
      <c r="F116" s="201" t="e">
        <f>STDEV(F108:F113)/F115</f>
        <v>#DIV/0!</v>
      </c>
      <c r="I116" s="50"/>
    </row>
    <row r="117" spans="1:10" ht="27" customHeight="1" x14ac:dyDescent="0.4">
      <c r="A117" s="256" t="s">
        <v>61</v>
      </c>
      <c r="B117" s="257"/>
      <c r="C117" s="202"/>
      <c r="D117" s="203" t="s">
        <v>8</v>
      </c>
      <c r="E117" s="204">
        <f>COUNT(E108:E113)</f>
        <v>0</v>
      </c>
      <c r="F117" s="204">
        <f>COUNT(F108:F113)</f>
        <v>0</v>
      </c>
      <c r="I117" s="50"/>
      <c r="J117" s="183"/>
    </row>
    <row r="118" spans="1:10" ht="19.5" customHeight="1" x14ac:dyDescent="0.3">
      <c r="A118" s="258"/>
      <c r="B118" s="259"/>
      <c r="C118" s="50"/>
      <c r="D118" s="50"/>
      <c r="E118" s="50"/>
      <c r="F118" s="144"/>
      <c r="G118" s="50"/>
      <c r="H118" s="50"/>
      <c r="I118" s="50"/>
    </row>
    <row r="119" spans="1:10" ht="18.75" x14ac:dyDescent="0.3">
      <c r="A119" s="213"/>
      <c r="B119" s="72"/>
      <c r="C119" s="50"/>
      <c r="D119" s="50"/>
      <c r="E119" s="50"/>
      <c r="F119" s="144"/>
      <c r="G119" s="50"/>
      <c r="H119" s="50"/>
      <c r="I119" s="50"/>
    </row>
    <row r="120" spans="1:10" ht="26.25" customHeight="1" x14ac:dyDescent="0.4">
      <c r="A120" s="60" t="s">
        <v>89</v>
      </c>
      <c r="B120" s="151" t="s">
        <v>106</v>
      </c>
      <c r="C120" s="268" t="str">
        <f>B20</f>
        <v xml:space="preserve">Metronidazole </v>
      </c>
      <c r="D120" s="268"/>
      <c r="E120" s="152" t="s">
        <v>107</v>
      </c>
      <c r="F120" s="152"/>
      <c r="G120" s="153" t="e">
        <f>F115</f>
        <v>#DIV/0!</v>
      </c>
      <c r="H120" s="50"/>
      <c r="I120" s="50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269" t="s">
        <v>9</v>
      </c>
      <c r="C122" s="269"/>
      <c r="E122" s="158" t="s">
        <v>10</v>
      </c>
      <c r="F122" s="207"/>
      <c r="G122" s="269" t="s">
        <v>11</v>
      </c>
      <c r="H122" s="269"/>
    </row>
    <row r="123" spans="1:10" ht="69.95" customHeight="1" x14ac:dyDescent="0.3">
      <c r="A123" s="208" t="s">
        <v>12</v>
      </c>
      <c r="B123" s="209"/>
      <c r="C123" s="209"/>
      <c r="E123" s="209"/>
      <c r="F123" s="50"/>
      <c r="G123" s="210"/>
      <c r="H123" s="210"/>
    </row>
    <row r="124" spans="1:10" ht="69.95" customHeight="1" x14ac:dyDescent="0.3">
      <c r="A124" s="208" t="s">
        <v>13</v>
      </c>
      <c r="B124" s="211"/>
      <c r="C124" s="211"/>
      <c r="E124" s="211"/>
      <c r="F124" s="50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50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50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50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50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50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50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50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50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50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D8"/>
  <sheetViews>
    <sheetView workbookViewId="0">
      <selection activeCell="F21" sqref="F21"/>
    </sheetView>
  </sheetViews>
  <sheetFormatPr defaultRowHeight="12.75" x14ac:dyDescent="0.2"/>
  <sheetData>
    <row r="5" spans="4:4" x14ac:dyDescent="0.2">
      <c r="D5">
        <v>6483.21</v>
      </c>
    </row>
    <row r="6" spans="4:4" x14ac:dyDescent="0.2">
      <c r="D6">
        <v>6433.84</v>
      </c>
    </row>
    <row r="7" spans="4:4" x14ac:dyDescent="0.2">
      <c r="D7">
        <f>D5-D6</f>
        <v>49.369999999999891</v>
      </c>
    </row>
    <row r="8" spans="4:4" x14ac:dyDescent="0.2">
      <c r="D8" s="281">
        <f>D7/D5</f>
        <v>7.6150548879335839E-3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Metronidazole</vt:lpstr>
      <vt:lpstr>Friability</vt:lpstr>
      <vt:lpstr>Metronidazole!Print_Area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2016-07-27T11:28:04Z</cp:lastPrinted>
  <dcterms:created xsi:type="dcterms:W3CDTF">2005-07-05T10:19:27Z</dcterms:created>
  <dcterms:modified xsi:type="dcterms:W3CDTF">2017-04-04T09:13:03Z</dcterms:modified>
</cp:coreProperties>
</file>