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75" windowWidth="15015" windowHeight="7500" activeTab="2"/>
  </bookViews>
  <sheets>
    <sheet name="Uniformity" sheetId="3" r:id="rId1"/>
    <sheet name="SST" sheetId="1" r:id="rId2"/>
    <sheet name="Benzyl Penicillin Sodium BP" sheetId="2" r:id="rId3"/>
  </sheets>
  <definedNames>
    <definedName name="_xlnm.Print_Area" localSheetId="2">'Benzyl Penicillin Sodium BP'!$A$1:$H$81</definedName>
    <definedName name="_xlnm.Print_Area" localSheetId="0">Uniformity!$A$1:$G$54</definedName>
  </definedNames>
  <calcPr calcId="144525"/>
</workbook>
</file>

<file path=xl/calcChain.xml><?xml version="1.0" encoding="utf-8"?>
<calcChain xmlns="http://schemas.openxmlformats.org/spreadsheetml/2006/main">
  <c r="E38" i="2" l="1"/>
  <c r="C12" i="3"/>
  <c r="C13" i="3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C76" i="2"/>
  <c r="H71" i="2"/>
  <c r="G71" i="2"/>
  <c r="B68" i="2"/>
  <c r="H67" i="2"/>
  <c r="G67" i="2"/>
  <c r="H63" i="2"/>
  <c r="G63" i="2"/>
  <c r="C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2" l="1"/>
  <c r="G38" i="2" s="1"/>
  <c r="D43" i="3"/>
  <c r="B57" i="2" s="1"/>
  <c r="G70" i="2" s="1"/>
  <c r="H70" i="2" s="1"/>
  <c r="D42" i="3"/>
  <c r="D44" i="2"/>
  <c r="D45" i="2" s="1"/>
  <c r="G60" i="2" l="1"/>
  <c r="H60" i="2" s="1"/>
  <c r="B69" i="2"/>
  <c r="G68" i="2"/>
  <c r="H68" i="2" s="1"/>
  <c r="F46" i="2"/>
  <c r="G40" i="2"/>
  <c r="G39" i="2"/>
  <c r="D46" i="2"/>
  <c r="E39" i="2"/>
  <c r="E40" i="2"/>
  <c r="E21" i="3"/>
  <c r="C48" i="3"/>
  <c r="E39" i="3"/>
  <c r="E35" i="3"/>
  <c r="E33" i="3"/>
  <c r="E29" i="3"/>
  <c r="E23" i="3"/>
  <c r="D47" i="3"/>
  <c r="C47" i="3"/>
  <c r="D48" i="3"/>
  <c r="B47" i="3"/>
  <c r="E37" i="3"/>
  <c r="E31" i="3"/>
  <c r="E27" i="3"/>
  <c r="E25" i="3"/>
  <c r="E32" i="3"/>
  <c r="E30" i="3"/>
  <c r="E34" i="3"/>
  <c r="E28" i="3"/>
  <c r="E26" i="3"/>
  <c r="E40" i="3"/>
  <c r="E24" i="3"/>
  <c r="E22" i="3"/>
  <c r="E36" i="3"/>
  <c r="E38" i="3"/>
  <c r="G42" i="2" l="1"/>
  <c r="D52" i="2"/>
  <c r="E42" i="2"/>
  <c r="D50" i="2"/>
  <c r="D51" i="2" l="1"/>
  <c r="G64" i="2"/>
  <c r="H64" i="2" s="1"/>
  <c r="G62" i="2"/>
  <c r="H62" i="2" s="1"/>
  <c r="G66" i="2"/>
  <c r="H66" i="2" s="1"/>
  <c r="G61" i="2"/>
  <c r="H61" i="2" s="1"/>
  <c r="G65" i="2"/>
  <c r="H65" i="2" s="1"/>
  <c r="G69" i="2"/>
  <c r="H69" i="2" s="1"/>
  <c r="H72" i="2" l="1"/>
  <c r="G76" i="2" s="1"/>
  <c r="H74" i="2"/>
  <c r="H73" i="2" l="1"/>
</calcChain>
</file>

<file path=xl/sharedStrings.xml><?xml version="1.0" encoding="utf-8"?>
<sst xmlns="http://schemas.openxmlformats.org/spreadsheetml/2006/main" count="171" uniqueCount="119">
  <si>
    <t>HPLC System Suitability Report</t>
  </si>
  <si>
    <t>Analysis Data</t>
  </si>
  <si>
    <t>Assay</t>
  </si>
  <si>
    <t>Sample(s)</t>
  </si>
  <si>
    <t>Reference Substance:</t>
  </si>
  <si>
    <t>Benzyl Penicillin G Sodium Injection BP 5 Mega</t>
  </si>
  <si>
    <t>% age Purity:</t>
  </si>
  <si>
    <t>NDQA201509295</t>
  </si>
  <si>
    <t>Weight (mg):</t>
  </si>
  <si>
    <t>BenzylPenicillin sodium BP</t>
  </si>
  <si>
    <t>Standard Conc (mg/mL):</t>
  </si>
  <si>
    <t>Each vial contains Benzylpenicillin Sodium BP 5,000,000 I.U (3g)</t>
  </si>
  <si>
    <t>2015-09-30 13:31:23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</si>
  <si>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</si>
  <si>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</si>
  <si>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</si>
  <si>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</si>
  <si>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</si>
  <si>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</si>
  <si>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</si>
  <si>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</si>
  <si>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</si>
  <si>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</si>
  <si>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</si>
  <si>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</si>
  <si>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</si>
  <si>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</si>
  <si>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</si>
  <si>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</si>
  <si>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</si>
  <si>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</si>
  <si>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</si>
  <si>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</si>
  <si>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</si>
  <si>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</si>
  <si>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</si>
  <si>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</si>
  <si>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</si>
  <si>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</si>
  <si>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</si>
  <si>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</si>
  <si>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</si>
  <si>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</si>
  <si>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</si>
  <si>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</si>
  <si>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</si>
  <si>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</si>
  <si>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</si>
  <si>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</si>
  <si>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</si>
  <si>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</si>
  <si>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</si>
  <si>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</si>
  <si>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</si>
  <si>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</si>
  <si>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</si>
  <si>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</si>
  <si>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</si>
  <si>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</si>
  <si>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</si>
  <si>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</si>
  <si>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</si>
  <si>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</si>
  <si>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</si>
  <si>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</si>
  <si>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</si>
  <si>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</si>
  <si>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</si>
  <si>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</si>
  <si>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</si>
  <si>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</si>
  <si>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</si>
  <si>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</si>
  <si>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</si>
  <si>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</si>
  <si>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</si>
  <si>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</si>
  <si>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</si>
  <si>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</si>
  <si>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</si>
  <si>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</si>
  <si>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</si>
  <si>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</si>
  <si>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</si>
  <si>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</si>
  <si>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</si>
  <si>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</si>
  <si>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</si>
  <si>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</si>
  <si>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</si>
  <si>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</si>
  <si>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</si>
  <si>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</si>
  <si>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</si>
  <si>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</si>
  <si>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</si>
  <si>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</si>
  <si>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</si>
  <si>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</si>
  <si>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</si>
  <si>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</si>
  <si>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Uniformity of Weight Test Report</t>
  </si>
  <si>
    <t>Uniformity of weight</t>
  </si>
  <si>
    <t>% Deviation</t>
  </si>
  <si>
    <t>Total</t>
  </si>
  <si>
    <t>Average</t>
  </si>
  <si>
    <t>% Deviation from mean</t>
  </si>
  <si>
    <t>BenzylPenicillin Sodium for Injection</t>
  </si>
  <si>
    <t>Benzylpenicillin 3000mg/vial</t>
  </si>
  <si>
    <t>Vial No.</t>
  </si>
  <si>
    <t>Intact Vial (mg)</t>
  </si>
  <si>
    <t>Vial Content (mg)</t>
  </si>
  <si>
    <t>Empty Vial (mg)</t>
  </si>
  <si>
    <t>BenzylPeniciilin Sodium</t>
  </si>
  <si>
    <t>P15 1</t>
  </si>
  <si>
    <t>Bugigi</t>
  </si>
  <si>
    <t>26-2-2016</t>
  </si>
  <si>
    <t>Each vial contains Benzylpenicillin Sodium BP 1,000,000 I.U (0.6g)</t>
  </si>
  <si>
    <t>NDQA201509297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</si>
</sst>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dd\-mmm\-yyyy"/>
    <numFmt numFmtId="172" formatCode="0.0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  <font>
      <b/>
      <sz val="12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9" fillId="2" borderId="0"/>
  </cellStyleXfs>
  <cellXfs count="2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20" fillId="2" borderId="0" xfId="1" applyFont="1" applyFill="1"/>
    <xf numFmtId="0" fontId="20" fillId="2" borderId="0" xfId="1" applyFont="1" applyFill="1" applyAlignment="1">
      <alignment horizontal="center"/>
    </xf>
    <xf numFmtId="10" fontId="20" fillId="2" borderId="0" xfId="1" applyNumberFormat="1" applyFont="1" applyFill="1"/>
    <xf numFmtId="164" fontId="20" fillId="2" borderId="0" xfId="1" applyNumberFormat="1" applyFont="1" applyFill="1" applyAlignment="1">
      <alignment horizontal="center"/>
    </xf>
    <xf numFmtId="10" fontId="20" fillId="2" borderId="0" xfId="1" applyNumberFormat="1" applyFont="1" applyFill="1" applyAlignment="1">
      <alignment horizontal="center"/>
    </xf>
    <xf numFmtId="0" fontId="21" fillId="2" borderId="0" xfId="1" applyFont="1" applyFill="1"/>
    <xf numFmtId="2" fontId="20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center" wrapText="1"/>
    </xf>
    <xf numFmtId="1" fontId="24" fillId="4" borderId="2" xfId="1" applyNumberFormat="1" applyFont="1" applyFill="1" applyBorder="1" applyAlignment="1">
      <alignment horizontal="center"/>
    </xf>
    <xf numFmtId="171" fontId="20" fillId="2" borderId="0" xfId="1" applyNumberFormat="1" applyFont="1" applyFill="1" applyAlignment="1">
      <alignment horizontal="center"/>
    </xf>
    <xf numFmtId="0" fontId="25" fillId="2" borderId="4" xfId="1" applyFont="1" applyFill="1" applyBorder="1"/>
    <xf numFmtId="0" fontId="26" fillId="2" borderId="0" xfId="1" applyFont="1" applyFill="1" applyAlignment="1">
      <alignment horizontal="left"/>
    </xf>
    <xf numFmtId="164" fontId="21" fillId="2" borderId="48" xfId="1" applyNumberFormat="1" applyFont="1" applyFill="1" applyBorder="1" applyAlignment="1">
      <alignment horizontal="center"/>
    </xf>
    <xf numFmtId="164" fontId="21" fillId="2" borderId="45" xfId="1" applyNumberFormat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45" xfId="1" applyFont="1" applyFill="1" applyBorder="1" applyAlignment="1">
      <alignment horizontal="center"/>
    </xf>
    <xf numFmtId="2" fontId="20" fillId="2" borderId="0" xfId="1" applyNumberFormat="1" applyFont="1" applyFill="1" applyAlignment="1">
      <alignment horizontal="center" wrapText="1"/>
    </xf>
    <xf numFmtId="0" fontId="20" fillId="2" borderId="40" xfId="1" applyFont="1" applyFill="1" applyBorder="1" applyAlignment="1">
      <alignment horizontal="center"/>
    </xf>
    <xf numFmtId="2" fontId="20" fillId="3" borderId="23" xfId="1" applyNumberFormat="1" applyFont="1" applyFill="1" applyBorder="1" applyAlignment="1" applyProtection="1">
      <alignment horizontal="center"/>
      <protection locked="0"/>
    </xf>
    <xf numFmtId="2" fontId="20" fillId="3" borderId="40" xfId="1" applyNumberFormat="1" applyFont="1" applyFill="1" applyBorder="1" applyAlignment="1" applyProtection="1">
      <alignment horizontal="center"/>
      <protection locked="0"/>
    </xf>
    <xf numFmtId="2" fontId="20" fillId="2" borderId="40" xfId="1" applyNumberFormat="1" applyFont="1" applyFill="1" applyBorder="1" applyAlignment="1">
      <alignment horizontal="center"/>
    </xf>
    <xf numFmtId="10" fontId="20" fillId="2" borderId="41" xfId="1" applyNumberFormat="1" applyFont="1" applyFill="1" applyBorder="1" applyAlignment="1">
      <alignment horizontal="center"/>
    </xf>
    <xf numFmtId="0" fontId="20" fillId="2" borderId="32" xfId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/>
      <protection locked="0"/>
    </xf>
    <xf numFmtId="2" fontId="20" fillId="3" borderId="32" xfId="1" applyNumberFormat="1" applyFont="1" applyFill="1" applyBorder="1" applyAlignment="1" applyProtection="1">
      <alignment horizontal="center"/>
      <protection locked="0"/>
    </xf>
    <xf numFmtId="2" fontId="20" fillId="2" borderId="32" xfId="1" applyNumberFormat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 wrapText="1"/>
      <protection locked="0"/>
    </xf>
    <xf numFmtId="170" fontId="20" fillId="2" borderId="0" xfId="1" applyNumberFormat="1" applyFont="1" applyFill="1" applyAlignment="1">
      <alignment horizontal="center"/>
    </xf>
    <xf numFmtId="170" fontId="27" fillId="2" borderId="0" xfId="1" applyNumberFormat="1" applyFont="1" applyFill="1" applyAlignment="1">
      <alignment horizontal="center"/>
    </xf>
    <xf numFmtId="10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2" fontId="19" fillId="2" borderId="0" xfId="1" applyNumberFormat="1" applyFill="1" applyAlignment="1">
      <alignment horizontal="center"/>
    </xf>
    <xf numFmtId="164" fontId="19" fillId="2" borderId="0" xfId="1" applyNumberFormat="1" applyFill="1"/>
    <xf numFmtId="10" fontId="19" fillId="2" borderId="0" xfId="1" applyNumberFormat="1" applyFill="1"/>
    <xf numFmtId="2" fontId="19" fillId="2" borderId="0" xfId="1" applyNumberFormat="1" applyFill="1"/>
    <xf numFmtId="0" fontId="19" fillId="2" borderId="0" xfId="1" applyFill="1" applyAlignment="1">
      <alignment horizontal="right"/>
    </xf>
    <xf numFmtId="1" fontId="20" fillId="2" borderId="33" xfId="1" applyNumberFormat="1" applyFont="1" applyFill="1" applyBorder="1" applyAlignment="1">
      <alignment horizontal="center"/>
    </xf>
    <xf numFmtId="2" fontId="20" fillId="3" borderId="42" xfId="1" applyNumberFormat="1" applyFont="1" applyFill="1" applyBorder="1" applyAlignment="1" applyProtection="1">
      <alignment horizontal="center" wrapText="1"/>
      <protection locked="0"/>
    </xf>
    <xf numFmtId="2" fontId="20" fillId="3" borderId="33" xfId="1" applyNumberFormat="1" applyFont="1" applyFill="1" applyBorder="1" applyAlignment="1" applyProtection="1">
      <alignment horizontal="center"/>
      <protection locked="0"/>
    </xf>
    <xf numFmtId="2" fontId="20" fillId="2" borderId="33" xfId="1" applyNumberFormat="1" applyFont="1" applyFill="1" applyBorder="1" applyAlignment="1">
      <alignment horizontal="center"/>
    </xf>
    <xf numFmtId="10" fontId="20" fillId="2" borderId="42" xfId="1" applyNumberFormat="1" applyFont="1" applyFill="1" applyBorder="1" applyAlignment="1">
      <alignment horizontal="center"/>
    </xf>
    <xf numFmtId="0" fontId="20" fillId="2" borderId="46" xfId="1" applyFont="1" applyFill="1" applyBorder="1" applyAlignment="1">
      <alignment horizontal="right"/>
    </xf>
    <xf numFmtId="170" fontId="20" fillId="2" borderId="49" xfId="1" applyNumberFormat="1" applyFont="1" applyFill="1" applyBorder="1" applyAlignment="1">
      <alignment horizontal="center"/>
    </xf>
    <xf numFmtId="170" fontId="20" fillId="2" borderId="50" xfId="1" applyNumberFormat="1" applyFont="1" applyFill="1" applyBorder="1" applyAlignment="1">
      <alignment horizontal="center"/>
    </xf>
    <xf numFmtId="170" fontId="20" fillId="2" borderId="51" xfId="1" applyNumberFormat="1" applyFont="1" applyFill="1" applyBorder="1" applyAlignment="1">
      <alignment horizontal="center"/>
    </xf>
    <xf numFmtId="0" fontId="20" fillId="2" borderId="52" xfId="1" applyFont="1" applyFill="1" applyBorder="1" applyAlignment="1">
      <alignment horizontal="right"/>
    </xf>
    <xf numFmtId="170" fontId="21" fillId="2" borderId="27" xfId="1" applyNumberFormat="1" applyFont="1" applyFill="1" applyBorder="1" applyAlignment="1">
      <alignment horizontal="center"/>
    </xf>
    <xf numFmtId="170" fontId="21" fillId="2" borderId="53" xfId="1" applyNumberFormat="1" applyFont="1" applyFill="1" applyBorder="1" applyAlignment="1">
      <alignment horizontal="center"/>
    </xf>
    <xf numFmtId="170" fontId="21" fillId="2" borderId="54" xfId="1" applyNumberFormat="1" applyFont="1" applyFill="1" applyBorder="1" applyAlignment="1">
      <alignment horizontal="center"/>
    </xf>
    <xf numFmtId="164" fontId="20" fillId="2" borderId="0" xfId="1" applyNumberFormat="1" applyFont="1" applyFill="1"/>
    <xf numFmtId="0" fontId="21" fillId="2" borderId="48" xfId="1" applyFont="1" applyFill="1" applyBorder="1" applyAlignment="1">
      <alignment horizontal="center" vertical="center"/>
    </xf>
    <xf numFmtId="0" fontId="21" fillId="2" borderId="48" xfId="1" applyFont="1" applyFill="1" applyBorder="1" applyAlignment="1">
      <alignment horizontal="center" wrapText="1"/>
    </xf>
    <xf numFmtId="165" fontId="21" fillId="2" borderId="31" xfId="1" applyNumberFormat="1" applyFont="1" applyFill="1" applyBorder="1" applyAlignment="1">
      <alignment horizontal="center"/>
    </xf>
    <xf numFmtId="172" fontId="21" fillId="2" borderId="47" xfId="1" applyNumberFormat="1" applyFont="1" applyFill="1" applyBorder="1" applyAlignment="1">
      <alignment horizontal="center" vertical="center"/>
    </xf>
    <xf numFmtId="165" fontId="21" fillId="2" borderId="33" xfId="1" applyNumberFormat="1" applyFont="1" applyFill="1" applyBorder="1" applyAlignment="1">
      <alignment horizontal="center"/>
    </xf>
    <xf numFmtId="0" fontId="20" fillId="2" borderId="9" xfId="1" applyFont="1" applyFill="1" applyBorder="1"/>
    <xf numFmtId="0" fontId="20" fillId="2" borderId="0" xfId="1" applyFont="1" applyFill="1" applyAlignment="1">
      <alignment horizontal="right"/>
    </xf>
    <xf numFmtId="10" fontId="20" fillId="2" borderId="44" xfId="1" applyNumberFormat="1" applyFont="1" applyFill="1" applyBorder="1"/>
    <xf numFmtId="0" fontId="21" fillId="2" borderId="1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0" fillId="2" borderId="7" xfId="1" applyFont="1" applyFill="1" applyBorder="1"/>
    <xf numFmtId="0" fontId="21" fillId="2" borderId="11" xfId="1" applyFont="1" applyFill="1" applyBorder="1"/>
    <xf numFmtId="0" fontId="20" fillId="2" borderId="11" xfId="1" applyFont="1" applyFill="1" applyBorder="1"/>
    <xf numFmtId="0" fontId="19" fillId="2" borderId="0" xfId="1" applyFill="1"/>
    <xf numFmtId="1" fontId="28" fillId="8" borderId="0" xfId="1" applyNumberFormat="1" applyFont="1" applyFill="1" applyBorder="1" applyAlignment="1">
      <alignment horizontal="center"/>
    </xf>
    <xf numFmtId="0" fontId="25" fillId="2" borderId="0" xfId="1" applyFont="1" applyFill="1" applyBorder="1"/>
    <xf numFmtId="0" fontId="20" fillId="2" borderId="0" xfId="1" applyFont="1" applyFill="1" applyBorder="1"/>
    <xf numFmtId="0" fontId="31" fillId="2" borderId="7" xfId="0" applyFont="1" applyFill="1" applyBorder="1" applyProtection="1">
      <protection locked="0"/>
    </xf>
    <xf numFmtId="0" fontId="31" fillId="2" borderId="7" xfId="0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167" fontId="21" fillId="2" borderId="36" xfId="1" applyNumberFormat="1" applyFont="1" applyFill="1" applyBorder="1" applyAlignment="1">
      <alignment horizontal="center" vertical="center"/>
    </xf>
    <xf numFmtId="167" fontId="21" fillId="2" borderId="35" xfId="1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left" wrapText="1"/>
    </xf>
    <xf numFmtId="0" fontId="22" fillId="2" borderId="0" xfId="1" applyFont="1" applyFill="1" applyAlignment="1">
      <alignment horizontal="center" wrapText="1"/>
    </xf>
    <xf numFmtId="0" fontId="2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18" zoomScale="110" zoomScaleNormal="100" zoomScaleSheetLayoutView="110" workbookViewId="0">
      <selection activeCell="C40" sqref="C40"/>
    </sheetView>
  </sheetViews>
  <sheetFormatPr defaultColWidth="9.140625" defaultRowHeight="16.5" x14ac:dyDescent="0.3"/>
  <cols>
    <col min="1" max="1" width="13.140625" style="179" customWidth="1"/>
    <col min="2" max="2" width="17.85546875" style="225" customWidth="1"/>
    <col min="3" max="3" width="18.85546875" style="179" customWidth="1"/>
    <col min="4" max="4" width="19.7109375" style="177" customWidth="1"/>
    <col min="5" max="5" width="18.42578125" style="179" customWidth="1"/>
    <col min="6" max="6" width="6.42578125" style="174" customWidth="1"/>
    <col min="7" max="7" width="17.140625" style="174" customWidth="1"/>
    <col min="8" max="8" width="13.140625" style="174" customWidth="1"/>
    <col min="9" max="9" width="11" style="174" customWidth="1"/>
    <col min="10" max="10" width="15" style="174" customWidth="1"/>
    <col min="11" max="11" width="7.5703125" style="174" customWidth="1"/>
    <col min="12" max="12" width="13.140625" style="174" customWidth="1"/>
    <col min="13" max="13" width="11" style="174" customWidth="1"/>
    <col min="14" max="14" width="12.28515625" style="174" customWidth="1"/>
    <col min="15" max="15" width="6.5703125" style="174" customWidth="1"/>
    <col min="16" max="16" width="9.140625" style="174"/>
    <col min="17" max="16384" width="9.140625" style="233"/>
  </cols>
  <sheetData>
    <row r="1" spans="1:15" ht="15" x14ac:dyDescent="0.3">
      <c r="A1" s="169"/>
      <c r="B1" s="170"/>
      <c r="C1" s="169"/>
      <c r="D1" s="171"/>
      <c r="E1" s="172"/>
      <c r="F1" s="170"/>
      <c r="G1" s="172"/>
      <c r="H1" s="172"/>
      <c r="I1" s="170"/>
      <c r="J1" s="172"/>
      <c r="K1" s="173"/>
      <c r="L1" s="172"/>
      <c r="M1" s="170"/>
      <c r="N1" s="172"/>
      <c r="O1" s="170"/>
    </row>
    <row r="2" spans="1:15" ht="15" x14ac:dyDescent="0.3">
      <c r="A2" s="169"/>
      <c r="B2" s="170"/>
      <c r="C2" s="169"/>
      <c r="D2" s="171"/>
      <c r="E2" s="175"/>
      <c r="F2" s="170"/>
      <c r="G2" s="175"/>
      <c r="H2" s="175"/>
      <c r="I2" s="170"/>
      <c r="J2" s="175"/>
      <c r="K2" s="173"/>
      <c r="L2" s="175"/>
      <c r="M2" s="173"/>
      <c r="N2" s="175"/>
      <c r="O2" s="173"/>
    </row>
    <row r="3" spans="1:15" ht="15" x14ac:dyDescent="0.3">
      <c r="A3" s="169"/>
      <c r="B3" s="170"/>
      <c r="C3" s="169"/>
      <c r="D3" s="171"/>
      <c r="E3" s="175"/>
      <c r="F3" s="170"/>
      <c r="G3" s="175"/>
      <c r="H3" s="175"/>
      <c r="I3" s="170"/>
      <c r="J3" s="175"/>
      <c r="K3" s="173"/>
      <c r="L3" s="175"/>
      <c r="M3" s="173"/>
      <c r="N3" s="175"/>
      <c r="O3" s="173"/>
    </row>
    <row r="4" spans="1:15" ht="15" x14ac:dyDescent="0.3">
      <c r="A4" s="169"/>
      <c r="B4" s="170"/>
      <c r="C4" s="169"/>
      <c r="D4" s="171"/>
      <c r="E4" s="175"/>
      <c r="F4" s="170"/>
      <c r="G4" s="175"/>
      <c r="H4" s="175"/>
      <c r="I4" s="170"/>
      <c r="J4" s="175"/>
      <c r="K4" s="173"/>
      <c r="L4" s="175"/>
      <c r="M4" s="173"/>
      <c r="N4" s="175"/>
      <c r="O4" s="173"/>
    </row>
    <row r="5" spans="1:15" ht="15" x14ac:dyDescent="0.3">
      <c r="A5" s="169"/>
      <c r="B5" s="170"/>
      <c r="C5" s="169"/>
      <c r="D5" s="171"/>
      <c r="E5" s="175"/>
      <c r="F5" s="170"/>
      <c r="G5" s="175"/>
      <c r="H5" s="175"/>
      <c r="I5" s="170"/>
      <c r="J5" s="175"/>
      <c r="K5" s="173"/>
      <c r="L5" s="175"/>
      <c r="M5" s="173"/>
      <c r="N5" s="175"/>
      <c r="O5" s="173"/>
    </row>
    <row r="6" spans="1:15" ht="15" x14ac:dyDescent="0.3">
      <c r="A6" s="169"/>
      <c r="B6" s="170"/>
      <c r="C6" s="169"/>
      <c r="D6" s="171"/>
      <c r="E6" s="175"/>
      <c r="F6" s="170"/>
      <c r="G6" s="175"/>
      <c r="H6" s="175"/>
      <c r="I6" s="170"/>
      <c r="J6" s="175"/>
      <c r="K6" s="173"/>
      <c r="L6" s="175"/>
      <c r="M6" s="173"/>
      <c r="N6" s="175"/>
      <c r="O6" s="173"/>
    </row>
    <row r="7" spans="1:15" ht="15" x14ac:dyDescent="0.3">
      <c r="A7" s="169"/>
      <c r="B7" s="170"/>
      <c r="C7" s="169"/>
      <c r="D7" s="171"/>
      <c r="E7" s="175"/>
      <c r="F7" s="170"/>
      <c r="G7" s="175"/>
      <c r="H7" s="175"/>
      <c r="I7" s="170"/>
      <c r="J7" s="175"/>
      <c r="K7" s="173"/>
      <c r="L7" s="175"/>
      <c r="M7" s="173"/>
      <c r="N7" s="175"/>
      <c r="O7" s="173"/>
    </row>
    <row r="8" spans="1:15" ht="19.5" customHeight="1" x14ac:dyDescent="0.3">
      <c r="A8" s="245" t="s">
        <v>33</v>
      </c>
      <c r="B8" s="245"/>
      <c r="C8" s="245"/>
      <c r="D8" s="245"/>
      <c r="E8" s="245"/>
      <c r="F8" s="245"/>
      <c r="G8" s="245"/>
      <c r="H8" s="175"/>
      <c r="I8" s="170"/>
      <c r="J8" s="175"/>
      <c r="K8" s="173"/>
      <c r="L8" s="175"/>
      <c r="M8" s="173"/>
      <c r="N8" s="175"/>
      <c r="O8" s="173"/>
    </row>
    <row r="9" spans="1:15" ht="19.5" customHeight="1" x14ac:dyDescent="0.3">
      <c r="A9" s="176"/>
      <c r="B9" s="176"/>
      <c r="C9" s="176"/>
      <c r="D9" s="176"/>
      <c r="E9" s="176"/>
      <c r="F9" s="176"/>
      <c r="G9" s="176"/>
      <c r="H9" s="175"/>
      <c r="I9" s="170"/>
      <c r="J9" s="175"/>
      <c r="K9" s="173"/>
      <c r="L9" s="175"/>
      <c r="M9" s="173"/>
      <c r="N9" s="175"/>
      <c r="O9" s="173"/>
    </row>
    <row r="10" spans="1:15" ht="16.5" customHeight="1" x14ac:dyDescent="0.3">
      <c r="A10" s="246" t="s">
        <v>101</v>
      </c>
      <c r="B10" s="246"/>
      <c r="C10" s="246"/>
      <c r="D10" s="246"/>
      <c r="E10" s="246"/>
      <c r="F10" s="246"/>
      <c r="G10" s="246"/>
      <c r="H10" s="175"/>
      <c r="I10" s="170"/>
      <c r="J10" s="175"/>
      <c r="K10" s="173"/>
      <c r="L10" s="175"/>
      <c r="M10" s="173"/>
      <c r="N10" s="175"/>
      <c r="O10" s="173"/>
    </row>
    <row r="11" spans="1:15" ht="15" customHeight="1" x14ac:dyDescent="0.3">
      <c r="A11" s="239" t="s">
        <v>35</v>
      </c>
      <c r="B11" s="239"/>
      <c r="C11" s="169" t="s">
        <v>107</v>
      </c>
      <c r="D11" s="234"/>
      <c r="E11" s="175"/>
      <c r="F11" s="170"/>
      <c r="G11" s="175"/>
      <c r="H11" s="175"/>
      <c r="I11" s="170"/>
      <c r="J11" s="175"/>
      <c r="K11" s="173"/>
      <c r="L11" s="175"/>
      <c r="M11" s="173"/>
      <c r="N11" s="175"/>
      <c r="O11" s="173"/>
    </row>
    <row r="12" spans="1:15" ht="15" customHeight="1" x14ac:dyDescent="0.3">
      <c r="A12" s="239" t="s">
        <v>36</v>
      </c>
      <c r="B12" s="239"/>
      <c r="C12" s="169" t="str">
        <f>'Benzyl Penicillin Sodium BP'!B19</f>
        <v>NDQA201509297</v>
      </c>
      <c r="D12" s="234"/>
      <c r="E12" s="175"/>
      <c r="F12" s="170"/>
      <c r="G12" s="175"/>
      <c r="H12" s="175"/>
      <c r="I12" s="170"/>
      <c r="J12" s="175"/>
      <c r="K12" s="173"/>
      <c r="L12" s="175"/>
      <c r="M12" s="173"/>
      <c r="N12" s="175"/>
      <c r="O12" s="173"/>
    </row>
    <row r="13" spans="1:15" ht="15" customHeight="1" x14ac:dyDescent="0.3">
      <c r="A13" s="239" t="s">
        <v>37</v>
      </c>
      <c r="B13" s="239"/>
      <c r="C13" s="169" t="str">
        <f>'Benzyl Penicillin Sodium BP'!B20</f>
        <v>BenzylPenicillin sodium BP</v>
      </c>
      <c r="D13" s="234"/>
      <c r="E13" s="175"/>
      <c r="F13" s="170"/>
      <c r="G13" s="175"/>
      <c r="H13" s="175"/>
      <c r="I13" s="170"/>
      <c r="J13" s="175"/>
      <c r="K13" s="173"/>
      <c r="L13" s="175"/>
      <c r="M13" s="173"/>
      <c r="N13" s="175"/>
      <c r="O13" s="173"/>
    </row>
    <row r="14" spans="1:15" ht="15" customHeight="1" x14ac:dyDescent="0.3">
      <c r="A14" s="239" t="s">
        <v>38</v>
      </c>
      <c r="B14" s="239"/>
      <c r="C14" s="244" t="s">
        <v>108</v>
      </c>
      <c r="D14" s="244"/>
      <c r="E14" s="244"/>
      <c r="F14" s="244"/>
      <c r="G14" s="244"/>
      <c r="H14" s="175"/>
      <c r="I14" s="170"/>
      <c r="J14" s="175"/>
      <c r="K14" s="173"/>
      <c r="L14" s="175"/>
      <c r="M14" s="173"/>
      <c r="N14" s="175"/>
      <c r="O14" s="173"/>
    </row>
    <row r="15" spans="1:15" ht="15" customHeight="1" x14ac:dyDescent="0.3">
      <c r="A15" s="239" t="s">
        <v>39</v>
      </c>
      <c r="B15" s="239"/>
      <c r="C15" s="178">
        <v>42422</v>
      </c>
      <c r="D15" s="169"/>
      <c r="E15" s="175"/>
      <c r="F15" s="170"/>
      <c r="G15" s="175"/>
      <c r="H15" s="175"/>
      <c r="I15" s="170"/>
      <c r="J15" s="175"/>
      <c r="K15" s="173"/>
      <c r="L15" s="175"/>
      <c r="M15" s="173"/>
      <c r="N15" s="175"/>
      <c r="O15" s="173"/>
    </row>
    <row r="16" spans="1:15" ht="15" customHeight="1" x14ac:dyDescent="0.3">
      <c r="A16" s="239" t="s">
        <v>40</v>
      </c>
      <c r="B16" s="239"/>
      <c r="C16" s="178">
        <v>42426</v>
      </c>
      <c r="D16" s="169"/>
      <c r="E16" s="175"/>
      <c r="F16" s="170"/>
      <c r="G16" s="175"/>
      <c r="H16" s="175"/>
      <c r="I16" s="170"/>
      <c r="J16" s="175"/>
      <c r="K16" s="173"/>
      <c r="L16" s="175"/>
      <c r="M16" s="173"/>
      <c r="N16" s="175"/>
      <c r="O16" s="173"/>
    </row>
    <row r="17" spans="1:15" x14ac:dyDescent="0.3">
      <c r="A17" s="235"/>
      <c r="B17" s="236"/>
      <c r="C17" s="235"/>
      <c r="D17" s="169"/>
      <c r="E17" s="175"/>
      <c r="F17" s="170"/>
      <c r="G17" s="175"/>
      <c r="H17" s="175"/>
      <c r="I17" s="170"/>
      <c r="J17" s="175"/>
      <c r="K17" s="173"/>
      <c r="L17" s="175"/>
      <c r="M17" s="173"/>
      <c r="N17" s="175"/>
      <c r="O17" s="173"/>
    </row>
    <row r="18" spans="1:15" ht="15" customHeight="1" x14ac:dyDescent="0.3">
      <c r="A18" s="240" t="s">
        <v>1</v>
      </c>
      <c r="B18" s="240"/>
      <c r="C18" s="180" t="s">
        <v>102</v>
      </c>
      <c r="D18" s="169"/>
      <c r="E18" s="175"/>
      <c r="F18" s="170"/>
      <c r="G18" s="175"/>
      <c r="H18" s="175"/>
      <c r="I18" s="170"/>
      <c r="J18" s="175"/>
      <c r="K18" s="173"/>
      <c r="L18" s="175"/>
      <c r="M18" s="173"/>
      <c r="N18" s="175"/>
      <c r="O18" s="173"/>
    </row>
    <row r="19" spans="1:15" ht="15.75" customHeight="1" thickBot="1" x14ac:dyDescent="0.35">
      <c r="A19" s="174"/>
      <c r="B19" s="169"/>
      <c r="D19" s="169"/>
      <c r="E19" s="175"/>
      <c r="F19" s="170"/>
      <c r="G19" s="175"/>
      <c r="H19" s="175"/>
      <c r="I19" s="170"/>
      <c r="J19" s="175"/>
      <c r="K19" s="173"/>
      <c r="L19" s="175"/>
      <c r="M19" s="173"/>
      <c r="N19" s="175"/>
      <c r="O19" s="173"/>
    </row>
    <row r="20" spans="1:15" ht="15.75" customHeight="1" thickBot="1" x14ac:dyDescent="0.35">
      <c r="A20" s="181" t="s">
        <v>109</v>
      </c>
      <c r="B20" s="182" t="s">
        <v>110</v>
      </c>
      <c r="C20" s="183" t="s">
        <v>112</v>
      </c>
      <c r="D20" s="181" t="s">
        <v>111</v>
      </c>
      <c r="E20" s="184" t="s">
        <v>103</v>
      </c>
      <c r="G20" s="175"/>
      <c r="H20" s="185"/>
      <c r="I20" s="170"/>
      <c r="J20" s="175"/>
      <c r="K20" s="173"/>
      <c r="L20" s="185"/>
      <c r="M20" s="173"/>
      <c r="N20" s="185"/>
      <c r="O20" s="173"/>
    </row>
    <row r="21" spans="1:15" ht="15" x14ac:dyDescent="0.3">
      <c r="A21" s="186">
        <v>1</v>
      </c>
      <c r="B21" s="187">
        <v>16312.6</v>
      </c>
      <c r="C21" s="188">
        <v>15700.21</v>
      </c>
      <c r="D21" s="189">
        <f t="shared" ref="D21:D40" si="0">B21-C21</f>
        <v>612.39000000000124</v>
      </c>
      <c r="E21" s="190">
        <f t="shared" ref="E21:E40" si="1">(D21-$D$43)/$D$43</f>
        <v>1.234957709249126E-2</v>
      </c>
      <c r="G21" s="175"/>
      <c r="H21" s="185"/>
      <c r="I21" s="170"/>
      <c r="J21" s="175"/>
      <c r="K21" s="173"/>
      <c r="L21" s="185"/>
      <c r="M21" s="173"/>
      <c r="N21" s="185"/>
      <c r="O21" s="173"/>
    </row>
    <row r="22" spans="1:15" ht="15" x14ac:dyDescent="0.3">
      <c r="A22" s="191">
        <v>2</v>
      </c>
      <c r="B22" s="192">
        <v>16345.69</v>
      </c>
      <c r="C22" s="193">
        <v>15741.57</v>
      </c>
      <c r="D22" s="194">
        <f t="shared" si="0"/>
        <v>604.1200000000008</v>
      </c>
      <c r="E22" s="190">
        <f t="shared" si="1"/>
        <v>-1.3216634610045974E-3</v>
      </c>
      <c r="G22" s="175"/>
      <c r="H22" s="185"/>
      <c r="I22" s="170"/>
      <c r="J22" s="175"/>
      <c r="K22" s="173"/>
      <c r="L22" s="185"/>
      <c r="M22" s="173"/>
      <c r="N22" s="185"/>
      <c r="O22" s="173"/>
    </row>
    <row r="23" spans="1:15" ht="15" x14ac:dyDescent="0.3">
      <c r="A23" s="191">
        <v>3</v>
      </c>
      <c r="B23" s="192">
        <v>16278.21</v>
      </c>
      <c r="C23" s="193">
        <v>15680.19</v>
      </c>
      <c r="D23" s="194">
        <f t="shared" si="0"/>
        <v>598.01999999999862</v>
      </c>
      <c r="E23" s="190">
        <f t="shared" si="1"/>
        <v>-1.1405649842667254E-2</v>
      </c>
      <c r="G23" s="175"/>
      <c r="H23" s="185"/>
      <c r="I23" s="170"/>
      <c r="J23" s="175"/>
      <c r="K23" s="173"/>
      <c r="L23" s="185"/>
      <c r="M23" s="173"/>
      <c r="N23" s="185"/>
      <c r="O23" s="173"/>
    </row>
    <row r="24" spans="1:15" ht="15" x14ac:dyDescent="0.3">
      <c r="A24" s="191">
        <v>4</v>
      </c>
      <c r="B24" s="192">
        <v>16411.849999999999</v>
      </c>
      <c r="C24" s="193">
        <v>15810.93</v>
      </c>
      <c r="D24" s="194">
        <f t="shared" si="0"/>
        <v>600.91999999999825</v>
      </c>
      <c r="E24" s="190">
        <f t="shared" si="1"/>
        <v>-6.6116235300758483E-3</v>
      </c>
      <c r="G24" s="175"/>
      <c r="H24" s="185"/>
      <c r="I24" s="170"/>
      <c r="J24" s="175"/>
      <c r="K24" s="173"/>
      <c r="L24" s="185"/>
      <c r="M24" s="173"/>
      <c r="N24" s="185"/>
      <c r="O24" s="173"/>
    </row>
    <row r="25" spans="1:15" ht="15" x14ac:dyDescent="0.3">
      <c r="A25" s="191">
        <v>5</v>
      </c>
      <c r="B25" s="192">
        <v>16255.74</v>
      </c>
      <c r="C25" s="193">
        <v>15649.91</v>
      </c>
      <c r="D25" s="194">
        <f t="shared" si="0"/>
        <v>605.82999999999993</v>
      </c>
      <c r="E25" s="190">
        <f t="shared" si="1"/>
        <v>1.5051589509016594E-3</v>
      </c>
      <c r="G25" s="175"/>
      <c r="H25" s="185"/>
      <c r="I25" s="170"/>
      <c r="J25" s="175"/>
      <c r="K25" s="173"/>
      <c r="L25" s="185"/>
      <c r="M25" s="173"/>
      <c r="N25" s="185"/>
      <c r="O25" s="173"/>
    </row>
    <row r="26" spans="1:15" ht="15" x14ac:dyDescent="0.3">
      <c r="A26" s="191">
        <v>6</v>
      </c>
      <c r="B26" s="192">
        <v>16192.33</v>
      </c>
      <c r="C26" s="193">
        <v>15588.91</v>
      </c>
      <c r="D26" s="194">
        <f t="shared" si="0"/>
        <v>603.42000000000007</v>
      </c>
      <c r="E26" s="190">
        <f t="shared" si="1"/>
        <v>-2.4788422261142157E-3</v>
      </c>
      <c r="G26" s="175"/>
      <c r="H26" s="185"/>
      <c r="I26" s="170"/>
      <c r="J26" s="175"/>
      <c r="K26" s="173"/>
      <c r="L26" s="185"/>
      <c r="M26" s="173"/>
      <c r="N26" s="185"/>
      <c r="O26" s="173"/>
    </row>
    <row r="27" spans="1:15" ht="15" x14ac:dyDescent="0.3">
      <c r="A27" s="191">
        <v>7</v>
      </c>
      <c r="B27" s="192">
        <v>16017.98</v>
      </c>
      <c r="C27" s="193">
        <v>15416.17</v>
      </c>
      <c r="D27" s="194">
        <f t="shared" si="0"/>
        <v>601.80999999999949</v>
      </c>
      <c r="E27" s="190">
        <f t="shared" si="1"/>
        <v>-5.1403533858645333E-3</v>
      </c>
      <c r="G27" s="175"/>
      <c r="H27" s="185"/>
      <c r="I27" s="170"/>
      <c r="J27" s="175"/>
      <c r="K27" s="173"/>
      <c r="L27" s="185"/>
      <c r="M27" s="173"/>
      <c r="N27" s="185"/>
      <c r="O27" s="173"/>
    </row>
    <row r="28" spans="1:15" ht="15" x14ac:dyDescent="0.3">
      <c r="A28" s="191">
        <v>8</v>
      </c>
      <c r="B28" s="192">
        <v>15793.02</v>
      </c>
      <c r="C28" s="193">
        <v>15187.33</v>
      </c>
      <c r="D28" s="194">
        <f t="shared" si="0"/>
        <v>605.69000000000051</v>
      </c>
      <c r="E28" s="190">
        <f t="shared" si="1"/>
        <v>1.2737231978809387E-3</v>
      </c>
      <c r="G28" s="175"/>
      <c r="H28" s="185"/>
      <c r="I28" s="170"/>
      <c r="J28" s="175"/>
      <c r="K28" s="173"/>
      <c r="L28" s="185"/>
      <c r="M28" s="173"/>
      <c r="N28" s="185"/>
      <c r="O28" s="173"/>
    </row>
    <row r="29" spans="1:15" ht="15" x14ac:dyDescent="0.3">
      <c r="A29" s="191">
        <v>9</v>
      </c>
      <c r="B29" s="192">
        <v>16475.740000000002</v>
      </c>
      <c r="C29" s="193">
        <v>15864.17</v>
      </c>
      <c r="D29" s="194">
        <f t="shared" si="0"/>
        <v>611.57000000000153</v>
      </c>
      <c r="E29" s="190">
        <f t="shared" si="1"/>
        <v>1.0994024824793312E-2</v>
      </c>
      <c r="G29" s="175"/>
      <c r="H29" s="185"/>
      <c r="I29" s="170"/>
      <c r="J29" s="175"/>
      <c r="K29" s="173"/>
      <c r="L29" s="185"/>
      <c r="M29" s="173"/>
      <c r="N29" s="185"/>
      <c r="O29" s="173"/>
    </row>
    <row r="30" spans="1:15" ht="15" x14ac:dyDescent="0.3">
      <c r="A30" s="191">
        <v>10</v>
      </c>
      <c r="B30" s="195">
        <v>15990.32</v>
      </c>
      <c r="C30" s="193">
        <v>15374.03</v>
      </c>
      <c r="D30" s="194">
        <f t="shared" si="0"/>
        <v>616.28999999999905</v>
      </c>
      <c r="E30" s="190">
        <f t="shared" si="1"/>
        <v>1.8796715926663109E-2</v>
      </c>
      <c r="G30" s="175"/>
      <c r="H30" s="185"/>
      <c r="I30" s="170"/>
      <c r="J30" s="175"/>
      <c r="K30" s="173"/>
      <c r="L30" s="185"/>
      <c r="M30" s="173"/>
      <c r="N30" s="185"/>
      <c r="O30" s="173"/>
    </row>
    <row r="31" spans="1:15" ht="15" x14ac:dyDescent="0.3">
      <c r="A31" s="191">
        <v>11</v>
      </c>
      <c r="B31" s="195">
        <v>16570.560000000001</v>
      </c>
      <c r="C31" s="193">
        <v>15979.62</v>
      </c>
      <c r="D31" s="194">
        <f t="shared" si="0"/>
        <v>590.94000000000051</v>
      </c>
      <c r="E31" s="190">
        <f t="shared" si="1"/>
        <v>-2.3109686495474957E-2</v>
      </c>
      <c r="G31" s="196"/>
      <c r="H31" s="196"/>
      <c r="I31" s="196"/>
      <c r="J31" s="196"/>
      <c r="K31" s="173"/>
      <c r="L31" s="196"/>
      <c r="M31" s="173"/>
      <c r="N31" s="196"/>
      <c r="O31" s="173"/>
    </row>
    <row r="32" spans="1:15" ht="15" x14ac:dyDescent="0.3">
      <c r="A32" s="191">
        <v>12</v>
      </c>
      <c r="B32" s="195">
        <v>16123.92</v>
      </c>
      <c r="C32" s="193">
        <v>15525.87</v>
      </c>
      <c r="D32" s="194">
        <f t="shared" si="0"/>
        <v>598.04999999999927</v>
      </c>
      <c r="E32" s="190">
        <f t="shared" si="1"/>
        <v>-1.1356056467018668E-2</v>
      </c>
      <c r="G32" s="196"/>
      <c r="H32" s="196"/>
      <c r="I32" s="196"/>
      <c r="J32" s="196"/>
      <c r="K32" s="173"/>
      <c r="L32" s="196"/>
      <c r="M32" s="196"/>
      <c r="N32" s="196"/>
      <c r="O32" s="196"/>
    </row>
    <row r="33" spans="1:15" ht="15" x14ac:dyDescent="0.3">
      <c r="A33" s="191">
        <v>13</v>
      </c>
      <c r="B33" s="195">
        <v>15639.42</v>
      </c>
      <c r="C33" s="193">
        <v>15039.23</v>
      </c>
      <c r="D33" s="194">
        <f t="shared" si="0"/>
        <v>600.19000000000051</v>
      </c>
      <c r="E33" s="190">
        <f t="shared" si="1"/>
        <v>-7.8183956708280395E-3</v>
      </c>
      <c r="G33" s="197"/>
      <c r="H33" s="197"/>
      <c r="I33" s="197"/>
      <c r="J33" s="197"/>
      <c r="K33" s="198"/>
      <c r="L33" s="197"/>
      <c r="M33" s="197"/>
      <c r="N33" s="199"/>
      <c r="O33" s="197"/>
    </row>
    <row r="34" spans="1:15" ht="15" x14ac:dyDescent="0.3">
      <c r="A34" s="191">
        <v>14</v>
      </c>
      <c r="B34" s="195">
        <v>16083.24</v>
      </c>
      <c r="C34" s="193">
        <v>15485.01</v>
      </c>
      <c r="D34" s="194">
        <f t="shared" si="0"/>
        <v>598.22999999999956</v>
      </c>
      <c r="E34" s="190">
        <f t="shared" si="1"/>
        <v>-1.1058496213133165E-2</v>
      </c>
      <c r="G34" s="200"/>
      <c r="H34" s="201"/>
      <c r="I34" s="201"/>
      <c r="J34" s="200"/>
      <c r="K34" s="202"/>
      <c r="L34" s="203"/>
      <c r="M34" s="201"/>
      <c r="N34" s="203"/>
      <c r="O34" s="201"/>
    </row>
    <row r="35" spans="1:15" ht="15" x14ac:dyDescent="0.3">
      <c r="A35" s="191">
        <v>15</v>
      </c>
      <c r="B35" s="195">
        <v>16789.939999999999</v>
      </c>
      <c r="C35" s="193">
        <v>16180.64</v>
      </c>
      <c r="D35" s="194">
        <f t="shared" si="0"/>
        <v>609.29999999999927</v>
      </c>
      <c r="E35" s="190">
        <f t="shared" si="1"/>
        <v>7.2414594007951501E-3</v>
      </c>
      <c r="G35" s="200"/>
      <c r="J35" s="200"/>
      <c r="K35" s="202"/>
      <c r="L35" s="203"/>
      <c r="N35" s="203"/>
    </row>
    <row r="36" spans="1:15" ht="15" x14ac:dyDescent="0.3">
      <c r="A36" s="191">
        <v>16</v>
      </c>
      <c r="B36" s="195">
        <v>16209.68</v>
      </c>
      <c r="C36" s="193">
        <v>15596.61</v>
      </c>
      <c r="D36" s="194">
        <f t="shared" si="0"/>
        <v>613.06999999999971</v>
      </c>
      <c r="E36" s="190">
        <f t="shared" si="1"/>
        <v>1.3473693607165479E-2</v>
      </c>
      <c r="G36" s="204"/>
      <c r="H36" s="204"/>
    </row>
    <row r="37" spans="1:15" ht="15" x14ac:dyDescent="0.3">
      <c r="A37" s="191">
        <v>17</v>
      </c>
      <c r="B37" s="195">
        <v>15532.28</v>
      </c>
      <c r="C37" s="193">
        <v>14924.16</v>
      </c>
      <c r="D37" s="194">
        <f t="shared" si="0"/>
        <v>608.1200000000008</v>
      </c>
      <c r="E37" s="190">
        <f t="shared" si="1"/>
        <v>5.2907866253292047E-3</v>
      </c>
    </row>
    <row r="38" spans="1:15" ht="15" x14ac:dyDescent="0.3">
      <c r="A38" s="191">
        <v>18</v>
      </c>
      <c r="B38" s="195">
        <v>16519.82</v>
      </c>
      <c r="C38" s="193">
        <v>15912.97</v>
      </c>
      <c r="D38" s="194">
        <f t="shared" si="0"/>
        <v>606.85000000000036</v>
      </c>
      <c r="E38" s="190">
        <f t="shared" si="1"/>
        <v>3.1913337229175008E-3</v>
      </c>
    </row>
    <row r="39" spans="1:15" ht="15" x14ac:dyDescent="0.3">
      <c r="A39" s="191">
        <v>19</v>
      </c>
      <c r="B39" s="195">
        <v>16085.36</v>
      </c>
      <c r="C39" s="193">
        <v>15475.4</v>
      </c>
      <c r="D39" s="194">
        <f t="shared" si="0"/>
        <v>609.96000000000095</v>
      </c>
      <c r="E39" s="190">
        <f t="shared" si="1"/>
        <v>8.3325136650429944E-3</v>
      </c>
    </row>
    <row r="40" spans="1:15" ht="14.25" customHeight="1" thickBot="1" x14ac:dyDescent="0.35">
      <c r="A40" s="205">
        <v>20</v>
      </c>
      <c r="B40" s="206">
        <v>16553.21</v>
      </c>
      <c r="C40" s="207">
        <v>15949.59</v>
      </c>
      <c r="D40" s="208">
        <f t="shared" si="0"/>
        <v>603.61999999999898</v>
      </c>
      <c r="E40" s="209">
        <f t="shared" si="1"/>
        <v>-2.1482197217993298E-3</v>
      </c>
    </row>
    <row r="41" spans="1:15" ht="14.25" customHeight="1" thickBot="1" x14ac:dyDescent="0.35">
      <c r="B41" s="169"/>
      <c r="D41" s="173"/>
      <c r="G41" s="175"/>
    </row>
    <row r="42" spans="1:15" x14ac:dyDescent="0.3">
      <c r="A42" s="210" t="s">
        <v>104</v>
      </c>
      <c r="B42" s="211">
        <f>SUM(B21:B40)</f>
        <v>324180.91000000003</v>
      </c>
      <c r="C42" s="212">
        <f>SUM(C21:C40)</f>
        <v>312082.52</v>
      </c>
      <c r="D42" s="213">
        <f>SUM(D21:D40)</f>
        <v>12098.39</v>
      </c>
    </row>
    <row r="43" spans="1:15" ht="15.75" customHeight="1" thickBot="1" x14ac:dyDescent="0.35">
      <c r="A43" s="214" t="s">
        <v>105</v>
      </c>
      <c r="B43" s="215">
        <f>AVERAGE(B21:B40)</f>
        <v>16209.045500000002</v>
      </c>
      <c r="C43" s="216">
        <f>AVERAGE(C21:C40)</f>
        <v>15604.126</v>
      </c>
      <c r="D43" s="217">
        <f>AVERAGE(D21:D40)</f>
        <v>604.91949999999997</v>
      </c>
    </row>
    <row r="44" spans="1:15" x14ac:dyDescent="0.3">
      <c r="A44" s="169"/>
      <c r="B44" s="218"/>
      <c r="C44" s="218"/>
      <c r="D44" s="169"/>
    </row>
    <row r="45" spans="1:15" ht="14.25" customHeight="1" thickBot="1" x14ac:dyDescent="0.35">
      <c r="A45" s="169"/>
      <c r="B45" s="169"/>
      <c r="C45" s="169"/>
      <c r="D45" s="169"/>
    </row>
    <row r="46" spans="1:15" ht="30.75" customHeight="1" thickBot="1" x14ac:dyDescent="0.35">
      <c r="B46" s="219" t="s">
        <v>105</v>
      </c>
      <c r="C46" s="220" t="s">
        <v>106</v>
      </c>
    </row>
    <row r="47" spans="1:15" ht="15.75" customHeight="1" thickBot="1" x14ac:dyDescent="0.35">
      <c r="B47" s="241">
        <f>D43</f>
        <v>604.91949999999997</v>
      </c>
      <c r="C47" s="221">
        <f>-(IF(D43&gt;300, 7.5%, 10%))</f>
        <v>-7.4999999999999997E-2</v>
      </c>
      <c r="D47" s="222">
        <f>IF(D43&lt;300, D43*0.9, D43*0.925)</f>
        <v>559.55053750000002</v>
      </c>
    </row>
    <row r="48" spans="1:15" ht="15.75" customHeight="1" thickBot="1" x14ac:dyDescent="0.35">
      <c r="B48" s="242"/>
      <c r="C48" s="223">
        <f>+(IF(D43&gt;300, 7.5%, 10%))</f>
        <v>7.4999999999999997E-2</v>
      </c>
      <c r="D48" s="222">
        <f>IF(D43&lt;300, D43*1.1, D43*1.075)</f>
        <v>650.28846249999992</v>
      </c>
    </row>
    <row r="49" spans="1:7" ht="14.25" customHeight="1" thickBot="1" x14ac:dyDescent="0.35">
      <c r="A49" s="224"/>
      <c r="D49" s="226"/>
    </row>
    <row r="50" spans="1:7" ht="15" customHeight="1" x14ac:dyDescent="0.3">
      <c r="B50" s="243" t="s">
        <v>26</v>
      </c>
      <c r="C50" s="243"/>
      <c r="D50" s="169"/>
      <c r="E50" s="227" t="s">
        <v>27</v>
      </c>
      <c r="F50" s="228"/>
      <c r="G50" s="227" t="s">
        <v>28</v>
      </c>
    </row>
    <row r="51" spans="1:7" ht="15" customHeight="1" x14ac:dyDescent="0.3">
      <c r="A51" s="229" t="s">
        <v>29</v>
      </c>
      <c r="B51" s="230"/>
      <c r="C51" s="230"/>
      <c r="D51" s="169"/>
      <c r="E51" s="230"/>
      <c r="F51" s="169"/>
      <c r="G51" s="230"/>
    </row>
    <row r="52" spans="1:7" ht="15" customHeight="1" x14ac:dyDescent="0.3">
      <c r="A52" s="229" t="s">
        <v>30</v>
      </c>
      <c r="B52" s="231"/>
      <c r="C52" s="231"/>
      <c r="D52" s="169"/>
      <c r="E52" s="231"/>
      <c r="F52" s="169"/>
      <c r="G52" s="232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9" zoomScale="60" zoomScaleNormal="100" workbookViewId="0">
      <selection activeCell="B29" sqref="B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7" t="s">
        <v>0</v>
      </c>
      <c r="B15" s="247"/>
      <c r="C15" s="247"/>
      <c r="D15" s="247"/>
      <c r="E15" s="2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28144306</v>
      </c>
      <c r="C24" s="18">
        <v>7157.9</v>
      </c>
      <c r="D24" s="19">
        <v>1.5</v>
      </c>
      <c r="E24" s="20">
        <v>6.4</v>
      </c>
    </row>
    <row r="25" spans="1:6" ht="16.5" customHeight="1" x14ac:dyDescent="0.3">
      <c r="A25" s="17">
        <v>2</v>
      </c>
      <c r="B25" s="18">
        <v>28538869</v>
      </c>
      <c r="C25" s="18">
        <v>7007.9</v>
      </c>
      <c r="D25" s="19">
        <v>1.6</v>
      </c>
      <c r="E25" s="19">
        <v>6.3</v>
      </c>
    </row>
    <row r="26" spans="1:6" ht="16.5" customHeight="1" x14ac:dyDescent="0.3">
      <c r="A26" s="17">
        <v>3</v>
      </c>
      <c r="B26" s="18">
        <v>28996566</v>
      </c>
      <c r="C26" s="18">
        <v>6958</v>
      </c>
      <c r="D26" s="19">
        <v>1.6</v>
      </c>
      <c r="E26" s="19">
        <v>6.3</v>
      </c>
    </row>
    <row r="27" spans="1:6" ht="16.5" customHeight="1" x14ac:dyDescent="0.3">
      <c r="A27" s="17">
        <v>4</v>
      </c>
      <c r="B27" s="18">
        <v>28388157</v>
      </c>
      <c r="C27" s="18">
        <v>7012.6</v>
      </c>
      <c r="D27" s="19">
        <v>1.6</v>
      </c>
      <c r="E27" s="19">
        <v>6.3</v>
      </c>
    </row>
    <row r="28" spans="1:6" ht="16.5" customHeight="1" x14ac:dyDescent="0.3">
      <c r="A28" s="17">
        <v>5</v>
      </c>
      <c r="B28" s="18">
        <v>28582122</v>
      </c>
      <c r="C28" s="18">
        <v>7011.2</v>
      </c>
      <c r="D28" s="19">
        <v>1.6</v>
      </c>
      <c r="E28" s="19">
        <v>6.3</v>
      </c>
    </row>
    <row r="29" spans="1:6" ht="16.5" customHeight="1" x14ac:dyDescent="0.3">
      <c r="A29" s="17">
        <v>6</v>
      </c>
      <c r="B29" s="21">
        <v>29528834</v>
      </c>
      <c r="C29" s="21">
        <v>6925.6</v>
      </c>
      <c r="D29" s="22">
        <v>1.6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28696475.666666668</v>
      </c>
      <c r="C30" s="25">
        <f>AVERAGE(C24:C29)</f>
        <v>7012.2</v>
      </c>
      <c r="D30" s="26">
        <f>AVERAGE(D24:D29)</f>
        <v>1.5833333333333333</v>
      </c>
      <c r="E30" s="26">
        <f>AVERAGE(E24:E29)</f>
        <v>6.3166666666666664</v>
      </c>
    </row>
    <row r="31" spans="1:6" ht="16.5" customHeight="1" x14ac:dyDescent="0.3">
      <c r="A31" s="27" t="s">
        <v>19</v>
      </c>
      <c r="B31" s="28">
        <f>(STDEV(B24:B29)/B30)</f>
        <v>1.7218628289621452E-2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8" t="s">
        <v>26</v>
      </c>
      <c r="C59" s="2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2" zoomScale="60" zoomScaleNormal="78" workbookViewId="0">
      <selection activeCell="E27" sqref="E27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62" t="s">
        <v>31</v>
      </c>
      <c r="B1" s="262"/>
      <c r="C1" s="262"/>
      <c r="D1" s="262"/>
      <c r="E1" s="262"/>
      <c r="F1" s="262"/>
      <c r="G1" s="262"/>
      <c r="H1" s="262"/>
    </row>
    <row r="2" spans="1:8" x14ac:dyDescent="0.2">
      <c r="A2" s="262"/>
      <c r="B2" s="262"/>
      <c r="C2" s="262"/>
      <c r="D2" s="262"/>
      <c r="E2" s="262"/>
      <c r="F2" s="262"/>
      <c r="G2" s="262"/>
      <c r="H2" s="262"/>
    </row>
    <row r="3" spans="1:8" x14ac:dyDescent="0.2">
      <c r="A3" s="262"/>
      <c r="B3" s="262"/>
      <c r="C3" s="262"/>
      <c r="D3" s="262"/>
      <c r="E3" s="262"/>
      <c r="F3" s="262"/>
      <c r="G3" s="262"/>
      <c r="H3" s="262"/>
    </row>
    <row r="4" spans="1:8" x14ac:dyDescent="0.2">
      <c r="A4" s="262"/>
      <c r="B4" s="262"/>
      <c r="C4" s="262"/>
      <c r="D4" s="262"/>
      <c r="E4" s="262"/>
      <c r="F4" s="262"/>
      <c r="G4" s="262"/>
      <c r="H4" s="262"/>
    </row>
    <row r="5" spans="1:8" x14ac:dyDescent="0.2">
      <c r="A5" s="262"/>
      <c r="B5" s="262"/>
      <c r="C5" s="262"/>
      <c r="D5" s="262"/>
      <c r="E5" s="262"/>
      <c r="F5" s="262"/>
      <c r="G5" s="262"/>
      <c r="H5" s="262"/>
    </row>
    <row r="6" spans="1:8" x14ac:dyDescent="0.2">
      <c r="A6" s="262"/>
      <c r="B6" s="262"/>
      <c r="C6" s="262"/>
      <c r="D6" s="262"/>
      <c r="E6" s="262"/>
      <c r="F6" s="262"/>
      <c r="G6" s="262"/>
      <c r="H6" s="262"/>
    </row>
    <row r="7" spans="1:8" x14ac:dyDescent="0.2">
      <c r="A7" s="262"/>
      <c r="B7" s="262"/>
      <c r="C7" s="262"/>
      <c r="D7" s="262"/>
      <c r="E7" s="262"/>
      <c r="F7" s="262"/>
      <c r="G7" s="262"/>
      <c r="H7" s="262"/>
    </row>
    <row r="8" spans="1:8" x14ac:dyDescent="0.2">
      <c r="A8" s="263" t="s">
        <v>32</v>
      </c>
      <c r="B8" s="263"/>
      <c r="C8" s="263"/>
      <c r="D8" s="263"/>
      <c r="E8" s="263"/>
      <c r="F8" s="263"/>
      <c r="G8" s="263"/>
      <c r="H8" s="263"/>
    </row>
    <row r="9" spans="1:8" x14ac:dyDescent="0.2">
      <c r="A9" s="263"/>
      <c r="B9" s="263"/>
      <c r="C9" s="263"/>
      <c r="D9" s="263"/>
      <c r="E9" s="263"/>
      <c r="F9" s="263"/>
      <c r="G9" s="263"/>
      <c r="H9" s="263"/>
    </row>
    <row r="10" spans="1:8" x14ac:dyDescent="0.2">
      <c r="A10" s="263"/>
      <c r="B10" s="263"/>
      <c r="C10" s="263"/>
      <c r="D10" s="263"/>
      <c r="E10" s="263"/>
      <c r="F10" s="263"/>
      <c r="G10" s="263"/>
      <c r="H10" s="263"/>
    </row>
    <row r="11" spans="1:8" x14ac:dyDescent="0.2">
      <c r="A11" s="263"/>
      <c r="B11" s="263"/>
      <c r="C11" s="263"/>
      <c r="D11" s="263"/>
      <c r="E11" s="263"/>
      <c r="F11" s="263"/>
      <c r="G11" s="263"/>
      <c r="H11" s="263"/>
    </row>
    <row r="12" spans="1:8" x14ac:dyDescent="0.2">
      <c r="A12" s="263"/>
      <c r="B12" s="263"/>
      <c r="C12" s="263"/>
      <c r="D12" s="263"/>
      <c r="E12" s="263"/>
      <c r="F12" s="263"/>
      <c r="G12" s="263"/>
      <c r="H12" s="263"/>
    </row>
    <row r="13" spans="1:8" x14ac:dyDescent="0.2">
      <c r="A13" s="263"/>
      <c r="B13" s="263"/>
      <c r="C13" s="263"/>
      <c r="D13" s="263"/>
      <c r="E13" s="263"/>
      <c r="F13" s="263"/>
      <c r="G13" s="263"/>
      <c r="H13" s="263"/>
    </row>
    <row r="14" spans="1:8" x14ac:dyDescent="0.2">
      <c r="A14" s="263"/>
      <c r="B14" s="263"/>
      <c r="C14" s="263"/>
      <c r="D14" s="263"/>
      <c r="E14" s="263"/>
      <c r="F14" s="263"/>
      <c r="G14" s="263"/>
      <c r="H14" s="263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64" t="s">
        <v>33</v>
      </c>
      <c r="B16" s="265"/>
      <c r="C16" s="265"/>
      <c r="D16" s="265"/>
      <c r="E16" s="265"/>
      <c r="F16" s="265"/>
      <c r="G16" s="265"/>
      <c r="H16" s="266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267" t="s">
        <v>5</v>
      </c>
      <c r="C18" s="267"/>
      <c r="D18" s="267"/>
      <c r="E18" s="267"/>
      <c r="F18" s="52"/>
      <c r="G18" s="52"/>
      <c r="H18" s="52"/>
    </row>
    <row r="19" spans="1:8" ht="26.25" customHeight="1" x14ac:dyDescent="0.4">
      <c r="A19" s="54" t="s">
        <v>36</v>
      </c>
      <c r="B19" s="55" t="s">
        <v>118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37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38</v>
      </c>
      <c r="B21" s="268" t="s">
        <v>117</v>
      </c>
      <c r="C21" s="268"/>
      <c r="D21" s="268"/>
      <c r="E21" s="268"/>
      <c r="F21" s="268"/>
      <c r="G21" s="268"/>
      <c r="H21" s="268"/>
    </row>
    <row r="22" spans="1:8" ht="26.25" customHeight="1" x14ac:dyDescent="0.4">
      <c r="A22" s="54" t="s">
        <v>39</v>
      </c>
      <c r="B22" s="56" t="s">
        <v>12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40</v>
      </c>
      <c r="B23" s="56"/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269" t="s">
        <v>113</v>
      </c>
      <c r="C26" s="267"/>
      <c r="D26" s="52"/>
      <c r="E26" s="52"/>
      <c r="F26" s="52"/>
      <c r="G26" s="52"/>
      <c r="H26" s="52"/>
    </row>
    <row r="27" spans="1:8" ht="26.25" customHeight="1" x14ac:dyDescent="0.4">
      <c r="A27" s="60" t="s">
        <v>41</v>
      </c>
      <c r="B27" s="270" t="s">
        <v>114</v>
      </c>
      <c r="C27" s="268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100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42</v>
      </c>
      <c r="B29" s="62">
        <v>0</v>
      </c>
      <c r="C29" s="271" t="s">
        <v>43</v>
      </c>
      <c r="D29" s="272"/>
      <c r="E29" s="272"/>
      <c r="F29" s="272"/>
      <c r="G29" s="272"/>
      <c r="H29" s="273"/>
    </row>
    <row r="30" spans="1:8" ht="19.5" customHeight="1" x14ac:dyDescent="0.3">
      <c r="A30" s="60" t="s">
        <v>44</v>
      </c>
      <c r="B30" s="63">
        <f>B28-B29</f>
        <v>100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45</v>
      </c>
      <c r="B31" s="66">
        <v>1</v>
      </c>
      <c r="C31" s="274" t="s">
        <v>46</v>
      </c>
      <c r="D31" s="275"/>
      <c r="E31" s="275"/>
      <c r="F31" s="275"/>
      <c r="G31" s="275"/>
      <c r="H31" s="276"/>
    </row>
    <row r="32" spans="1:8" ht="27" customHeight="1" x14ac:dyDescent="0.4">
      <c r="A32" s="60" t="s">
        <v>47</v>
      </c>
      <c r="B32" s="66">
        <v>1</v>
      </c>
      <c r="C32" s="274" t="s">
        <v>48</v>
      </c>
      <c r="D32" s="275"/>
      <c r="E32" s="275"/>
      <c r="F32" s="275"/>
      <c r="G32" s="275"/>
      <c r="H32" s="276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49</v>
      </c>
      <c r="B34" s="69">
        <f>B31/B32</f>
        <v>1</v>
      </c>
      <c r="C34" s="52" t="s">
        <v>50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51</v>
      </c>
      <c r="B36" s="72">
        <v>100</v>
      </c>
      <c r="C36" s="52"/>
      <c r="D36" s="277" t="s">
        <v>52</v>
      </c>
      <c r="E36" s="278"/>
      <c r="F36" s="277" t="s">
        <v>53</v>
      </c>
      <c r="G36" s="279"/>
      <c r="H36" s="70"/>
    </row>
    <row r="37" spans="1:8" ht="26.25" customHeight="1" x14ac:dyDescent="0.4">
      <c r="A37" s="73" t="s">
        <v>54</v>
      </c>
      <c r="B37" s="74">
        <v>1</v>
      </c>
      <c r="C37" s="75" t="s">
        <v>55</v>
      </c>
      <c r="D37" s="76" t="s">
        <v>56</v>
      </c>
      <c r="E37" s="77" t="s">
        <v>57</v>
      </c>
      <c r="F37" s="76" t="s">
        <v>56</v>
      </c>
      <c r="G37" s="78" t="s">
        <v>57</v>
      </c>
      <c r="H37" s="70"/>
    </row>
    <row r="38" spans="1:8" ht="26.25" customHeight="1" x14ac:dyDescent="0.4">
      <c r="A38" s="73" t="s">
        <v>58</v>
      </c>
      <c r="B38" s="74">
        <v>1</v>
      </c>
      <c r="C38" s="79">
        <v>1</v>
      </c>
      <c r="D38" s="80">
        <v>27851089</v>
      </c>
      <c r="E38" s="81">
        <f>IF(ISBLANK(D38),"-",$D$48/$D$45*D38)</f>
        <v>20893540.135033756</v>
      </c>
      <c r="F38" s="80">
        <v>21699062</v>
      </c>
      <c r="G38" s="82">
        <f>IF(ISBLANK(F38),"-",$D$48/$F$45*F38)</f>
        <v>21067050.48543689</v>
      </c>
      <c r="H38" s="70"/>
    </row>
    <row r="39" spans="1:8" ht="26.25" customHeight="1" x14ac:dyDescent="0.4">
      <c r="A39" s="73" t="s">
        <v>59</v>
      </c>
      <c r="B39" s="74">
        <v>1</v>
      </c>
      <c r="C39" s="83">
        <v>2</v>
      </c>
      <c r="D39" s="84">
        <v>27927026</v>
      </c>
      <c r="E39" s="85">
        <f>IF(ISBLANK(D39),"-",$D$48/$D$45*D39)</f>
        <v>20950507.126781695</v>
      </c>
      <c r="F39" s="84">
        <v>21633790</v>
      </c>
      <c r="G39" s="86">
        <f>IF(ISBLANK(F39),"-",$D$48/$F$45*F39)</f>
        <v>21003679.611650482</v>
      </c>
      <c r="H39" s="70"/>
    </row>
    <row r="40" spans="1:8" ht="26.25" customHeight="1" x14ac:dyDescent="0.4">
      <c r="A40" s="73" t="s">
        <v>60</v>
      </c>
      <c r="B40" s="74">
        <v>1</v>
      </c>
      <c r="C40" s="83">
        <v>3</v>
      </c>
      <c r="D40" s="84">
        <v>28237640</v>
      </c>
      <c r="E40" s="85">
        <f>IF(ISBLANK(D40),"-",$D$48/$D$45*D40)</f>
        <v>21183525.881470367</v>
      </c>
      <c r="F40" s="84">
        <v>21348119</v>
      </c>
      <c r="G40" s="86">
        <f>IF(ISBLANK(F40),"-",$D$48/$F$45*F40)</f>
        <v>20726329.126213592</v>
      </c>
      <c r="H40" s="52"/>
    </row>
    <row r="41" spans="1:8" ht="26.25" customHeight="1" x14ac:dyDescent="0.4">
      <c r="A41" s="73" t="s">
        <v>61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62</v>
      </c>
      <c r="B42" s="74">
        <v>1</v>
      </c>
      <c r="C42" s="91" t="s">
        <v>63</v>
      </c>
      <c r="D42" s="92">
        <f>AVERAGE(D38:D41)</f>
        <v>28005251.666666668</v>
      </c>
      <c r="E42" s="93">
        <f>AVERAGE(E38:E41)</f>
        <v>21009191.047761939</v>
      </c>
      <c r="F42" s="92">
        <f>AVERAGE(F38:F41)</f>
        <v>21560323.666666668</v>
      </c>
      <c r="G42" s="94">
        <f>AVERAGE(G38:G41)</f>
        <v>20932353.074433655</v>
      </c>
      <c r="H42" s="95"/>
    </row>
    <row r="43" spans="1:8" ht="26.25" customHeight="1" x14ac:dyDescent="0.4">
      <c r="A43" s="73" t="s">
        <v>64</v>
      </c>
      <c r="B43" s="74">
        <v>1</v>
      </c>
      <c r="C43" s="96" t="s">
        <v>65</v>
      </c>
      <c r="D43" s="97">
        <v>13.33</v>
      </c>
      <c r="E43" s="98"/>
      <c r="F43" s="97">
        <v>10.3</v>
      </c>
      <c r="G43" s="52"/>
      <c r="H43" s="95"/>
    </row>
    <row r="44" spans="1:8" ht="26.25" customHeight="1" x14ac:dyDescent="0.4">
      <c r="A44" s="73" t="s">
        <v>66</v>
      </c>
      <c r="B44" s="74">
        <v>1</v>
      </c>
      <c r="C44" s="99" t="s">
        <v>67</v>
      </c>
      <c r="D44" s="100">
        <f>D43*$B$34</f>
        <v>13.33</v>
      </c>
      <c r="E44" s="101"/>
      <c r="F44" s="100">
        <f>F43*$B$34</f>
        <v>10.3</v>
      </c>
      <c r="G44" s="52"/>
      <c r="H44" s="95"/>
    </row>
    <row r="45" spans="1:8" ht="19.5" customHeight="1" x14ac:dyDescent="0.3">
      <c r="A45" s="73" t="s">
        <v>68</v>
      </c>
      <c r="B45" s="102">
        <f>(B44/B43)*(B42/B41)*(B40/B39)*(B38/B37)*B36</f>
        <v>100</v>
      </c>
      <c r="C45" s="99" t="s">
        <v>69</v>
      </c>
      <c r="D45" s="103">
        <f>D44*$B$30/100</f>
        <v>13.33</v>
      </c>
      <c r="E45" s="104"/>
      <c r="F45" s="103">
        <f>F44*$B$30/100</f>
        <v>10.3</v>
      </c>
      <c r="G45" s="52"/>
      <c r="H45" s="95"/>
    </row>
    <row r="46" spans="1:8" ht="19.5" customHeight="1" x14ac:dyDescent="0.3">
      <c r="A46" s="257" t="s">
        <v>70</v>
      </c>
      <c r="B46" s="258"/>
      <c r="C46" s="99" t="s">
        <v>71</v>
      </c>
      <c r="D46" s="100">
        <f>D45/$B$45</f>
        <v>0.1333</v>
      </c>
      <c r="E46" s="104"/>
      <c r="F46" s="105">
        <f>F45/$B$45</f>
        <v>0.10300000000000001</v>
      </c>
      <c r="G46" s="52"/>
      <c r="H46" s="95"/>
    </row>
    <row r="47" spans="1:8" ht="27" customHeight="1" x14ac:dyDescent="0.4">
      <c r="A47" s="259"/>
      <c r="B47" s="260"/>
      <c r="C47" s="106" t="s">
        <v>72</v>
      </c>
      <c r="D47" s="107">
        <v>0.1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73</v>
      </c>
      <c r="D48" s="100">
        <f>D47*$B$45</f>
        <v>10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74</v>
      </c>
      <c r="D49" s="111">
        <f>D48/B34</f>
        <v>10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75</v>
      </c>
      <c r="D50" s="112">
        <f>AVERAGE(E38:E41,G38:G41)</f>
        <v>20970772.061097797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76</v>
      </c>
      <c r="D51" s="114">
        <f>STDEV(E38:E41,G38:G41)/D50</f>
        <v>7.4408937643344148E-3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20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8" t="str">
        <f>B21</f>
        <v>Each vial contains Benzylpenicillin Sodium BP 1,000,000 I.U (0.6g)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79</v>
      </c>
      <c r="B56" s="120">
        <v>600</v>
      </c>
      <c r="C56" s="52" t="str">
        <f>B20</f>
        <v>BenzylPenicillin sodium BP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80</v>
      </c>
      <c r="B57" s="168">
        <f>Uniformity!D43</f>
        <v>604.91949999999997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81</v>
      </c>
      <c r="B59" s="72">
        <v>50</v>
      </c>
      <c r="C59" s="52"/>
      <c r="D59" s="122" t="s">
        <v>82</v>
      </c>
      <c r="E59" s="123" t="s">
        <v>55</v>
      </c>
      <c r="F59" s="123" t="s">
        <v>56</v>
      </c>
      <c r="G59" s="123" t="s">
        <v>83</v>
      </c>
      <c r="H59" s="75" t="s">
        <v>84</v>
      </c>
    </row>
    <row r="60" spans="1:8" ht="26.25" customHeight="1" x14ac:dyDescent="0.4">
      <c r="A60" s="73" t="s">
        <v>85</v>
      </c>
      <c r="B60" s="74">
        <v>5</v>
      </c>
      <c r="C60" s="250" t="s">
        <v>86</v>
      </c>
      <c r="D60" s="253">
        <v>570.53</v>
      </c>
      <c r="E60" s="124">
        <v>1</v>
      </c>
      <c r="F60" s="125"/>
      <c r="G60" s="126" t="str">
        <f>IF(ISBLANK(F60),"-",(F60/$D$50*$D$47*$B$68)*($B$57/$D$60))</f>
        <v>-</v>
      </c>
      <c r="H60" s="127" t="str">
        <f t="shared" ref="H60:H71" si="0">IF(ISBLANK(F60),"-",G60/$B$56)</f>
        <v>-</v>
      </c>
    </row>
    <row r="61" spans="1:8" ht="26.25" customHeight="1" x14ac:dyDescent="0.4">
      <c r="A61" s="73" t="s">
        <v>87</v>
      </c>
      <c r="B61" s="74">
        <v>50</v>
      </c>
      <c r="C61" s="251"/>
      <c r="D61" s="254"/>
      <c r="E61" s="128">
        <v>2</v>
      </c>
      <c r="F61" s="84">
        <v>27163936</v>
      </c>
      <c r="G61" s="129">
        <f>IF(ISBLANK(F61),"-",(F61/$D$50*$D$47*$B$68)*($B$57/$D$60))</f>
        <v>686.70052896107461</v>
      </c>
      <c r="H61" s="130">
        <f t="shared" si="0"/>
        <v>1.144500881601791</v>
      </c>
    </row>
    <row r="62" spans="1:8" ht="26.25" customHeight="1" x14ac:dyDescent="0.4">
      <c r="A62" s="73" t="s">
        <v>88</v>
      </c>
      <c r="B62" s="74">
        <v>5</v>
      </c>
      <c r="C62" s="251"/>
      <c r="D62" s="254"/>
      <c r="E62" s="128">
        <v>3</v>
      </c>
      <c r="F62" s="84">
        <v>26274985</v>
      </c>
      <c r="G62" s="129">
        <f>IF(ISBLANK(F62),"-",(F62/$D$50*$D$47*$B$68)*($B$57/$D$60))</f>
        <v>664.2279711579464</v>
      </c>
      <c r="H62" s="130">
        <f t="shared" si="0"/>
        <v>1.1070466185965773</v>
      </c>
    </row>
    <row r="63" spans="1:8" ht="27" customHeight="1" x14ac:dyDescent="0.4">
      <c r="A63" s="73" t="s">
        <v>89</v>
      </c>
      <c r="B63" s="74">
        <v>50</v>
      </c>
      <c r="C63" s="252"/>
      <c r="D63" s="255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 x14ac:dyDescent="0.4">
      <c r="A64" s="73" t="s">
        <v>90</v>
      </c>
      <c r="B64" s="74">
        <v>1</v>
      </c>
      <c r="C64" s="250" t="s">
        <v>91</v>
      </c>
      <c r="D64" s="253">
        <v>560.5</v>
      </c>
      <c r="E64" s="124">
        <v>1</v>
      </c>
      <c r="F64" s="125">
        <v>25468348</v>
      </c>
      <c r="G64" s="133">
        <f>IF(ISBLANK(F64),"-",(F64/$D$50*$D$47*$B$68)*($B$57/$D$64))</f>
        <v>655.3575809963113</v>
      </c>
      <c r="H64" s="134">
        <f t="shared" si="0"/>
        <v>1.0922626349938522</v>
      </c>
    </row>
    <row r="65" spans="1:8" ht="26.25" customHeight="1" x14ac:dyDescent="0.4">
      <c r="A65" s="73" t="s">
        <v>92</v>
      </c>
      <c r="B65" s="74">
        <v>1</v>
      </c>
      <c r="C65" s="251"/>
      <c r="D65" s="254"/>
      <c r="E65" s="128">
        <v>2</v>
      </c>
      <c r="F65" s="84">
        <v>25784261</v>
      </c>
      <c r="G65" s="135">
        <f>IF(ISBLANK(F65),"-",(F65/$D$50*$D$47*$B$68)*($B$57/$D$64))</f>
        <v>663.48672936059813</v>
      </c>
      <c r="H65" s="136">
        <f t="shared" si="0"/>
        <v>1.1058112156009969</v>
      </c>
    </row>
    <row r="66" spans="1:8" ht="26.25" customHeight="1" x14ac:dyDescent="0.4">
      <c r="A66" s="73" t="s">
        <v>93</v>
      </c>
      <c r="B66" s="74">
        <v>1</v>
      </c>
      <c r="C66" s="251"/>
      <c r="D66" s="254"/>
      <c r="E66" s="128">
        <v>3</v>
      </c>
      <c r="F66" s="84">
        <v>26359987</v>
      </c>
      <c r="G66" s="135">
        <f>IF(ISBLANK(F66),"-",(F66/$D$50*$D$47*$B$68)*($B$57/$D$64))</f>
        <v>678.30144756205675</v>
      </c>
      <c r="H66" s="136">
        <f t="shared" si="0"/>
        <v>1.130502412603428</v>
      </c>
    </row>
    <row r="67" spans="1:8" ht="27" customHeight="1" x14ac:dyDescent="0.4">
      <c r="A67" s="73" t="s">
        <v>94</v>
      </c>
      <c r="B67" s="74">
        <v>1</v>
      </c>
      <c r="C67" s="252"/>
      <c r="D67" s="255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3" t="s">
        <v>95</v>
      </c>
      <c r="B68" s="139">
        <f>(B67/B66)*(B65/B64)*(B63/B62)*(B61/B60)*B59</f>
        <v>5000</v>
      </c>
      <c r="C68" s="250" t="s">
        <v>96</v>
      </c>
      <c r="D68" s="253">
        <v>549.47</v>
      </c>
      <c r="E68" s="124">
        <v>1</v>
      </c>
      <c r="F68" s="125">
        <v>25134227</v>
      </c>
      <c r="G68" s="133">
        <f>IF(ISBLANK(F68),"-",(F68/$D$50*$D$47*$B$68)*($B$57/$D$68))</f>
        <v>659.74288674235788</v>
      </c>
      <c r="H68" s="130">
        <f t="shared" si="0"/>
        <v>1.0995714779039298</v>
      </c>
    </row>
    <row r="69" spans="1:8" ht="27" customHeight="1" x14ac:dyDescent="0.4">
      <c r="A69" s="115" t="s">
        <v>97</v>
      </c>
      <c r="B69" s="140">
        <f>(D47*B68)/B56*B57</f>
        <v>504.09958333333333</v>
      </c>
      <c r="C69" s="251"/>
      <c r="D69" s="254"/>
      <c r="E69" s="128">
        <v>2</v>
      </c>
      <c r="F69" s="84">
        <v>25161467</v>
      </c>
      <c r="G69" s="135">
        <f>IF(ISBLANK(F69),"-",(F69/$D$50*$D$47*$B$68)*($B$57/$D$68))</f>
        <v>660.457903608994</v>
      </c>
      <c r="H69" s="130">
        <f t="shared" si="0"/>
        <v>1.1007631726816567</v>
      </c>
    </row>
    <row r="70" spans="1:8" ht="26.25" customHeight="1" x14ac:dyDescent="0.4">
      <c r="A70" s="257" t="s">
        <v>70</v>
      </c>
      <c r="B70" s="258"/>
      <c r="C70" s="251"/>
      <c r="D70" s="254"/>
      <c r="E70" s="128">
        <v>3</v>
      </c>
      <c r="F70" s="84"/>
      <c r="G70" s="135" t="str">
        <f>IF(ISBLANK(F70),"-",(F70/$D$50*$D$47*$B$68)*($B$57/$D$68))</f>
        <v>-</v>
      </c>
      <c r="H70" s="130" t="str">
        <f t="shared" si="0"/>
        <v>-</v>
      </c>
    </row>
    <row r="71" spans="1:8" ht="27" customHeight="1" x14ac:dyDescent="0.4">
      <c r="A71" s="259"/>
      <c r="B71" s="260"/>
      <c r="C71" s="256"/>
      <c r="D71" s="255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44" t="s">
        <v>63</v>
      </c>
      <c r="H72" s="145">
        <f>AVERAGE(H60:H71)</f>
        <v>1.1114940591403186</v>
      </c>
    </row>
    <row r="73" spans="1:8" ht="26.25" customHeight="1" x14ac:dyDescent="0.4">
      <c r="A73" s="52"/>
      <c r="B73" s="52"/>
      <c r="C73" s="142"/>
      <c r="D73" s="142"/>
      <c r="E73" s="142"/>
      <c r="F73" s="143"/>
      <c r="G73" s="146" t="s">
        <v>76</v>
      </c>
      <c r="H73" s="147">
        <f>STDEV(H60:H71)/H72</f>
        <v>1.6951416393454436E-2</v>
      </c>
    </row>
    <row r="74" spans="1:8" ht="27" customHeight="1" x14ac:dyDescent="0.4">
      <c r="A74" s="142"/>
      <c r="B74" s="142"/>
      <c r="C74" s="143"/>
      <c r="D74" s="143"/>
      <c r="E74" s="148"/>
      <c r="F74" s="143"/>
      <c r="G74" s="149" t="s">
        <v>20</v>
      </c>
      <c r="H74" s="150">
        <f>COUNT(H60:H71)</f>
        <v>7</v>
      </c>
    </row>
    <row r="75" spans="1:8" ht="18.75" customHeight="1" x14ac:dyDescent="0.3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 x14ac:dyDescent="0.4">
      <c r="A76" s="59" t="s">
        <v>98</v>
      </c>
      <c r="B76" s="154" t="s">
        <v>99</v>
      </c>
      <c r="C76" s="261" t="str">
        <f>B20</f>
        <v>BenzylPenicillin sodium BP</v>
      </c>
      <c r="D76" s="261"/>
      <c r="E76" s="155" t="s">
        <v>100</v>
      </c>
      <c r="F76" s="155"/>
      <c r="G76" s="156">
        <f>H72</f>
        <v>1.1114940591403186</v>
      </c>
      <c r="H76" s="153"/>
    </row>
    <row r="77" spans="1:8" ht="19.5" customHeight="1" x14ac:dyDescent="0.3">
      <c r="A77" s="157"/>
      <c r="B77" s="157"/>
      <c r="C77" s="158"/>
      <c r="D77" s="158"/>
      <c r="E77" s="158"/>
      <c r="F77" s="158"/>
      <c r="G77" s="158"/>
      <c r="H77" s="158"/>
    </row>
    <row r="78" spans="1:8" ht="18.75" customHeight="1" x14ac:dyDescent="0.3">
      <c r="A78" s="52"/>
      <c r="B78" s="249" t="s">
        <v>26</v>
      </c>
      <c r="C78" s="249"/>
      <c r="D78" s="52"/>
      <c r="E78" s="159" t="s">
        <v>27</v>
      </c>
      <c r="F78" s="160"/>
      <c r="G78" s="249" t="s">
        <v>28</v>
      </c>
      <c r="H78" s="249"/>
    </row>
    <row r="79" spans="1:8" ht="60" customHeight="1" x14ac:dyDescent="0.3">
      <c r="A79" s="161" t="s">
        <v>29</v>
      </c>
      <c r="B79" s="237" t="s">
        <v>115</v>
      </c>
      <c r="C79" s="162"/>
      <c r="D79" s="52"/>
      <c r="E79" s="238" t="s">
        <v>116</v>
      </c>
      <c r="F79" s="163"/>
      <c r="G79" s="164"/>
      <c r="H79" s="164"/>
    </row>
    <row r="80" spans="1:8" ht="60" customHeight="1" x14ac:dyDescent="0.3">
      <c r="A80" s="161" t="s">
        <v>30</v>
      </c>
      <c r="B80" s="165"/>
      <c r="C80" s="165"/>
      <c r="D80" s="52"/>
      <c r="E80" s="166"/>
      <c r="F80" s="163"/>
      <c r="G80" s="167"/>
      <c r="H80" s="167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Benzyl Penicillin Sodium BP</vt:lpstr>
      <vt:lpstr>'Benzyl Penicillin Sodium BP'!Print_Area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2016-03-03T08:17:32Z</cp:lastPrinted>
  <dcterms:created xsi:type="dcterms:W3CDTF">2005-07-05T10:19:27Z</dcterms:created>
  <dcterms:modified xsi:type="dcterms:W3CDTF">2016-03-22T12:13:05Z</dcterms:modified>
</cp:coreProperties>
</file>