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1075" windowHeight="11310" activeTab="2"/>
  </bookViews>
  <sheets>
    <sheet name="Uniformity" sheetId="8" r:id="rId1"/>
    <sheet name="pen g std" sheetId="1" r:id="rId2"/>
    <sheet name="pen g smp" sheetId="3" r:id="rId3"/>
  </sheets>
  <definedNames>
    <definedName name="_xlnm.Print_Area" localSheetId="2">'pen g smp'!$A$1:$F$62</definedName>
    <definedName name="_xlnm.Print_Area" localSheetId="1">'pen g std'!$A$1:$F$58</definedName>
  </definedNames>
  <calcPr calcId="145621"/>
</workbook>
</file>

<file path=xl/calcChain.xml><?xml version="1.0" encoding="utf-8"?>
<calcChain xmlns="http://schemas.openxmlformats.org/spreadsheetml/2006/main">
  <c r="C43" i="8" l="1"/>
  <c r="B43" i="8"/>
  <c r="C42" i="8"/>
  <c r="B42" i="8"/>
  <c r="D40" i="8"/>
  <c r="D39" i="8"/>
  <c r="D38" i="8"/>
  <c r="D37" i="8"/>
  <c r="D36" i="8"/>
  <c r="D35" i="8"/>
  <c r="D34" i="8"/>
  <c r="D33" i="8"/>
  <c r="D32" i="8"/>
  <c r="D31" i="8"/>
  <c r="D30" i="8"/>
  <c r="D29" i="8"/>
  <c r="D28" i="8"/>
  <c r="D27" i="8"/>
  <c r="D26" i="8"/>
  <c r="D25" i="8"/>
  <c r="D24" i="8"/>
  <c r="D23" i="8"/>
  <c r="D22" i="8"/>
  <c r="D21" i="8"/>
  <c r="D42" i="8" s="1"/>
  <c r="E33" i="8" l="1"/>
  <c r="E35" i="8"/>
  <c r="D43" i="8"/>
  <c r="D48" i="8" l="1"/>
  <c r="B47" i="8"/>
  <c r="C48" i="8"/>
  <c r="D47" i="8"/>
  <c r="C47" i="8"/>
  <c r="E40" i="8"/>
  <c r="E38" i="8"/>
  <c r="E36" i="8"/>
  <c r="E34" i="8"/>
  <c r="E32" i="8"/>
  <c r="E30" i="8"/>
  <c r="E28" i="8"/>
  <c r="E26" i="8"/>
  <c r="E24" i="8"/>
  <c r="E22" i="8"/>
  <c r="E31" i="8"/>
  <c r="E29" i="8"/>
  <c r="E21" i="8"/>
  <c r="E27" i="8"/>
  <c r="E25" i="8"/>
  <c r="E39" i="8"/>
  <c r="E23" i="8"/>
  <c r="E37" i="8"/>
  <c r="D42" i="3" l="1"/>
  <c r="D43" i="3" s="1"/>
  <c r="C42" i="3"/>
  <c r="C43" i="3" s="1"/>
  <c r="B42" i="3"/>
  <c r="B43" i="3" s="1"/>
  <c r="C31" i="3"/>
  <c r="B31" i="3"/>
  <c r="D29" i="3"/>
  <c r="E29" i="3" s="1"/>
  <c r="D28" i="3"/>
  <c r="E28" i="3" s="1"/>
  <c r="D27" i="3"/>
  <c r="E27" i="3" s="1"/>
  <c r="D21" i="3"/>
  <c r="D20" i="3"/>
  <c r="C10" i="3"/>
  <c r="E10" i="3" s="1"/>
  <c r="E9" i="3"/>
  <c r="C9" i="3"/>
  <c r="C8" i="3"/>
  <c r="E8" i="3" s="1"/>
  <c r="E12" i="3" s="1"/>
  <c r="D40" i="1"/>
  <c r="D42" i="1"/>
  <c r="E39" i="1"/>
  <c r="D39" i="1"/>
  <c r="E37" i="1"/>
  <c r="D37" i="1"/>
  <c r="D21" i="1"/>
  <c r="E38" i="1"/>
  <c r="D38" i="1"/>
  <c r="D20" i="1"/>
  <c r="C8" i="1"/>
  <c r="E8" i="1" s="1"/>
  <c r="C31" i="1"/>
  <c r="B31" i="1"/>
  <c r="D29" i="1"/>
  <c r="E29" i="1" s="1"/>
  <c r="D28" i="1"/>
  <c r="E28" i="1" s="1"/>
  <c r="D27" i="1"/>
  <c r="E27" i="1" s="1"/>
  <c r="C10" i="1"/>
  <c r="E10" i="1" s="1"/>
  <c r="C9" i="1"/>
  <c r="E9" i="1" s="1"/>
  <c r="D45" i="3" l="1"/>
  <c r="D46" i="3" s="1"/>
  <c r="C45" i="3"/>
  <c r="C46" i="3" s="1"/>
  <c r="B45" i="3"/>
  <c r="B46" i="3" s="1"/>
  <c r="E30" i="3"/>
  <c r="E31" i="3" s="1"/>
  <c r="E12" i="1"/>
  <c r="E30" i="1"/>
  <c r="E31" i="1" s="1"/>
  <c r="B48" i="3" l="1"/>
</calcChain>
</file>

<file path=xl/sharedStrings.xml><?xml version="1.0" encoding="utf-8"?>
<sst xmlns="http://schemas.openxmlformats.org/spreadsheetml/2006/main" count="131" uniqueCount="91">
  <si>
    <t>Label Claim:</t>
  </si>
  <si>
    <t>Equivalence:</t>
  </si>
  <si>
    <r>
      <t>Na</t>
    </r>
    <r>
      <rPr>
        <vertAlign val="subscript"/>
        <sz val="11"/>
        <color indexed="8"/>
        <rFont val="Calibri"/>
        <family val="2"/>
      </rPr>
      <t>2</t>
    </r>
    <r>
      <rPr>
        <sz val="11"/>
        <color theme="1"/>
        <rFont val="Calibri"/>
        <family val="2"/>
        <scheme val="minor"/>
      </rPr>
      <t>CO</t>
    </r>
    <r>
      <rPr>
        <vertAlign val="subscript"/>
        <sz val="11"/>
        <color indexed="8"/>
        <rFont val="Calibri"/>
        <family val="2"/>
      </rPr>
      <t>3</t>
    </r>
  </si>
  <si>
    <t>Mass (mg)</t>
  </si>
  <si>
    <t>Expected (mL)</t>
  </si>
  <si>
    <t>Actual Titre (mL)</t>
  </si>
  <si>
    <t>Factor</t>
  </si>
  <si>
    <t>Preparation:</t>
  </si>
  <si>
    <t>Trial</t>
  </si>
  <si>
    <t>Actual NaOH (mg)</t>
  </si>
  <si>
    <t>Blank Ratio</t>
  </si>
  <si>
    <t>Each vial contains Benzathine Penicillin 2.4 mega</t>
  </si>
  <si>
    <t>0.01 N Sodium Thiosulphate Standardization</t>
  </si>
  <si>
    <r>
      <t>1 ML of 0.01Na</t>
    </r>
    <r>
      <rPr>
        <vertAlign val="subscript"/>
        <sz val="11"/>
        <color indexed="8"/>
        <rFont val="Calibri"/>
        <family val="2"/>
      </rPr>
      <t>2</t>
    </r>
    <r>
      <rPr>
        <sz val="11"/>
        <color theme="1"/>
        <rFont val="Calibri"/>
        <family val="2"/>
        <scheme val="minor"/>
      </rPr>
      <t>S2O3</t>
    </r>
    <r>
      <rPr>
        <vertAlign val="subscript"/>
        <sz val="11"/>
        <color indexed="8"/>
        <rFont val="Calibri"/>
        <family val="2"/>
      </rPr>
      <t xml:space="preserve"> </t>
    </r>
    <r>
      <rPr>
        <sz val="11"/>
        <color indexed="8"/>
        <rFont val="Calibri"/>
        <family val="2"/>
      </rPr>
      <t>≡</t>
    </r>
  </si>
  <si>
    <t>KBrO3</t>
  </si>
  <si>
    <t>Blank std titration</t>
  </si>
  <si>
    <t>Mwt Iodine</t>
  </si>
  <si>
    <t>Iodine to make 0.05M Iodine vs</t>
  </si>
  <si>
    <t>volume of 0.01N Iodine vs used for titration:</t>
  </si>
  <si>
    <t>ml</t>
  </si>
  <si>
    <t>0.01N Iodine  prepared by taking 20 ml of the 0.05M Iodine vs and diluting to 100ml</t>
  </si>
  <si>
    <t>Desired Nominal Concentration of Iodine vs:</t>
  </si>
  <si>
    <t>0.01 M</t>
  </si>
  <si>
    <t>equivalent weight of Iodine used for titration in g:</t>
  </si>
  <si>
    <t>10 mL of this solution titrated using 0.01N Na2S2O3</t>
  </si>
  <si>
    <t>Each mL 0.01 M Na2S2O3 ≡</t>
  </si>
  <si>
    <t>Iodine</t>
  </si>
  <si>
    <t>Nominal Iodine (mg)</t>
  </si>
  <si>
    <t>Titre 0.01 M Na2S2O3</t>
  </si>
  <si>
    <t>NaS2O3</t>
  </si>
  <si>
    <t>STD A</t>
  </si>
  <si>
    <t>STD B</t>
  </si>
  <si>
    <t>STD TITRATION</t>
  </si>
  <si>
    <t>AVERAGE NaS2O4 Titre (mL):</t>
  </si>
  <si>
    <t>equivalent weight of Iodine used for titration in mg:</t>
  </si>
  <si>
    <t>mg</t>
  </si>
  <si>
    <t>F=(2CP)/(B-I)</t>
  </si>
  <si>
    <t>A</t>
  </si>
  <si>
    <t>POTENCY OF STD :</t>
  </si>
  <si>
    <t>WEIGHTS TAKEN</t>
  </si>
  <si>
    <t>CONC IN MG/ML</t>
  </si>
  <si>
    <t>UNITS/MG</t>
  </si>
  <si>
    <t>AVERAGE F</t>
  </si>
  <si>
    <t>F</t>
  </si>
  <si>
    <t>Blank smp titration</t>
  </si>
  <si>
    <t>SMP TITRATION</t>
  </si>
  <si>
    <t>VOL OF SMP USED : 2ML</t>
  </si>
  <si>
    <t>SMP WEIGHTS:</t>
  </si>
  <si>
    <t>B</t>
  </si>
  <si>
    <t>C</t>
  </si>
  <si>
    <t>AVERAGE VIAL WEIGHT IN MG</t>
  </si>
  <si>
    <t>CONTENT OF UNITS PER VIAL</t>
  </si>
  <si>
    <t>2400000 UNITS</t>
  </si>
  <si>
    <t xml:space="preserve">CONTENT IN UNITS </t>
  </si>
  <si>
    <t>SMP DILUTED IN 50ML</t>
  </si>
  <si>
    <t>CONC UNITS/ML</t>
  </si>
  <si>
    <t>FORMULA: Q QTY PEN G UNITS/ML=(L/2D)(F)(B-I)</t>
  </si>
  <si>
    <t>Q</t>
  </si>
  <si>
    <t>vol of titre used</t>
  </si>
  <si>
    <t>% content</t>
  </si>
  <si>
    <t>average content</t>
  </si>
  <si>
    <t>%</t>
  </si>
  <si>
    <t>Please enter the required information in the cells highlighted in green</t>
  </si>
  <si>
    <t>Uniformity of Weight Test Report</t>
  </si>
  <si>
    <t>Sample Name:</t>
  </si>
  <si>
    <t>Stpase Injection</t>
  </si>
  <si>
    <t>Laboratory Ref No:</t>
  </si>
  <si>
    <t>Active Ingredient:</t>
  </si>
  <si>
    <t>Streptokinase injection BP-1500000 iv/vial</t>
  </si>
  <si>
    <t>Each vials contains Streptokinase injection BP-1500000 iv/vials</t>
  </si>
  <si>
    <t>Date Analysis Started:</t>
  </si>
  <si>
    <t>2014-07-28 07:33:18</t>
  </si>
  <si>
    <t>Date Analysis Completed:</t>
  </si>
  <si>
    <t>2015-09-25 10:50:17</t>
  </si>
  <si>
    <t>Analysis Data</t>
  </si>
  <si>
    <t>Uniformity of weight</t>
  </si>
  <si>
    <t>Capsule No.</t>
  </si>
  <si>
    <t>Intact Vial (mg)</t>
  </si>
  <si>
    <t>Empty Vial (mg)</t>
  </si>
  <si>
    <t>Vial Content (mg)</t>
  </si>
  <si>
    <t>% Deviation</t>
  </si>
  <si>
    <t>Total</t>
  </si>
  <si>
    <t>Average</t>
  </si>
  <si>
    <t>% Deviation from mean</t>
  </si>
  <si>
    <t>Name</t>
  </si>
  <si>
    <t>Date</t>
  </si>
  <si>
    <t>Signature</t>
  </si>
  <si>
    <t>Analysed by:</t>
  </si>
  <si>
    <t>Reviewed By:</t>
  </si>
  <si>
    <t>NDQA201509306</t>
  </si>
  <si>
    <t>DEBENZACIN (NDQA201509306)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</si>
</sst>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0.000"/>
    <numFmt numFmtId="165" formatCode="0.0"/>
    <numFmt numFmtId="166" formatCode="0.0000"/>
    <numFmt numFmtId="167" formatCode="General\ &quot;g&quot;"/>
    <numFmt numFmtId="168" formatCode="0.000\ &quot;mg&quot;"/>
    <numFmt numFmtId="169" formatCode="0.00\ &quot;mL&quot;"/>
    <numFmt numFmtId="170" formatCode="0.00000"/>
    <numFmt numFmtId="171" formatCode="dd\-mmm\-yyyy"/>
    <numFmt numFmtId="172" formatCode="0.0000\ &quot;mg&quot;"/>
    <numFmt numFmtId="173" formatCode="0.0%"/>
    <numFmt numFmtId="174" formatCode="0.00\ &quot;mg&quot;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indexed="8"/>
      <name val="Calibri"/>
      <family val="2"/>
    </font>
    <font>
      <vertAlign val="subscript"/>
      <sz val="11"/>
      <color indexed="8"/>
      <name val="Calibri"/>
      <family val="2"/>
    </font>
    <font>
      <sz val="10"/>
      <color rgb="FF000000"/>
      <name val="Arial"/>
      <family val="2"/>
    </font>
    <font>
      <sz val="10"/>
      <color rgb="FF000000"/>
      <name val="Book Antiqua"/>
      <family val="1"/>
    </font>
    <font>
      <b/>
      <sz val="10"/>
      <color rgb="FF000000"/>
      <name val="Book Antiqua"/>
      <family val="1"/>
    </font>
    <font>
      <b/>
      <i/>
      <sz val="10"/>
      <color rgb="FF000000"/>
      <name val="Book Antiqua"/>
      <family val="1"/>
    </font>
    <font>
      <b/>
      <u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b/>
      <u/>
      <sz val="10"/>
      <color rgb="FF000000"/>
      <name val="Book Antiqua"/>
      <family val="1"/>
    </font>
    <font>
      <b/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rgb="FFFFFFFF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/>
  </cellStyleXfs>
  <cellXfs count="133">
    <xf numFmtId="0" fontId="0" fillId="0" borderId="0" xfId="0"/>
    <xf numFmtId="0" fontId="2" fillId="0" borderId="2" xfId="0" applyFont="1" applyFill="1" applyBorder="1" applyAlignment="1"/>
    <xf numFmtId="0" fontId="0" fillId="0" borderId="3" xfId="0" applyFont="1" applyFill="1" applyBorder="1" applyAlignment="1"/>
    <xf numFmtId="0" fontId="2" fillId="0" borderId="3" xfId="0" applyFont="1" applyFill="1" applyBorder="1" applyAlignment="1"/>
    <xf numFmtId="0" fontId="2" fillId="0" borderId="4" xfId="0" applyFont="1" applyFill="1" applyBorder="1" applyAlignment="1"/>
    <xf numFmtId="0" fontId="2" fillId="0" borderId="5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3" borderId="0" xfId="0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3" borderId="0" xfId="0" applyNumberFormat="1" applyFill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66" fontId="0" fillId="2" borderId="7" xfId="0" applyNumberFormat="1" applyFill="1" applyBorder="1" applyAlignment="1">
      <alignment horizontal="center"/>
    </xf>
    <xf numFmtId="10" fontId="1" fillId="0" borderId="0" xfId="1" applyNumberFormat="1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167" fontId="0" fillId="3" borderId="0" xfId="0" applyNumberFormat="1" applyFill="1" applyBorder="1" applyAlignment="1">
      <alignment horizontal="center"/>
    </xf>
    <xf numFmtId="0" fontId="0" fillId="0" borderId="0" xfId="0" applyBorder="1" applyAlignment="1">
      <alignment horizontal="right"/>
    </xf>
    <xf numFmtId="168" fontId="0" fillId="0" borderId="0" xfId="0" applyNumberFormat="1" applyBorder="1" applyAlignment="1">
      <alignment horizontal="center"/>
    </xf>
    <xf numFmtId="2" fontId="0" fillId="3" borderId="0" xfId="0" applyNumberFormat="1" applyFill="1" applyBorder="1" applyAlignment="1">
      <alignment horizontal="center"/>
    </xf>
    <xf numFmtId="169" fontId="0" fillId="3" borderId="7" xfId="0" applyNumberFormat="1" applyFill="1" applyBorder="1" applyAlignment="1">
      <alignment horizontal="center"/>
    </xf>
    <xf numFmtId="168" fontId="0" fillId="2" borderId="1" xfId="0" applyNumberFormat="1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6" fontId="0" fillId="0" borderId="6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8" xfId="0" applyBorder="1"/>
    <xf numFmtId="0" fontId="0" fillId="0" borderId="9" xfId="0" applyBorder="1"/>
    <xf numFmtId="0" fontId="0" fillId="0" borderId="9" xfId="0" applyFill="1" applyBorder="1" applyAlignment="1">
      <alignment horizontal="right"/>
    </xf>
    <xf numFmtId="167" fontId="0" fillId="0" borderId="0" xfId="0" applyNumberFormat="1" applyBorder="1"/>
    <xf numFmtId="0" fontId="2" fillId="0" borderId="5" xfId="0" applyFont="1" applyBorder="1"/>
    <xf numFmtId="0" fontId="2" fillId="0" borderId="0" xfId="0" applyFont="1" applyBorder="1"/>
    <xf numFmtId="168" fontId="0" fillId="2" borderId="0" xfId="0" applyNumberFormat="1" applyFill="1" applyBorder="1" applyAlignment="1">
      <alignment horizontal="center"/>
    </xf>
    <xf numFmtId="168" fontId="0" fillId="2" borderId="6" xfId="0" applyNumberFormat="1" applyFill="1" applyBorder="1" applyAlignment="1">
      <alignment horizontal="center"/>
    </xf>
    <xf numFmtId="167" fontId="0" fillId="0" borderId="0" xfId="0" applyNumberFormat="1" applyBorder="1" applyAlignment="1">
      <alignment horizontal="center"/>
    </xf>
    <xf numFmtId="10" fontId="1" fillId="4" borderId="1" xfId="1" applyNumberFormat="1" applyFont="1" applyFill="1" applyBorder="1" applyAlignment="1">
      <alignment horizontal="center"/>
    </xf>
    <xf numFmtId="10" fontId="1" fillId="4" borderId="0" xfId="1" applyNumberFormat="1" applyFont="1" applyFill="1" applyBorder="1" applyAlignment="1">
      <alignment horizontal="center"/>
    </xf>
    <xf numFmtId="10" fontId="1" fillId="4" borderId="6" xfId="1" applyNumberFormat="1" applyFont="1" applyFill="1" applyBorder="1" applyAlignment="1">
      <alignment horizontal="center"/>
    </xf>
    <xf numFmtId="10" fontId="0" fillId="4" borderId="0" xfId="0" applyNumberFormat="1" applyFill="1" applyAlignment="1">
      <alignment horizontal="center"/>
    </xf>
    <xf numFmtId="0" fontId="0" fillId="4" borderId="0" xfId="0" applyFill="1" applyBorder="1"/>
    <xf numFmtId="0" fontId="0" fillId="4" borderId="6" xfId="0" applyFill="1" applyBorder="1"/>
    <xf numFmtId="10" fontId="1" fillId="4" borderId="9" xfId="1" applyNumberFormat="1" applyFont="1" applyFill="1" applyBorder="1" applyAlignment="1">
      <alignment horizontal="center"/>
    </xf>
    <xf numFmtId="0" fontId="0" fillId="4" borderId="9" xfId="0" applyFill="1" applyBorder="1"/>
    <xf numFmtId="0" fontId="0" fillId="4" borderId="10" xfId="0" applyFill="1" applyBorder="1"/>
    <xf numFmtId="0" fontId="0" fillId="4" borderId="0" xfId="0" applyFill="1"/>
    <xf numFmtId="167" fontId="2" fillId="0" borderId="0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right"/>
    </xf>
    <xf numFmtId="168" fontId="0" fillId="4" borderId="1" xfId="0" applyNumberFormat="1" applyFill="1" applyBorder="1" applyAlignment="1">
      <alignment horizontal="center"/>
    </xf>
    <xf numFmtId="168" fontId="0" fillId="4" borderId="0" xfId="0" applyNumberFormat="1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right"/>
    </xf>
    <xf numFmtId="0" fontId="7" fillId="0" borderId="0" xfId="2" applyFont="1" applyFill="1"/>
    <xf numFmtId="0" fontId="7" fillId="0" borderId="0" xfId="2" applyFont="1" applyFill="1" applyAlignment="1">
      <alignment horizontal="center"/>
    </xf>
    <xf numFmtId="10" fontId="7" fillId="0" borderId="0" xfId="2" applyNumberFormat="1" applyFont="1" applyFill="1"/>
    <xf numFmtId="170" fontId="7" fillId="0" borderId="0" xfId="2" applyNumberFormat="1" applyFont="1" applyFill="1" applyAlignment="1">
      <alignment horizontal="center"/>
    </xf>
    <xf numFmtId="10" fontId="7" fillId="0" borderId="0" xfId="2" applyNumberFormat="1" applyFont="1" applyFill="1" applyAlignment="1">
      <alignment horizontal="center"/>
    </xf>
    <xf numFmtId="0" fontId="8" fillId="0" borderId="0" xfId="2" applyFont="1" applyFill="1"/>
    <xf numFmtId="2" fontId="7" fillId="0" borderId="0" xfId="2" applyNumberFormat="1" applyFont="1" applyFill="1" applyAlignment="1">
      <alignment horizontal="center"/>
    </xf>
    <xf numFmtId="0" fontId="11" fillId="0" borderId="11" xfId="2" applyFont="1" applyFill="1" applyBorder="1"/>
    <xf numFmtId="171" fontId="7" fillId="0" borderId="0" xfId="2" applyNumberFormat="1" applyFont="1" applyFill="1" applyAlignment="1">
      <alignment horizontal="center"/>
    </xf>
    <xf numFmtId="2" fontId="12" fillId="5" borderId="12" xfId="2" applyNumberFormat="1" applyFont="1" applyFill="1" applyBorder="1" applyAlignment="1" applyProtection="1">
      <alignment horizontal="center"/>
      <protection locked="0"/>
    </xf>
    <xf numFmtId="0" fontId="13" fillId="0" borderId="0" xfId="2" applyFont="1" applyFill="1" applyAlignment="1">
      <alignment horizontal="left"/>
    </xf>
    <xf numFmtId="170" fontId="8" fillId="0" borderId="13" xfId="2" applyNumberFormat="1" applyFont="1" applyFill="1" applyBorder="1" applyAlignment="1">
      <alignment horizontal="center"/>
    </xf>
    <xf numFmtId="170" fontId="8" fillId="0" borderId="14" xfId="2" applyNumberFormat="1" applyFont="1" applyFill="1" applyBorder="1" applyAlignment="1">
      <alignment horizontal="center"/>
    </xf>
    <xf numFmtId="0" fontId="8" fillId="0" borderId="13" xfId="2" applyFont="1" applyFill="1" applyBorder="1" applyAlignment="1">
      <alignment horizontal="center"/>
    </xf>
    <xf numFmtId="0" fontId="8" fillId="0" borderId="14" xfId="2" applyFont="1" applyFill="1" applyBorder="1" applyAlignment="1">
      <alignment horizontal="center"/>
    </xf>
    <xf numFmtId="2" fontId="7" fillId="0" borderId="0" xfId="2" applyNumberFormat="1" applyFont="1" applyFill="1" applyAlignment="1">
      <alignment horizontal="center" wrapText="1"/>
    </xf>
    <xf numFmtId="0" fontId="7" fillId="0" borderId="15" xfId="2" applyFont="1" applyFill="1" applyBorder="1" applyAlignment="1">
      <alignment horizontal="center"/>
    </xf>
    <xf numFmtId="2" fontId="7" fillId="5" borderId="16" xfId="2" applyNumberFormat="1" applyFont="1" applyFill="1" applyBorder="1" applyAlignment="1" applyProtection="1">
      <alignment horizontal="center"/>
      <protection locked="0"/>
    </xf>
    <xf numFmtId="2" fontId="7" fillId="5" borderId="15" xfId="2" applyNumberFormat="1" applyFont="1" applyFill="1" applyBorder="1" applyAlignment="1" applyProtection="1">
      <alignment horizontal="center"/>
      <protection locked="0"/>
    </xf>
    <xf numFmtId="2" fontId="7" fillId="0" borderId="15" xfId="2" applyNumberFormat="1" applyFont="1" applyFill="1" applyBorder="1" applyAlignment="1">
      <alignment horizontal="center"/>
    </xf>
    <xf numFmtId="10" fontId="7" fillId="0" borderId="17" xfId="2" applyNumberFormat="1" applyFont="1" applyFill="1" applyBorder="1" applyAlignment="1">
      <alignment horizontal="center"/>
    </xf>
    <xf numFmtId="0" fontId="7" fillId="0" borderId="18" xfId="2" applyFont="1" applyFill="1" applyBorder="1" applyAlignment="1">
      <alignment horizontal="center"/>
    </xf>
    <xf numFmtId="2" fontId="7" fillId="5" borderId="17" xfId="2" applyNumberFormat="1" applyFont="1" applyFill="1" applyBorder="1" applyAlignment="1" applyProtection="1">
      <alignment horizontal="center"/>
      <protection locked="0"/>
    </xf>
    <xf numFmtId="2" fontId="7" fillId="5" borderId="18" xfId="2" applyNumberFormat="1" applyFont="1" applyFill="1" applyBorder="1" applyAlignment="1" applyProtection="1">
      <alignment horizontal="center"/>
      <protection locked="0"/>
    </xf>
    <xf numFmtId="2" fontId="7" fillId="0" borderId="18" xfId="2" applyNumberFormat="1" applyFont="1" applyFill="1" applyBorder="1" applyAlignment="1">
      <alignment horizontal="center"/>
    </xf>
    <xf numFmtId="2" fontId="7" fillId="5" borderId="17" xfId="2" applyNumberFormat="1" applyFont="1" applyFill="1" applyBorder="1" applyAlignment="1" applyProtection="1">
      <alignment horizontal="center" wrapText="1"/>
      <protection locked="0"/>
    </xf>
    <xf numFmtId="166" fontId="7" fillId="0" borderId="0" xfId="2" applyNumberFormat="1" applyFont="1" applyFill="1" applyAlignment="1">
      <alignment horizontal="center"/>
    </xf>
    <xf numFmtId="166" fontId="14" fillId="0" borderId="0" xfId="2" applyNumberFormat="1" applyFont="1" applyFill="1" applyAlignment="1">
      <alignment horizontal="center"/>
    </xf>
    <xf numFmtId="10" fontId="14" fillId="0" borderId="0" xfId="2" applyNumberFormat="1" applyFont="1" applyFill="1" applyAlignment="1">
      <alignment horizontal="center"/>
    </xf>
    <xf numFmtId="170" fontId="14" fillId="0" borderId="0" xfId="2" applyNumberFormat="1" applyFont="1" applyFill="1" applyAlignment="1">
      <alignment horizontal="center"/>
    </xf>
    <xf numFmtId="2" fontId="6" fillId="0" borderId="0" xfId="2" applyNumberFormat="1" applyFill="1" applyAlignment="1">
      <alignment horizontal="center"/>
    </xf>
    <xf numFmtId="170" fontId="6" fillId="0" borderId="0" xfId="2" applyNumberFormat="1" applyFill="1"/>
    <xf numFmtId="10" fontId="6" fillId="0" borderId="0" xfId="2" applyNumberFormat="1" applyFill="1"/>
    <xf numFmtId="2" fontId="6" fillId="0" borderId="0" xfId="2" applyNumberFormat="1" applyFill="1"/>
    <xf numFmtId="0" fontId="6" fillId="0" borderId="0" xfId="2" applyFill="1" applyAlignment="1">
      <alignment horizontal="right"/>
    </xf>
    <xf numFmtId="1" fontId="7" fillId="0" borderId="19" xfId="2" applyNumberFormat="1" applyFont="1" applyFill="1" applyBorder="1" applyAlignment="1">
      <alignment horizontal="center"/>
    </xf>
    <xf numFmtId="2" fontId="7" fillId="5" borderId="20" xfId="2" applyNumberFormat="1" applyFont="1" applyFill="1" applyBorder="1" applyAlignment="1" applyProtection="1">
      <alignment horizontal="center" wrapText="1"/>
      <protection locked="0"/>
    </xf>
    <xf numFmtId="2" fontId="7" fillId="5" borderId="19" xfId="2" applyNumberFormat="1" applyFont="1" applyFill="1" applyBorder="1" applyAlignment="1" applyProtection="1">
      <alignment horizontal="center"/>
      <protection locked="0"/>
    </xf>
    <xf numFmtId="2" fontId="7" fillId="0" borderId="19" xfId="2" applyNumberFormat="1" applyFont="1" applyFill="1" applyBorder="1" applyAlignment="1">
      <alignment horizontal="center"/>
    </xf>
    <xf numFmtId="10" fontId="7" fillId="0" borderId="20" xfId="2" applyNumberFormat="1" applyFont="1" applyFill="1" applyBorder="1" applyAlignment="1">
      <alignment horizontal="center"/>
    </xf>
    <xf numFmtId="0" fontId="7" fillId="0" borderId="21" xfId="2" applyFont="1" applyFill="1" applyBorder="1" applyAlignment="1">
      <alignment horizontal="right"/>
    </xf>
    <xf numFmtId="166" fontId="7" fillId="0" borderId="22" xfId="2" applyNumberFormat="1" applyFont="1" applyFill="1" applyBorder="1" applyAlignment="1">
      <alignment horizontal="center"/>
    </xf>
    <xf numFmtId="166" fontId="7" fillId="0" borderId="23" xfId="2" applyNumberFormat="1" applyFont="1" applyFill="1" applyBorder="1" applyAlignment="1">
      <alignment horizontal="center"/>
    </xf>
    <xf numFmtId="166" fontId="7" fillId="0" borderId="24" xfId="2" applyNumberFormat="1" applyFont="1" applyFill="1" applyBorder="1" applyAlignment="1">
      <alignment horizontal="center"/>
    </xf>
    <xf numFmtId="0" fontId="7" fillId="0" borderId="25" xfId="2" applyFont="1" applyFill="1" applyBorder="1" applyAlignment="1">
      <alignment horizontal="right"/>
    </xf>
    <xf numFmtId="166" fontId="8" fillId="0" borderId="26" xfId="2" applyNumberFormat="1" applyFont="1" applyFill="1" applyBorder="1" applyAlignment="1">
      <alignment horizontal="center"/>
    </xf>
    <xf numFmtId="166" fontId="8" fillId="0" borderId="27" xfId="2" applyNumberFormat="1" applyFont="1" applyFill="1" applyBorder="1" applyAlignment="1">
      <alignment horizontal="center"/>
    </xf>
    <xf numFmtId="166" fontId="8" fillId="0" borderId="28" xfId="2" applyNumberFormat="1" applyFont="1" applyFill="1" applyBorder="1" applyAlignment="1">
      <alignment horizontal="center"/>
    </xf>
    <xf numFmtId="170" fontId="7" fillId="0" borderId="0" xfId="2" applyNumberFormat="1" applyFont="1" applyFill="1"/>
    <xf numFmtId="0" fontId="8" fillId="0" borderId="13" xfId="2" applyFont="1" applyFill="1" applyBorder="1" applyAlignment="1">
      <alignment horizontal="center" vertical="center"/>
    </xf>
    <xf numFmtId="0" fontId="8" fillId="0" borderId="13" xfId="2" applyFont="1" applyFill="1" applyBorder="1" applyAlignment="1">
      <alignment horizontal="center" wrapText="1"/>
    </xf>
    <xf numFmtId="173" fontId="8" fillId="0" borderId="30" xfId="2" applyNumberFormat="1" applyFont="1" applyFill="1" applyBorder="1" applyAlignment="1">
      <alignment horizontal="center"/>
    </xf>
    <xf numFmtId="174" fontId="8" fillId="0" borderId="31" xfId="2" applyNumberFormat="1" applyFont="1" applyFill="1" applyBorder="1" applyAlignment="1">
      <alignment horizontal="center" vertical="center"/>
    </xf>
    <xf numFmtId="173" fontId="8" fillId="0" borderId="19" xfId="2" applyNumberFormat="1" applyFont="1" applyFill="1" applyBorder="1" applyAlignment="1">
      <alignment horizontal="center"/>
    </xf>
    <xf numFmtId="0" fontId="7" fillId="0" borderId="33" xfId="2" applyFont="1" applyFill="1" applyBorder="1"/>
    <xf numFmtId="0" fontId="7" fillId="0" borderId="0" xfId="2" applyFont="1" applyFill="1" applyAlignment="1">
      <alignment horizontal="right"/>
    </xf>
    <xf numFmtId="10" fontId="7" fillId="0" borderId="34" xfId="2" applyNumberFormat="1" applyFont="1" applyFill="1" applyBorder="1"/>
    <xf numFmtId="0" fontId="7" fillId="0" borderId="35" xfId="2" applyFont="1" applyFill="1" applyBorder="1" applyAlignment="1">
      <alignment horizontal="center"/>
    </xf>
    <xf numFmtId="0" fontId="7" fillId="0" borderId="36" xfId="2" applyFont="1" applyFill="1" applyBorder="1"/>
    <xf numFmtId="0" fontId="8" fillId="0" borderId="37" xfId="2" applyFont="1" applyFill="1" applyBorder="1"/>
    <xf numFmtId="0" fontId="7" fillId="0" borderId="37" xfId="2" applyFont="1" applyFill="1" applyBorder="1"/>
    <xf numFmtId="0" fontId="6" fillId="0" borderId="0" xfId="2" applyFill="1"/>
    <xf numFmtId="0" fontId="8" fillId="0" borderId="0" xfId="2" applyFont="1" applyFill="1" applyAlignment="1">
      <alignment horizontal="right"/>
    </xf>
    <xf numFmtId="0" fontId="8" fillId="0" borderId="35" xfId="2" applyFont="1" applyFill="1" applyBorder="1" applyAlignment="1">
      <alignment horizontal="center"/>
    </xf>
    <xf numFmtId="0" fontId="9" fillId="0" borderId="0" xfId="2" applyFont="1" applyFill="1" applyAlignment="1">
      <alignment horizontal="center" wrapText="1"/>
    </xf>
    <xf numFmtId="0" fontId="8" fillId="0" borderId="0" xfId="2" applyFont="1" applyFill="1" applyAlignment="1">
      <alignment horizontal="right"/>
    </xf>
    <xf numFmtId="0" fontId="13" fillId="0" borderId="0" xfId="2" applyFont="1" applyFill="1" applyAlignment="1">
      <alignment horizontal="center"/>
    </xf>
    <xf numFmtId="172" fontId="8" fillId="0" borderId="29" xfId="2" applyNumberFormat="1" applyFont="1" applyFill="1" applyBorder="1" applyAlignment="1">
      <alignment horizontal="center" vertical="center"/>
    </xf>
    <xf numFmtId="172" fontId="8" fillId="0" borderId="32" xfId="2" applyNumberFormat="1" applyFont="1" applyFill="1" applyBorder="1" applyAlignment="1">
      <alignment horizontal="center" vertical="center"/>
    </xf>
    <xf numFmtId="0" fontId="8" fillId="0" borderId="35" xfId="2" applyFont="1" applyFill="1" applyBorder="1" applyAlignment="1">
      <alignment horizontal="center"/>
    </xf>
    <xf numFmtId="0" fontId="9" fillId="0" borderId="0" xfId="2" applyFont="1" applyFill="1" applyAlignment="1">
      <alignment horizontal="center" wrapText="1"/>
    </xf>
    <xf numFmtId="0" fontId="10" fillId="0" borderId="0" xfId="2" applyFont="1" applyFill="1" applyAlignment="1">
      <alignment horizontal="center"/>
    </xf>
    <xf numFmtId="0" fontId="7" fillId="0" borderId="0" xfId="2" applyFont="1" applyFill="1" applyAlignment="1">
      <alignment horizontal="left" wrapText="1"/>
    </xf>
    <xf numFmtId="0" fontId="3" fillId="2" borderId="1" xfId="0" applyFont="1" applyFill="1" applyBorder="1" applyAlignment="1">
      <alignment horizontal="center"/>
    </xf>
  </cellXfs>
  <cellStyles count="3">
    <cellStyle name="Normal" xfId="0" builtinId="0"/>
    <cellStyle name="Normal 2" xfId="2"/>
    <cellStyle name="Percent" xfId="1" builtinId="5"/>
  </cellStyles>
  <dxfs count="20"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2"/>
  <sheetViews>
    <sheetView topLeftCell="A20" workbookViewId="0">
      <selection activeCell="B21" sqref="B21"/>
    </sheetView>
  </sheetViews>
  <sheetFormatPr defaultColWidth="9.140625" defaultRowHeight="16.5" x14ac:dyDescent="0.3"/>
  <cols>
    <col min="1" max="1" width="13.140625" style="68" customWidth="1"/>
    <col min="2" max="2" width="17.85546875" style="114" customWidth="1"/>
    <col min="3" max="3" width="18.85546875" style="68" customWidth="1"/>
    <col min="4" max="4" width="19.7109375" style="66" customWidth="1"/>
    <col min="5" max="5" width="18.42578125" style="68" customWidth="1"/>
    <col min="6" max="6" width="6.42578125" style="64" customWidth="1"/>
    <col min="7" max="7" width="17.140625" style="64" customWidth="1"/>
    <col min="8" max="8" width="13.140625" style="64" customWidth="1"/>
    <col min="9" max="9" width="11" style="64" customWidth="1"/>
    <col min="10" max="10" width="15" style="64" customWidth="1"/>
    <col min="11" max="11" width="7.5703125" style="64" customWidth="1"/>
    <col min="12" max="12" width="13.140625" style="64" customWidth="1"/>
    <col min="13" max="13" width="11" style="64" customWidth="1"/>
    <col min="14" max="14" width="12.28515625" style="64" customWidth="1"/>
    <col min="15" max="15" width="6.5703125" style="64" customWidth="1"/>
    <col min="16" max="16" width="9.140625" style="64"/>
    <col min="17" max="16384" width="9.140625" style="120"/>
  </cols>
  <sheetData>
    <row r="1" spans="1:15" ht="15" x14ac:dyDescent="0.3">
      <c r="A1" s="59"/>
      <c r="B1" s="60"/>
      <c r="C1" s="59"/>
      <c r="D1" s="61"/>
      <c r="E1" s="62"/>
      <c r="F1" s="60"/>
      <c r="G1" s="62"/>
      <c r="H1" s="62"/>
      <c r="I1" s="60"/>
      <c r="J1" s="62"/>
      <c r="K1" s="63"/>
      <c r="L1" s="62"/>
      <c r="M1" s="60"/>
      <c r="N1" s="62"/>
      <c r="O1" s="60"/>
    </row>
    <row r="2" spans="1:15" ht="15" x14ac:dyDescent="0.3">
      <c r="A2" s="59"/>
      <c r="B2" s="60"/>
      <c r="C2" s="59"/>
      <c r="D2" s="61"/>
      <c r="E2" s="65"/>
      <c r="F2" s="60"/>
      <c r="G2" s="65"/>
      <c r="H2" s="65"/>
      <c r="I2" s="60"/>
      <c r="J2" s="65"/>
      <c r="K2" s="63"/>
      <c r="L2" s="65"/>
      <c r="M2" s="63"/>
      <c r="N2" s="65"/>
      <c r="O2" s="63"/>
    </row>
    <row r="3" spans="1:15" ht="15" x14ac:dyDescent="0.3">
      <c r="A3" s="59"/>
      <c r="B3" s="60"/>
      <c r="C3" s="59"/>
      <c r="D3" s="61"/>
      <c r="E3" s="65"/>
      <c r="F3" s="60"/>
      <c r="G3" s="65"/>
      <c r="H3" s="65"/>
      <c r="I3" s="60"/>
      <c r="J3" s="65"/>
      <c r="K3" s="63"/>
      <c r="L3" s="65"/>
      <c r="M3" s="63"/>
      <c r="N3" s="65"/>
      <c r="O3" s="63"/>
    </row>
    <row r="4" spans="1:15" ht="15" x14ac:dyDescent="0.3">
      <c r="A4" s="59"/>
      <c r="B4" s="60"/>
      <c r="C4" s="59"/>
      <c r="D4" s="61"/>
      <c r="E4" s="65"/>
      <c r="F4" s="60"/>
      <c r="G4" s="65"/>
      <c r="H4" s="65"/>
      <c r="I4" s="60"/>
      <c r="J4" s="65"/>
      <c r="K4" s="63"/>
      <c r="L4" s="65"/>
      <c r="M4" s="63"/>
      <c r="N4" s="65"/>
      <c r="O4" s="63"/>
    </row>
    <row r="5" spans="1:15" ht="15" x14ac:dyDescent="0.3">
      <c r="A5" s="59"/>
      <c r="B5" s="60"/>
      <c r="C5" s="59"/>
      <c r="D5" s="61"/>
      <c r="E5" s="65"/>
      <c r="F5" s="60"/>
      <c r="G5" s="65"/>
      <c r="H5" s="65"/>
      <c r="I5" s="60"/>
      <c r="J5" s="65"/>
      <c r="K5" s="63"/>
      <c r="L5" s="65"/>
      <c r="M5" s="63"/>
      <c r="N5" s="65"/>
      <c r="O5" s="63"/>
    </row>
    <row r="6" spans="1:15" ht="15" x14ac:dyDescent="0.3">
      <c r="A6" s="59"/>
      <c r="B6" s="60"/>
      <c r="C6" s="59"/>
      <c r="D6" s="61"/>
      <c r="E6" s="65"/>
      <c r="F6" s="60"/>
      <c r="G6" s="65"/>
      <c r="H6" s="65"/>
      <c r="I6" s="60"/>
      <c r="J6" s="65"/>
      <c r="K6" s="63"/>
      <c r="L6" s="65"/>
      <c r="M6" s="63"/>
      <c r="N6" s="65"/>
      <c r="O6" s="63"/>
    </row>
    <row r="7" spans="1:15" ht="15" x14ac:dyDescent="0.3">
      <c r="A7" s="59"/>
      <c r="B7" s="60"/>
      <c r="C7" s="59"/>
      <c r="D7" s="61"/>
      <c r="E7" s="65"/>
      <c r="F7" s="60"/>
      <c r="G7" s="65"/>
      <c r="H7" s="65"/>
      <c r="I7" s="60"/>
      <c r="J7" s="65"/>
      <c r="K7" s="63"/>
      <c r="L7" s="65"/>
      <c r="M7" s="63"/>
      <c r="N7" s="65"/>
      <c r="O7" s="63"/>
    </row>
    <row r="8" spans="1:15" ht="19.5" customHeight="1" x14ac:dyDescent="0.3">
      <c r="A8" s="129" t="s">
        <v>62</v>
      </c>
      <c r="B8" s="129"/>
      <c r="C8" s="129"/>
      <c r="D8" s="129"/>
      <c r="E8" s="129"/>
      <c r="F8" s="129"/>
      <c r="G8" s="129"/>
      <c r="H8" s="65"/>
      <c r="I8" s="60"/>
      <c r="J8" s="65"/>
      <c r="K8" s="63"/>
      <c r="L8" s="65"/>
      <c r="M8" s="63"/>
      <c r="N8" s="65"/>
      <c r="O8" s="63"/>
    </row>
    <row r="9" spans="1:15" ht="19.5" customHeight="1" x14ac:dyDescent="0.3">
      <c r="A9" s="123"/>
      <c r="B9" s="123"/>
      <c r="C9" s="123"/>
      <c r="D9" s="123"/>
      <c r="E9" s="123"/>
      <c r="F9" s="123"/>
      <c r="G9" s="123"/>
      <c r="H9" s="65"/>
      <c r="I9" s="60"/>
      <c r="J9" s="65"/>
      <c r="K9" s="63"/>
      <c r="L9" s="65"/>
      <c r="M9" s="63"/>
      <c r="N9" s="65"/>
      <c r="O9" s="63"/>
    </row>
    <row r="10" spans="1:15" ht="16.5" customHeight="1" x14ac:dyDescent="0.3">
      <c r="A10" s="130" t="s">
        <v>63</v>
      </c>
      <c r="B10" s="130"/>
      <c r="C10" s="130"/>
      <c r="D10" s="130"/>
      <c r="E10" s="130"/>
      <c r="F10" s="130"/>
      <c r="G10" s="130"/>
      <c r="H10" s="65"/>
      <c r="I10" s="60"/>
      <c r="J10" s="65"/>
      <c r="K10" s="63"/>
      <c r="L10" s="65"/>
      <c r="M10" s="63"/>
      <c r="N10" s="65"/>
      <c r="O10" s="63"/>
    </row>
    <row r="11" spans="1:15" ht="15" customHeight="1" x14ac:dyDescent="0.3">
      <c r="A11" s="124" t="s">
        <v>64</v>
      </c>
      <c r="B11" s="124"/>
      <c r="C11" s="59" t="s">
        <v>65</v>
      </c>
      <c r="E11" s="65"/>
      <c r="F11" s="60"/>
      <c r="G11" s="65"/>
      <c r="H11" s="65"/>
      <c r="I11" s="60"/>
      <c r="J11" s="65"/>
      <c r="K11" s="63"/>
      <c r="L11" s="65"/>
      <c r="M11" s="63"/>
      <c r="N11" s="65"/>
      <c r="O11" s="63"/>
    </row>
    <row r="12" spans="1:15" ht="15" customHeight="1" x14ac:dyDescent="0.3">
      <c r="A12" s="124" t="s">
        <v>66</v>
      </c>
      <c r="B12" s="124"/>
      <c r="C12" s="59" t="s">
        <v>89</v>
      </c>
      <c r="E12" s="65"/>
      <c r="F12" s="60"/>
      <c r="G12" s="65"/>
      <c r="H12" s="65"/>
      <c r="I12" s="60"/>
      <c r="J12" s="65"/>
      <c r="K12" s="63"/>
      <c r="L12" s="65"/>
      <c r="M12" s="63"/>
      <c r="N12" s="65"/>
      <c r="O12" s="63"/>
    </row>
    <row r="13" spans="1:15" ht="15" customHeight="1" x14ac:dyDescent="0.3">
      <c r="A13" s="124" t="s">
        <v>67</v>
      </c>
      <c r="B13" s="124"/>
      <c r="C13" s="59" t="s">
        <v>68</v>
      </c>
      <c r="E13" s="65"/>
      <c r="F13" s="60"/>
      <c r="G13" s="65"/>
      <c r="H13" s="65"/>
      <c r="I13" s="60"/>
      <c r="J13" s="65"/>
      <c r="K13" s="63"/>
      <c r="L13" s="65"/>
      <c r="M13" s="63"/>
      <c r="N13" s="65"/>
      <c r="O13" s="63"/>
    </row>
    <row r="14" spans="1:15" ht="15" customHeight="1" x14ac:dyDescent="0.3">
      <c r="A14" s="124" t="s">
        <v>0</v>
      </c>
      <c r="B14" s="124"/>
      <c r="C14" s="131" t="s">
        <v>69</v>
      </c>
      <c r="D14" s="131"/>
      <c r="E14" s="131"/>
      <c r="F14" s="131"/>
      <c r="G14" s="131"/>
      <c r="H14" s="65"/>
      <c r="I14" s="60"/>
      <c r="J14" s="65"/>
      <c r="K14" s="63"/>
      <c r="L14" s="65"/>
      <c r="M14" s="63"/>
      <c r="N14" s="65"/>
      <c r="O14" s="63"/>
    </row>
    <row r="15" spans="1:15" ht="15" customHeight="1" x14ac:dyDescent="0.3">
      <c r="A15" s="124" t="s">
        <v>70</v>
      </c>
      <c r="B15" s="124"/>
      <c r="C15" s="67" t="s">
        <v>71</v>
      </c>
      <c r="D15" s="59"/>
      <c r="E15" s="65"/>
      <c r="F15" s="60"/>
      <c r="G15" s="65"/>
      <c r="H15" s="65"/>
      <c r="I15" s="60"/>
      <c r="J15" s="65"/>
      <c r="K15" s="63"/>
      <c r="L15" s="65"/>
      <c r="M15" s="63"/>
      <c r="N15" s="65"/>
      <c r="O15" s="63"/>
    </row>
    <row r="16" spans="1:15" ht="15" customHeight="1" x14ac:dyDescent="0.3">
      <c r="A16" s="124" t="s">
        <v>72</v>
      </c>
      <c r="B16" s="124"/>
      <c r="C16" s="67" t="s">
        <v>73</v>
      </c>
      <c r="D16" s="59"/>
      <c r="E16" s="65"/>
      <c r="F16" s="60"/>
      <c r="G16" s="65"/>
      <c r="H16" s="65"/>
      <c r="I16" s="60"/>
      <c r="J16" s="65"/>
      <c r="K16" s="63"/>
      <c r="L16" s="65"/>
      <c r="M16" s="63"/>
      <c r="N16" s="65"/>
      <c r="O16" s="63"/>
    </row>
    <row r="17" spans="1:15" x14ac:dyDescent="0.3">
      <c r="B17" s="59"/>
      <c r="D17" s="59"/>
      <c r="E17" s="65"/>
      <c r="F17" s="60"/>
      <c r="G17" s="65"/>
      <c r="H17" s="65"/>
      <c r="I17" s="60"/>
      <c r="J17" s="65"/>
      <c r="K17" s="63"/>
      <c r="L17" s="65"/>
      <c r="M17" s="63"/>
      <c r="N17" s="65"/>
      <c r="O17" s="63"/>
    </row>
    <row r="18" spans="1:15" ht="15" customHeight="1" x14ac:dyDescent="0.3">
      <c r="A18" s="125" t="s">
        <v>74</v>
      </c>
      <c r="B18" s="125"/>
      <c r="C18" s="69" t="s">
        <v>75</v>
      </c>
      <c r="D18" s="59"/>
      <c r="E18" s="65"/>
      <c r="F18" s="60"/>
      <c r="G18" s="65"/>
      <c r="H18" s="65"/>
      <c r="I18" s="60"/>
      <c r="J18" s="65"/>
      <c r="K18" s="63"/>
      <c r="L18" s="65"/>
      <c r="M18" s="63"/>
      <c r="N18" s="65"/>
      <c r="O18" s="63"/>
    </row>
    <row r="19" spans="1:15" ht="15.75" customHeight="1" thickBot="1" x14ac:dyDescent="0.35">
      <c r="A19" s="64"/>
      <c r="B19" s="59"/>
      <c r="D19" s="59"/>
      <c r="E19" s="65"/>
      <c r="F19" s="60"/>
      <c r="G19" s="65"/>
      <c r="H19" s="65"/>
      <c r="I19" s="60"/>
      <c r="J19" s="65"/>
      <c r="K19" s="63"/>
      <c r="L19" s="65"/>
      <c r="M19" s="63"/>
      <c r="N19" s="65"/>
      <c r="O19" s="63"/>
    </row>
    <row r="20" spans="1:15" ht="15.75" customHeight="1" thickBot="1" x14ac:dyDescent="0.35">
      <c r="A20" s="70" t="s">
        <v>76</v>
      </c>
      <c r="B20" s="71" t="s">
        <v>77</v>
      </c>
      <c r="C20" s="72" t="s">
        <v>78</v>
      </c>
      <c r="D20" s="70" t="s">
        <v>79</v>
      </c>
      <c r="E20" s="73" t="s">
        <v>80</v>
      </c>
      <c r="G20" s="65"/>
      <c r="H20" s="74"/>
      <c r="I20" s="60"/>
      <c r="J20" s="65"/>
      <c r="K20" s="63"/>
      <c r="L20" s="74"/>
      <c r="M20" s="63"/>
      <c r="N20" s="74"/>
      <c r="O20" s="63"/>
    </row>
    <row r="21" spans="1:15" ht="15" x14ac:dyDescent="0.3">
      <c r="A21" s="75">
        <v>1</v>
      </c>
      <c r="B21" s="76">
        <v>24208.37</v>
      </c>
      <c r="C21" s="77">
        <v>22016.84</v>
      </c>
      <c r="D21" s="78">
        <f t="shared" ref="D21:D40" si="0">B21-C21</f>
        <v>2191.5299999999988</v>
      </c>
      <c r="E21" s="79">
        <f t="shared" ref="E21:E40" si="1">(D21-$D$43)/$D$43</f>
        <v>0.11028278006138745</v>
      </c>
      <c r="G21" s="65"/>
      <c r="H21" s="74"/>
      <c r="I21" s="60"/>
      <c r="J21" s="65"/>
      <c r="K21" s="63"/>
      <c r="L21" s="74"/>
      <c r="M21" s="63"/>
      <c r="N21" s="74"/>
      <c r="O21" s="63"/>
    </row>
    <row r="22" spans="1:15" ht="15" x14ac:dyDescent="0.3">
      <c r="A22" s="80">
        <v>2</v>
      </c>
      <c r="B22" s="81">
        <v>22868.58</v>
      </c>
      <c r="C22" s="82">
        <v>20989.51</v>
      </c>
      <c r="D22" s="83">
        <f t="shared" si="0"/>
        <v>1879.0700000000033</v>
      </c>
      <c r="E22" s="79">
        <f t="shared" si="1"/>
        <v>-4.8017109722451372E-2</v>
      </c>
      <c r="G22" s="65"/>
      <c r="H22" s="74"/>
      <c r="I22" s="60"/>
      <c r="J22" s="65"/>
      <c r="K22" s="63"/>
      <c r="L22" s="74"/>
      <c r="M22" s="63"/>
      <c r="N22" s="74"/>
      <c r="O22" s="63"/>
    </row>
    <row r="23" spans="1:15" ht="15" x14ac:dyDescent="0.3">
      <c r="A23" s="80">
        <v>3</v>
      </c>
      <c r="B23" s="81">
        <v>23513.98</v>
      </c>
      <c r="C23" s="82">
        <v>21577.89</v>
      </c>
      <c r="D23" s="83">
        <f t="shared" si="0"/>
        <v>1936.0900000000001</v>
      </c>
      <c r="E23" s="79">
        <f t="shared" si="1"/>
        <v>-1.9129381003658207E-2</v>
      </c>
      <c r="G23" s="65"/>
      <c r="H23" s="74"/>
      <c r="I23" s="60"/>
      <c r="J23" s="65"/>
      <c r="K23" s="63"/>
      <c r="L23" s="74"/>
      <c r="M23" s="63"/>
      <c r="N23" s="74"/>
      <c r="O23" s="63"/>
    </row>
    <row r="24" spans="1:15" ht="15" x14ac:dyDescent="0.3">
      <c r="A24" s="80">
        <v>4</v>
      </c>
      <c r="B24" s="81">
        <v>23227.61</v>
      </c>
      <c r="C24" s="82">
        <v>21335.03</v>
      </c>
      <c r="D24" s="83">
        <f t="shared" si="0"/>
        <v>1892.5800000000017</v>
      </c>
      <c r="E24" s="79">
        <f t="shared" si="1"/>
        <v>-4.1172612791710028E-2</v>
      </c>
      <c r="G24" s="65"/>
      <c r="H24" s="74"/>
      <c r="I24" s="60"/>
      <c r="J24" s="65"/>
      <c r="K24" s="63"/>
      <c r="L24" s="74"/>
      <c r="M24" s="63"/>
      <c r="N24" s="74"/>
      <c r="O24" s="63"/>
    </row>
    <row r="25" spans="1:15" ht="15" x14ac:dyDescent="0.3">
      <c r="A25" s="80">
        <v>5</v>
      </c>
      <c r="B25" s="81">
        <v>23462.36</v>
      </c>
      <c r="C25" s="82">
        <v>21417.52</v>
      </c>
      <c r="D25" s="83">
        <f t="shared" si="0"/>
        <v>2044.8400000000001</v>
      </c>
      <c r="E25" s="79">
        <f t="shared" si="1"/>
        <v>3.5966032854092292E-2</v>
      </c>
      <c r="G25" s="65"/>
      <c r="H25" s="74"/>
      <c r="I25" s="60"/>
      <c r="J25" s="65"/>
      <c r="K25" s="63"/>
      <c r="L25" s="74"/>
      <c r="M25" s="63"/>
      <c r="N25" s="74"/>
      <c r="O25" s="63"/>
    </row>
    <row r="26" spans="1:15" ht="15" x14ac:dyDescent="0.3">
      <c r="A26" s="80">
        <v>6</v>
      </c>
      <c r="B26" s="81">
        <v>23853.58</v>
      </c>
      <c r="C26" s="82">
        <v>21793.360000000001</v>
      </c>
      <c r="D26" s="83">
        <f t="shared" si="0"/>
        <v>2060.2200000000012</v>
      </c>
      <c r="E26" s="79">
        <f t="shared" si="1"/>
        <v>4.3757917590940651E-2</v>
      </c>
      <c r="G26" s="65"/>
      <c r="H26" s="74"/>
      <c r="I26" s="60"/>
      <c r="J26" s="65"/>
      <c r="K26" s="63"/>
      <c r="L26" s="74"/>
      <c r="M26" s="63"/>
      <c r="N26" s="74"/>
      <c r="O26" s="63"/>
    </row>
    <row r="27" spans="1:15" ht="15" x14ac:dyDescent="0.3">
      <c r="A27" s="80">
        <v>7</v>
      </c>
      <c r="B27" s="81">
        <v>23486.39</v>
      </c>
      <c r="C27" s="82">
        <v>21446.61</v>
      </c>
      <c r="D27" s="83">
        <f t="shared" si="0"/>
        <v>2039.7799999999988</v>
      </c>
      <c r="E27" s="79">
        <f t="shared" si="1"/>
        <v>3.3402512908158592E-2</v>
      </c>
      <c r="G27" s="65"/>
      <c r="H27" s="74"/>
      <c r="I27" s="60"/>
      <c r="J27" s="65"/>
      <c r="K27" s="63"/>
      <c r="L27" s="74"/>
      <c r="M27" s="63"/>
      <c r="N27" s="74"/>
      <c r="O27" s="63"/>
    </row>
    <row r="28" spans="1:15" ht="15" x14ac:dyDescent="0.3">
      <c r="A28" s="80">
        <v>8</v>
      </c>
      <c r="B28" s="81">
        <v>24045.8</v>
      </c>
      <c r="C28" s="82">
        <v>22162.720000000001</v>
      </c>
      <c r="D28" s="83">
        <f t="shared" si="0"/>
        <v>1883.0799999999981</v>
      </c>
      <c r="E28" s="79">
        <f t="shared" si="1"/>
        <v>-4.5985545496526857E-2</v>
      </c>
      <c r="G28" s="65"/>
      <c r="H28" s="74"/>
      <c r="I28" s="60"/>
      <c r="J28" s="65"/>
      <c r="K28" s="63"/>
      <c r="L28" s="74"/>
      <c r="M28" s="63"/>
      <c r="N28" s="74"/>
      <c r="O28" s="63"/>
    </row>
    <row r="29" spans="1:15" ht="15" x14ac:dyDescent="0.3">
      <c r="A29" s="80">
        <v>9</v>
      </c>
      <c r="B29" s="81">
        <v>23501.72</v>
      </c>
      <c r="C29" s="82">
        <v>21538.17</v>
      </c>
      <c r="D29" s="83">
        <f t="shared" si="0"/>
        <v>1963.5500000000029</v>
      </c>
      <c r="E29" s="79">
        <f t="shared" si="1"/>
        <v>-5.2174723642652758E-3</v>
      </c>
      <c r="G29" s="65"/>
      <c r="H29" s="74"/>
      <c r="I29" s="60"/>
      <c r="J29" s="65"/>
      <c r="K29" s="63"/>
      <c r="L29" s="74"/>
      <c r="M29" s="63"/>
      <c r="N29" s="74"/>
      <c r="O29" s="63"/>
    </row>
    <row r="30" spans="1:15" ht="15" x14ac:dyDescent="0.3">
      <c r="A30" s="80">
        <v>10</v>
      </c>
      <c r="B30" s="84">
        <v>23742.78</v>
      </c>
      <c r="C30" s="82">
        <v>21804.93</v>
      </c>
      <c r="D30" s="83">
        <f t="shared" si="0"/>
        <v>1937.8499999999985</v>
      </c>
      <c r="E30" s="79">
        <f t="shared" si="1"/>
        <v>-1.8237721892030136E-2</v>
      </c>
      <c r="G30" s="65"/>
      <c r="H30" s="74"/>
      <c r="I30" s="60"/>
      <c r="J30" s="65"/>
      <c r="K30" s="63"/>
      <c r="L30" s="74"/>
      <c r="M30" s="63"/>
      <c r="N30" s="74"/>
      <c r="O30" s="63"/>
    </row>
    <row r="31" spans="1:15" ht="15" x14ac:dyDescent="0.3">
      <c r="A31" s="80">
        <v>11</v>
      </c>
      <c r="B31" s="84">
        <v>23792.05</v>
      </c>
      <c r="C31" s="82">
        <v>22014.080000000002</v>
      </c>
      <c r="D31" s="83">
        <f t="shared" si="0"/>
        <v>1777.9699999999975</v>
      </c>
      <c r="E31" s="79">
        <f t="shared" si="1"/>
        <v>-9.923684619159065E-2</v>
      </c>
      <c r="G31" s="85"/>
      <c r="H31" s="85"/>
      <c r="I31" s="85"/>
      <c r="J31" s="85"/>
      <c r="K31" s="63"/>
      <c r="L31" s="85"/>
      <c r="M31" s="63"/>
      <c r="N31" s="85"/>
      <c r="O31" s="63"/>
    </row>
    <row r="32" spans="1:15" ht="15" x14ac:dyDescent="0.3">
      <c r="A32" s="80">
        <v>12</v>
      </c>
      <c r="B32" s="84">
        <v>23492.43</v>
      </c>
      <c r="C32" s="82">
        <v>21204.45</v>
      </c>
      <c r="D32" s="83">
        <f t="shared" si="0"/>
        <v>2287.9799999999996</v>
      </c>
      <c r="E32" s="79">
        <f t="shared" si="1"/>
        <v>0.15914671262764102</v>
      </c>
      <c r="G32" s="85"/>
      <c r="H32" s="85"/>
      <c r="I32" s="85"/>
      <c r="J32" s="85"/>
      <c r="K32" s="63"/>
      <c r="L32" s="85"/>
      <c r="M32" s="85"/>
      <c r="N32" s="85"/>
      <c r="O32" s="85"/>
    </row>
    <row r="33" spans="1:15" ht="15" x14ac:dyDescent="0.3">
      <c r="A33" s="80">
        <v>13</v>
      </c>
      <c r="B33" s="84">
        <v>23796.42</v>
      </c>
      <c r="C33" s="82">
        <v>21857.91</v>
      </c>
      <c r="D33" s="83">
        <f t="shared" si="0"/>
        <v>1938.5099999999984</v>
      </c>
      <c r="E33" s="79">
        <f t="shared" si="1"/>
        <v>-1.7903349725169378E-2</v>
      </c>
      <c r="G33" s="86"/>
      <c r="H33" s="86"/>
      <c r="I33" s="86"/>
      <c r="J33" s="86"/>
      <c r="K33" s="87"/>
      <c r="L33" s="86"/>
      <c r="M33" s="86"/>
      <c r="N33" s="88"/>
      <c r="O33" s="86"/>
    </row>
    <row r="34" spans="1:15" ht="15" x14ac:dyDescent="0.3">
      <c r="A34" s="80">
        <v>14</v>
      </c>
      <c r="B34" s="84">
        <v>24238.26</v>
      </c>
      <c r="C34" s="82">
        <v>22178.33</v>
      </c>
      <c r="D34" s="83">
        <f t="shared" si="0"/>
        <v>2059.9299999999967</v>
      </c>
      <c r="E34" s="79">
        <f t="shared" si="1"/>
        <v>4.3610996487317699E-2</v>
      </c>
      <c r="G34" s="89"/>
      <c r="H34" s="90"/>
      <c r="I34" s="90"/>
      <c r="J34" s="89"/>
      <c r="K34" s="91"/>
      <c r="L34" s="92"/>
      <c r="M34" s="90"/>
      <c r="N34" s="92"/>
      <c r="O34" s="90"/>
    </row>
    <row r="35" spans="1:15" ht="15" x14ac:dyDescent="0.3">
      <c r="A35" s="80">
        <v>15</v>
      </c>
      <c r="B35" s="84">
        <v>23210.14</v>
      </c>
      <c r="C35" s="82">
        <v>21136.99</v>
      </c>
      <c r="D35" s="83">
        <f t="shared" si="0"/>
        <v>2073.1499999999978</v>
      </c>
      <c r="E35" s="79">
        <f t="shared" si="1"/>
        <v>5.0308572314439769E-2</v>
      </c>
      <c r="G35" s="89"/>
      <c r="J35" s="89"/>
      <c r="K35" s="91"/>
      <c r="L35" s="92"/>
      <c r="N35" s="92"/>
    </row>
    <row r="36" spans="1:15" ht="15" x14ac:dyDescent="0.3">
      <c r="A36" s="80">
        <v>16</v>
      </c>
      <c r="B36" s="84">
        <v>23995.88</v>
      </c>
      <c r="C36" s="82">
        <v>22110.09</v>
      </c>
      <c r="D36" s="83">
        <f t="shared" si="0"/>
        <v>1885.7900000000009</v>
      </c>
      <c r="E36" s="79">
        <f t="shared" si="1"/>
        <v>-4.4612593114415081E-2</v>
      </c>
      <c r="G36" s="93"/>
      <c r="H36" s="93"/>
    </row>
    <row r="37" spans="1:15" ht="15" x14ac:dyDescent="0.3">
      <c r="A37" s="80">
        <v>17</v>
      </c>
      <c r="B37" s="84">
        <v>22823.81</v>
      </c>
      <c r="C37" s="82">
        <v>20978.240000000002</v>
      </c>
      <c r="D37" s="83">
        <f t="shared" si="0"/>
        <v>1845.5699999999997</v>
      </c>
      <c r="E37" s="79">
        <f t="shared" si="1"/>
        <v>-6.4989030313116591E-2</v>
      </c>
    </row>
    <row r="38" spans="1:15" ht="15" x14ac:dyDescent="0.3">
      <c r="A38" s="80">
        <v>18</v>
      </c>
      <c r="B38" s="84">
        <v>23147.05</v>
      </c>
      <c r="C38" s="82">
        <v>21304.23</v>
      </c>
      <c r="D38" s="83">
        <f t="shared" si="0"/>
        <v>1842.8199999999997</v>
      </c>
      <c r="E38" s="79">
        <f t="shared" si="1"/>
        <v>-6.6382247675036712E-2</v>
      </c>
    </row>
    <row r="39" spans="1:15" ht="15" x14ac:dyDescent="0.3">
      <c r="A39" s="80">
        <v>19</v>
      </c>
      <c r="B39" s="84">
        <v>23575.05</v>
      </c>
      <c r="C39" s="82">
        <v>21692.33</v>
      </c>
      <c r="D39" s="83">
        <f t="shared" si="0"/>
        <v>1882.7199999999975</v>
      </c>
      <c r="E39" s="79">
        <f t="shared" si="1"/>
        <v>-4.6167930314814878E-2</v>
      </c>
    </row>
    <row r="40" spans="1:15" ht="14.25" customHeight="1" thickBot="1" x14ac:dyDescent="0.35">
      <c r="A40" s="94">
        <v>20</v>
      </c>
      <c r="B40" s="95">
        <v>23498.799999999999</v>
      </c>
      <c r="C40" s="96">
        <v>21444.86</v>
      </c>
      <c r="D40" s="97">
        <f t="shared" si="0"/>
        <v>2053.9399999999987</v>
      </c>
      <c r="E40" s="98">
        <f t="shared" si="1"/>
        <v>4.057631576080907E-2</v>
      </c>
    </row>
    <row r="41" spans="1:15" ht="14.25" customHeight="1" thickBot="1" x14ac:dyDescent="0.35">
      <c r="B41" s="59"/>
      <c r="D41" s="63"/>
      <c r="G41" s="65"/>
    </row>
    <row r="42" spans="1:15" x14ac:dyDescent="0.3">
      <c r="A42" s="99" t="s">
        <v>81</v>
      </c>
      <c r="B42" s="100">
        <f>SUM(B21:B40)</f>
        <v>471481.05999999994</v>
      </c>
      <c r="C42" s="101">
        <f>SUM(C21:C40)</f>
        <v>432004.09</v>
      </c>
      <c r="D42" s="102">
        <f>SUM(D21:D40)</f>
        <v>39476.969999999987</v>
      </c>
    </row>
    <row r="43" spans="1:15" ht="15.75" customHeight="1" thickBot="1" x14ac:dyDescent="0.35">
      <c r="A43" s="103" t="s">
        <v>82</v>
      </c>
      <c r="B43" s="104">
        <f>AVERAGE(B21:B40)</f>
        <v>23574.052999999996</v>
      </c>
      <c r="C43" s="105">
        <f>AVERAGE(C21:C40)</f>
        <v>21600.2045</v>
      </c>
      <c r="D43" s="106">
        <f>AVERAGE(D21:D40)</f>
        <v>1973.8484999999994</v>
      </c>
    </row>
    <row r="44" spans="1:15" x14ac:dyDescent="0.3">
      <c r="A44" s="59"/>
      <c r="B44" s="107"/>
      <c r="C44" s="107"/>
      <c r="D44" s="59"/>
    </row>
    <row r="45" spans="1:15" ht="14.25" customHeight="1" thickBot="1" x14ac:dyDescent="0.35">
      <c r="A45" s="59"/>
      <c r="B45" s="59"/>
      <c r="C45" s="59"/>
      <c r="D45" s="59"/>
    </row>
    <row r="46" spans="1:15" ht="30.75" customHeight="1" thickBot="1" x14ac:dyDescent="0.35">
      <c r="B46" s="108" t="s">
        <v>82</v>
      </c>
      <c r="C46" s="109" t="s">
        <v>83</v>
      </c>
    </row>
    <row r="47" spans="1:15" ht="15.75" customHeight="1" thickBot="1" x14ac:dyDescent="0.35">
      <c r="B47" s="126">
        <f>D43</f>
        <v>1973.8484999999994</v>
      </c>
      <c r="C47" s="110">
        <f>-(IF(D43&gt;300, 7.5%, 10%))</f>
        <v>-7.4999999999999997E-2</v>
      </c>
      <c r="D47" s="111">
        <f>IF(D43&lt;300, D43*0.9, D43*0.925)</f>
        <v>1825.8098624999996</v>
      </c>
    </row>
    <row r="48" spans="1:15" ht="15.75" customHeight="1" thickBot="1" x14ac:dyDescent="0.35">
      <c r="B48" s="127"/>
      <c r="C48" s="112">
        <f>+(IF(D43&gt;300, 7.5%, 10%))</f>
        <v>7.4999999999999997E-2</v>
      </c>
      <c r="D48" s="111">
        <f>IF(D43&lt;300, D43*1.1, D43*1.075)</f>
        <v>2121.8871374999994</v>
      </c>
    </row>
    <row r="49" spans="1:7" ht="14.25" customHeight="1" thickBot="1" x14ac:dyDescent="0.35">
      <c r="A49" s="113"/>
      <c r="D49" s="115"/>
    </row>
    <row r="50" spans="1:7" ht="15" customHeight="1" x14ac:dyDescent="0.3">
      <c r="B50" s="128" t="s">
        <v>84</v>
      </c>
      <c r="C50" s="128"/>
      <c r="D50" s="59"/>
      <c r="E50" s="122" t="s">
        <v>85</v>
      </c>
      <c r="F50" s="116"/>
      <c r="G50" s="122" t="s">
        <v>86</v>
      </c>
    </row>
    <row r="51" spans="1:7" ht="15" customHeight="1" x14ac:dyDescent="0.3">
      <c r="A51" s="121" t="s">
        <v>87</v>
      </c>
      <c r="B51" s="117"/>
      <c r="C51" s="117"/>
      <c r="D51" s="59"/>
      <c r="E51" s="117"/>
      <c r="F51" s="59"/>
      <c r="G51" s="117"/>
    </row>
    <row r="52" spans="1:7" ht="15" customHeight="1" x14ac:dyDescent="0.3">
      <c r="A52" s="121" t="s">
        <v>88</v>
      </c>
      <c r="B52" s="118"/>
      <c r="C52" s="118"/>
      <c r="D52" s="59"/>
      <c r="E52" s="118"/>
      <c r="F52" s="59"/>
      <c r="G52" s="119"/>
    </row>
  </sheetData>
  <sheetProtection formatCells="0" formatColumns="0" formatRows="0" insertColumns="0" insertRows="0" insertHyperlinks="0" deleteColumns="0" deleteRows="0" sort="0" autoFilter="0" pivotTables="0"/>
  <mergeCells count="12">
    <mergeCell ref="A15:B15"/>
    <mergeCell ref="A16:B16"/>
    <mergeCell ref="A18:B18"/>
    <mergeCell ref="B47:B48"/>
    <mergeCell ref="B50:C50"/>
    <mergeCell ref="A8:G8"/>
    <mergeCell ref="A10:G10"/>
    <mergeCell ref="A11:B11"/>
    <mergeCell ref="A12:B12"/>
    <mergeCell ref="A13:B13"/>
    <mergeCell ref="A14:B14"/>
    <mergeCell ref="C14:G14"/>
  </mergeCells>
  <conditionalFormatting sqref="E21">
    <cfRule type="cellIs" dxfId="19" priority="1" operator="notBetween">
      <formula>IF(+$D$43&lt;300, -10.5%, -7.5%)</formula>
      <formula>IF(+$D$43&lt;300, 10.5%, 7.5%)</formula>
    </cfRule>
  </conditionalFormatting>
  <conditionalFormatting sqref="E22">
    <cfRule type="cellIs" dxfId="18" priority="2" operator="notBetween">
      <formula>IF(+$D$43&lt;300, -10.5%, -7.5%)</formula>
      <formula>IF(+$D$43&lt;300, 10.5%, 7.5%)</formula>
    </cfRule>
  </conditionalFormatting>
  <conditionalFormatting sqref="E23">
    <cfRule type="cellIs" dxfId="17" priority="3" operator="notBetween">
      <formula>IF(+$D$43&lt;300, -10.5%, -7.5%)</formula>
      <formula>IF(+$D$43&lt;300, 10.5%, 7.5%)</formula>
    </cfRule>
  </conditionalFormatting>
  <conditionalFormatting sqref="E24">
    <cfRule type="cellIs" dxfId="16" priority="4" operator="notBetween">
      <formula>IF(+$D$43&lt;300, -10.5%, -7.5%)</formula>
      <formula>IF(+$D$43&lt;300, 10.5%, 7.5%)</formula>
    </cfRule>
  </conditionalFormatting>
  <conditionalFormatting sqref="E25">
    <cfRule type="cellIs" dxfId="15" priority="5" operator="notBetween">
      <formula>IF(+$D$43&lt;300, -10.5%, -7.5%)</formula>
      <formula>IF(+$D$43&lt;300, 10.5%, 7.5%)</formula>
    </cfRule>
  </conditionalFormatting>
  <conditionalFormatting sqref="E26">
    <cfRule type="cellIs" dxfId="14" priority="6" operator="notBetween">
      <formula>IF(+$D$43&lt;300, -10.5%, -7.5%)</formula>
      <formula>IF(+$D$43&lt;300, 10.5%, 7.5%)</formula>
    </cfRule>
  </conditionalFormatting>
  <conditionalFormatting sqref="E27">
    <cfRule type="cellIs" dxfId="13" priority="7" operator="notBetween">
      <formula>IF(+$D$43&lt;300, -10.5%, -7.5%)</formula>
      <formula>IF(+$D$43&lt;300, 10.5%, 7.5%)</formula>
    </cfRule>
  </conditionalFormatting>
  <conditionalFormatting sqref="E28">
    <cfRule type="cellIs" dxfId="12" priority="8" operator="notBetween">
      <formula>IF(+$D$43&lt;300, -10.5%, -7.5%)</formula>
      <formula>IF(+$D$43&lt;300, 10.5%, 7.5%)</formula>
    </cfRule>
  </conditionalFormatting>
  <conditionalFormatting sqref="E29">
    <cfRule type="cellIs" dxfId="11" priority="9" operator="notBetween">
      <formula>IF(+$D$43&lt;300, -10.5%, -7.5%)</formula>
      <formula>IF(+$D$43&lt;300, 10.5%, 7.5%)</formula>
    </cfRule>
  </conditionalFormatting>
  <conditionalFormatting sqref="E30">
    <cfRule type="cellIs" dxfId="10" priority="10" operator="notBetween">
      <formula>IF(+$D$43&lt;300, -10.5%, -7.5%)</formula>
      <formula>IF(+$D$43&lt;300, 10.5%, 7.5%)</formula>
    </cfRule>
  </conditionalFormatting>
  <conditionalFormatting sqref="E31">
    <cfRule type="cellIs" dxfId="9" priority="11" operator="notBetween">
      <formula>IF(+$D$43&lt;300, -10.5%, -7.5%)</formula>
      <formula>IF(+$D$43&lt;300, 10.5%, 7.5%)</formula>
    </cfRule>
  </conditionalFormatting>
  <conditionalFormatting sqref="E32">
    <cfRule type="cellIs" dxfId="8" priority="12" operator="notBetween">
      <formula>IF(+$D$43&lt;300, -10.5%, -7.5%)</formula>
      <formula>IF(+$D$43&lt;300, 10.5%, 7.5%)</formula>
    </cfRule>
  </conditionalFormatting>
  <conditionalFormatting sqref="E33">
    <cfRule type="cellIs" dxfId="7" priority="13" operator="notBetween">
      <formula>IF(+$D$43&lt;300, -10.5%, -7.5%)</formula>
      <formula>IF(+$D$43&lt;300, 10.5%, 7.5%)</formula>
    </cfRule>
  </conditionalFormatting>
  <conditionalFormatting sqref="E34">
    <cfRule type="cellIs" dxfId="6" priority="14" operator="notBetween">
      <formula>IF(+$D$43&lt;300, -10.5%, -7.5%)</formula>
      <formula>IF(+$D$43&lt;300, 10.5%, 7.5%)</formula>
    </cfRule>
  </conditionalFormatting>
  <conditionalFormatting sqref="E35">
    <cfRule type="cellIs" dxfId="5" priority="15" operator="notBetween">
      <formula>IF(+$D$43&lt;300, -10.5%, -7.5%)</formula>
      <formula>IF(+$D$43&lt;300, 10.5%, 7.5%)</formula>
    </cfRule>
  </conditionalFormatting>
  <conditionalFormatting sqref="E36">
    <cfRule type="cellIs" dxfId="4" priority="16" operator="notBetween">
      <formula>IF(+$D$43&lt;300, -10.5%, -7.5%)</formula>
      <formula>IF(+$D$43&lt;300, 10.5%, 7.5%)</formula>
    </cfRule>
  </conditionalFormatting>
  <conditionalFormatting sqref="E37">
    <cfRule type="cellIs" dxfId="3" priority="17" operator="notBetween">
      <formula>IF(+$D$43&lt;300, -10.5%, -7.5%)</formula>
      <formula>IF(+$D$43&lt;300, 10.5%, 7.5%)</formula>
    </cfRule>
  </conditionalFormatting>
  <conditionalFormatting sqref="E38">
    <cfRule type="cellIs" dxfId="2" priority="18" operator="notBetween">
      <formula>IF(+$D$43&lt;300, -10.5%, -7.5%)</formula>
      <formula>IF(+$D$43&lt;300, 10.5%, 7.5%)</formula>
    </cfRule>
  </conditionalFormatting>
  <conditionalFormatting sqref="E39">
    <cfRule type="cellIs" dxfId="1" priority="19" operator="notBetween">
      <formula>IF(+$D$43&lt;300, -10.5%, -7.5%)</formula>
      <formula>IF(+$D$43&lt;300, 10.5%, 7.5%)</formula>
    </cfRule>
  </conditionalFormatting>
  <conditionalFormatting sqref="E40">
    <cfRule type="cellIs" dxfId="0" priority="20" operator="notBetween">
      <formula>IF(+$D$43&lt;300, -10.5%, -7.5%)</formula>
      <formula>IF(+$D$43&lt;300, 10.5%, 7.5%)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2"/>
  <sheetViews>
    <sheetView view="pageBreakPreview" topLeftCell="A13" zoomScale="120" zoomScaleNormal="100" zoomScaleSheetLayoutView="120" workbookViewId="0">
      <selection sqref="A1:F1"/>
    </sheetView>
  </sheetViews>
  <sheetFormatPr defaultRowHeight="15" x14ac:dyDescent="0.25"/>
  <cols>
    <col min="1" max="1" width="13.140625" customWidth="1"/>
    <col min="2" max="2" width="20.7109375" customWidth="1"/>
    <col min="3" max="3" width="14.7109375" bestFit="1" customWidth="1"/>
    <col min="4" max="4" width="18.140625" customWidth="1"/>
    <col min="5" max="5" width="12.7109375" customWidth="1"/>
    <col min="6" max="6" width="11.42578125" customWidth="1"/>
  </cols>
  <sheetData>
    <row r="1" spans="1:6" ht="17.45" customHeight="1" x14ac:dyDescent="0.25">
      <c r="A1" s="132" t="s">
        <v>90</v>
      </c>
      <c r="B1" s="132"/>
      <c r="C1" s="132"/>
      <c r="D1" s="132"/>
      <c r="E1" s="132"/>
      <c r="F1" s="132"/>
    </row>
    <row r="2" spans="1:6" x14ac:dyDescent="0.25">
      <c r="A2" s="1" t="s">
        <v>0</v>
      </c>
      <c r="B2" s="2" t="s">
        <v>11</v>
      </c>
      <c r="C2" s="3"/>
      <c r="D2" s="3"/>
      <c r="E2" s="3"/>
      <c r="F2" s="4"/>
    </row>
    <row r="3" spans="1:6" x14ac:dyDescent="0.25">
      <c r="A3" s="5"/>
      <c r="B3" s="6"/>
      <c r="C3" s="6"/>
      <c r="D3" s="6"/>
      <c r="E3" s="6"/>
      <c r="F3" s="7"/>
    </row>
    <row r="4" spans="1:6" x14ac:dyDescent="0.25">
      <c r="A4" s="8" t="s">
        <v>12</v>
      </c>
      <c r="B4" s="9"/>
      <c r="C4" s="9"/>
      <c r="D4" s="9"/>
      <c r="E4" s="9"/>
      <c r="F4" s="10"/>
    </row>
    <row r="5" spans="1:6" ht="18" x14ac:dyDescent="0.35">
      <c r="A5" s="8" t="s">
        <v>1</v>
      </c>
      <c r="B5" s="11" t="s">
        <v>13</v>
      </c>
      <c r="C5" s="11">
        <v>0.27839999999999998</v>
      </c>
      <c r="D5" s="9" t="s">
        <v>14</v>
      </c>
      <c r="E5" s="9"/>
      <c r="F5" s="10"/>
    </row>
    <row r="6" spans="1:6" x14ac:dyDescent="0.25">
      <c r="A6" s="8"/>
      <c r="B6" s="11"/>
      <c r="C6" s="11"/>
      <c r="D6" s="9"/>
      <c r="E6" s="9"/>
      <c r="F6" s="10"/>
    </row>
    <row r="7" spans="1:6" ht="18" x14ac:dyDescent="0.35">
      <c r="A7" s="12" t="s">
        <v>2</v>
      </c>
      <c r="B7" s="11" t="s">
        <v>3</v>
      </c>
      <c r="C7" s="9" t="s">
        <v>4</v>
      </c>
      <c r="D7" s="11" t="s">
        <v>5</v>
      </c>
      <c r="E7" s="11" t="s">
        <v>6</v>
      </c>
      <c r="F7" s="10"/>
    </row>
    <row r="8" spans="1:6" x14ac:dyDescent="0.25">
      <c r="A8" s="12">
        <v>1</v>
      </c>
      <c r="B8" s="13">
        <v>5.5186599999999997</v>
      </c>
      <c r="C8" s="14">
        <f>B8/$C$5</f>
        <v>19.822772988505747</v>
      </c>
      <c r="D8" s="15">
        <v>19.600000000000001</v>
      </c>
      <c r="E8" s="16">
        <f>C8/D8</f>
        <v>1.0113659688013135</v>
      </c>
      <c r="F8" s="10"/>
    </row>
    <row r="9" spans="1:6" x14ac:dyDescent="0.25">
      <c r="A9" s="12">
        <v>2</v>
      </c>
      <c r="B9" s="13">
        <v>5.5186599999999997</v>
      </c>
      <c r="C9" s="14">
        <f>B9/$C$5</f>
        <v>19.822772988505747</v>
      </c>
      <c r="D9" s="15">
        <v>19.5</v>
      </c>
      <c r="E9" s="16">
        <f>C9/D9</f>
        <v>1.0165524609490126</v>
      </c>
      <c r="F9" s="10"/>
    </row>
    <row r="10" spans="1:6" ht="15.75" thickBot="1" x14ac:dyDescent="0.3">
      <c r="A10" s="12">
        <v>3</v>
      </c>
      <c r="B10" s="13">
        <v>5.5186599999999997</v>
      </c>
      <c r="C10" s="14">
        <f>B10/$C$5</f>
        <v>19.822772988505747</v>
      </c>
      <c r="D10" s="15">
        <v>19.600000000000001</v>
      </c>
      <c r="E10" s="16">
        <f>C10/D10</f>
        <v>1.0113659688013135</v>
      </c>
      <c r="F10" s="10"/>
    </row>
    <row r="11" spans="1:6" ht="15.75" thickBot="1" x14ac:dyDescent="0.3">
      <c r="A11" s="8"/>
      <c r="B11" s="9"/>
      <c r="C11" s="9"/>
      <c r="D11" s="9"/>
      <c r="E11" s="17">
        <v>0.96399172887393025</v>
      </c>
      <c r="F11" s="10"/>
    </row>
    <row r="12" spans="1:6" x14ac:dyDescent="0.25">
      <c r="A12" s="8"/>
      <c r="B12" s="9"/>
      <c r="C12" s="9"/>
      <c r="D12" s="9"/>
      <c r="E12" s="18">
        <f>STDEV(E8:E10)/E11</f>
        <v>3.1062742012546926E-3</v>
      </c>
      <c r="F12" s="10"/>
    </row>
    <row r="13" spans="1:6" x14ac:dyDescent="0.25">
      <c r="A13" s="8"/>
      <c r="B13" s="9"/>
      <c r="C13" s="9"/>
      <c r="D13" s="9"/>
      <c r="E13" s="9"/>
      <c r="F13" s="10"/>
    </row>
    <row r="14" spans="1:6" x14ac:dyDescent="0.25">
      <c r="A14" s="37" t="s">
        <v>15</v>
      </c>
      <c r="B14" s="9"/>
      <c r="C14" s="9"/>
      <c r="D14" s="9"/>
      <c r="E14" s="9"/>
      <c r="F14" s="10"/>
    </row>
    <row r="15" spans="1:6" x14ac:dyDescent="0.25">
      <c r="A15" s="8" t="s">
        <v>16</v>
      </c>
      <c r="B15" s="9"/>
      <c r="C15" s="19">
        <v>253.8</v>
      </c>
      <c r="D15" s="9"/>
      <c r="E15" s="9"/>
      <c r="F15" s="10"/>
    </row>
    <row r="16" spans="1:6" x14ac:dyDescent="0.25">
      <c r="A16" s="8" t="s">
        <v>7</v>
      </c>
      <c r="B16" s="9"/>
      <c r="C16" s="20">
        <v>12.70947</v>
      </c>
      <c r="D16" s="9" t="s">
        <v>17</v>
      </c>
      <c r="E16" s="9"/>
      <c r="F16" s="10"/>
    </row>
    <row r="17" spans="1:6" x14ac:dyDescent="0.25">
      <c r="A17" s="8" t="s">
        <v>20</v>
      </c>
      <c r="B17" s="9"/>
      <c r="C17" s="20"/>
      <c r="D17" s="9"/>
      <c r="E17" s="9"/>
      <c r="F17" s="10"/>
    </row>
    <row r="18" spans="1:6" x14ac:dyDescent="0.25">
      <c r="A18" s="8" t="s">
        <v>18</v>
      </c>
      <c r="B18" s="9"/>
      <c r="C18" s="20"/>
      <c r="D18" s="9">
        <v>10</v>
      </c>
      <c r="E18" s="9" t="s">
        <v>19</v>
      </c>
      <c r="F18" s="10"/>
    </row>
    <row r="19" spans="1:6" x14ac:dyDescent="0.25">
      <c r="A19" s="8" t="s">
        <v>21</v>
      </c>
      <c r="B19" s="9"/>
      <c r="C19" s="14" t="s">
        <v>22</v>
      </c>
      <c r="D19" s="9"/>
      <c r="E19" s="9"/>
      <c r="F19" s="10"/>
    </row>
    <row r="20" spans="1:6" x14ac:dyDescent="0.25">
      <c r="A20" s="8" t="s">
        <v>23</v>
      </c>
      <c r="B20" s="9"/>
      <c r="C20" s="14"/>
      <c r="D20" s="36">
        <f>C16*20/1000*10/100</f>
        <v>2.5418939999999998E-2</v>
      </c>
      <c r="E20" s="9"/>
      <c r="F20" s="10"/>
    </row>
    <row r="21" spans="1:6" x14ac:dyDescent="0.25">
      <c r="A21" s="8" t="s">
        <v>34</v>
      </c>
      <c r="B21" s="9"/>
      <c r="C21" s="14"/>
      <c r="D21" s="36">
        <f>D20*1000</f>
        <v>25.418939999999999</v>
      </c>
      <c r="E21" s="9" t="s">
        <v>35</v>
      </c>
      <c r="F21" s="10"/>
    </row>
    <row r="22" spans="1:6" x14ac:dyDescent="0.25">
      <c r="A22" s="8"/>
      <c r="B22" s="9"/>
      <c r="C22" s="9"/>
      <c r="D22" s="9"/>
      <c r="E22" s="9"/>
      <c r="F22" s="10"/>
    </row>
    <row r="23" spans="1:6" x14ac:dyDescent="0.25">
      <c r="A23" s="8" t="s">
        <v>24</v>
      </c>
      <c r="B23" s="9"/>
      <c r="C23" s="9"/>
      <c r="D23" s="9"/>
      <c r="E23" s="9"/>
      <c r="F23" s="10"/>
    </row>
    <row r="24" spans="1:6" x14ac:dyDescent="0.25">
      <c r="A24" s="8" t="s">
        <v>1</v>
      </c>
      <c r="B24" s="21" t="s">
        <v>25</v>
      </c>
      <c r="C24" s="22">
        <v>1.2689999999999999</v>
      </c>
      <c r="D24" s="9" t="s">
        <v>26</v>
      </c>
      <c r="E24" s="9"/>
      <c r="F24" s="10"/>
    </row>
    <row r="25" spans="1:6" x14ac:dyDescent="0.25">
      <c r="A25" s="8"/>
      <c r="B25" s="9"/>
      <c r="C25" s="9"/>
      <c r="D25" s="9"/>
      <c r="E25" s="9"/>
      <c r="F25" s="10"/>
    </row>
    <row r="26" spans="1:6" x14ac:dyDescent="0.25">
      <c r="A26" s="12" t="s">
        <v>8</v>
      </c>
      <c r="B26" s="11" t="s">
        <v>27</v>
      </c>
      <c r="C26" s="11" t="s">
        <v>28</v>
      </c>
      <c r="D26" s="11" t="s">
        <v>9</v>
      </c>
      <c r="E26" s="11" t="s">
        <v>6</v>
      </c>
      <c r="F26" s="10"/>
    </row>
    <row r="27" spans="1:6" x14ac:dyDescent="0.25">
      <c r="A27" s="12">
        <v>1</v>
      </c>
      <c r="B27" s="19">
        <v>25.418939999999999</v>
      </c>
      <c r="C27" s="23">
        <v>19.8</v>
      </c>
      <c r="D27" s="14">
        <f>C27*4*$E$11</f>
        <v>76.34814492681528</v>
      </c>
      <c r="E27" s="16">
        <f>D27/B27</f>
        <v>3.0035927905260911</v>
      </c>
      <c r="F27" s="10"/>
    </row>
    <row r="28" spans="1:6" x14ac:dyDescent="0.25">
      <c r="A28" s="12">
        <v>2</v>
      </c>
      <c r="B28" s="19">
        <v>25.418939999999999</v>
      </c>
      <c r="C28" s="23">
        <v>20.100000000000001</v>
      </c>
      <c r="D28" s="14">
        <f>C28*4*$E$11</f>
        <v>77.504935001463991</v>
      </c>
      <c r="E28" s="16">
        <f>D28/B28</f>
        <v>3.049101772200729</v>
      </c>
      <c r="F28" s="10"/>
    </row>
    <row r="29" spans="1:6" ht="15.75" thickBot="1" x14ac:dyDescent="0.3">
      <c r="A29" s="12">
        <v>3</v>
      </c>
      <c r="B29" s="19">
        <v>25.418939999999999</v>
      </c>
      <c r="C29" s="23">
        <v>19.899999999999999</v>
      </c>
      <c r="D29" s="14">
        <f>C29*4*$E$11</f>
        <v>76.733741618364846</v>
      </c>
      <c r="E29" s="16">
        <f>D29/B29</f>
        <v>3.0187624510843034</v>
      </c>
      <c r="F29" s="10"/>
    </row>
    <row r="30" spans="1:6" ht="15.75" thickBot="1" x14ac:dyDescent="0.3">
      <c r="A30" s="8"/>
      <c r="B30" s="11" t="s">
        <v>26</v>
      </c>
      <c r="C30" s="11" t="s">
        <v>29</v>
      </c>
      <c r="D30" s="9"/>
      <c r="E30" s="17">
        <f>AVERAGE(E27:E29)</f>
        <v>3.0238190046037077</v>
      </c>
      <c r="F30" s="10"/>
    </row>
    <row r="31" spans="1:6" ht="15.75" thickBot="1" x14ac:dyDescent="0.3">
      <c r="A31" s="8" t="s">
        <v>10</v>
      </c>
      <c r="B31" s="24">
        <f>AVERAGE(B27:B29)</f>
        <v>25.418940000000003</v>
      </c>
      <c r="C31" s="24">
        <f>AVERAGE(C27:C29)</f>
        <v>19.933333333333334</v>
      </c>
      <c r="D31" s="9"/>
      <c r="E31" s="18">
        <f>STDEV(E27:E29)/E30</f>
        <v>7.66317005845462E-3</v>
      </c>
      <c r="F31" s="10"/>
    </row>
    <row r="32" spans="1:6" x14ac:dyDescent="0.25">
      <c r="A32" s="8"/>
      <c r="B32" s="9"/>
      <c r="C32" s="9"/>
      <c r="D32" s="9"/>
      <c r="E32" s="9"/>
      <c r="F32" s="10"/>
    </row>
    <row r="33" spans="1:7" x14ac:dyDescent="0.25">
      <c r="A33" s="8"/>
      <c r="B33" s="9"/>
      <c r="C33" s="9"/>
      <c r="D33" s="9"/>
      <c r="E33" s="9"/>
      <c r="F33" s="10"/>
    </row>
    <row r="34" spans="1:7" x14ac:dyDescent="0.25">
      <c r="A34" s="8"/>
      <c r="B34" s="38" t="s">
        <v>32</v>
      </c>
      <c r="C34" s="21" t="s">
        <v>38</v>
      </c>
      <c r="D34" s="22">
        <v>1593</v>
      </c>
      <c r="E34" s="11" t="s">
        <v>41</v>
      </c>
      <c r="F34" s="10"/>
    </row>
    <row r="35" spans="1:7" x14ac:dyDescent="0.25">
      <c r="A35" s="8"/>
      <c r="B35" s="9"/>
      <c r="C35" s="21"/>
      <c r="D35" s="25" t="s">
        <v>30</v>
      </c>
      <c r="E35" s="25" t="s">
        <v>31</v>
      </c>
      <c r="F35" s="25"/>
    </row>
    <row r="36" spans="1:7" x14ac:dyDescent="0.25">
      <c r="A36" s="8"/>
      <c r="B36" s="9"/>
      <c r="C36" s="21" t="s">
        <v>39</v>
      </c>
      <c r="D36" s="39">
        <v>31.42</v>
      </c>
      <c r="E36" s="39">
        <v>31.53</v>
      </c>
      <c r="F36" s="40"/>
    </row>
    <row r="37" spans="1:7" x14ac:dyDescent="0.25">
      <c r="A37" s="8"/>
      <c r="B37" s="9"/>
      <c r="C37" s="21" t="s">
        <v>40</v>
      </c>
      <c r="D37" s="39">
        <f>D36/25</f>
        <v>1.2568000000000001</v>
      </c>
      <c r="E37" s="39">
        <f>E36/25</f>
        <v>1.2612000000000001</v>
      </c>
      <c r="F37" s="40"/>
    </row>
    <row r="38" spans="1:7" x14ac:dyDescent="0.25">
      <c r="A38" s="8"/>
      <c r="B38" s="9"/>
      <c r="C38" s="21" t="s">
        <v>33</v>
      </c>
      <c r="D38" s="13">
        <f>(15.2+15+15.2)/3</f>
        <v>15.133333333333333</v>
      </c>
      <c r="E38" s="13">
        <f>(15+14.9+15)/3</f>
        <v>14.966666666666667</v>
      </c>
      <c r="F38" s="26"/>
      <c r="G38" s="27"/>
    </row>
    <row r="39" spans="1:7" x14ac:dyDescent="0.25">
      <c r="A39" s="8"/>
      <c r="B39" s="9"/>
      <c r="C39" s="21" t="s">
        <v>36</v>
      </c>
      <c r="D39" s="11">
        <f>(2*D37*D34)/(C31-D38)</f>
        <v>834.20100000000002</v>
      </c>
      <c r="E39" s="11">
        <f>(2*E37*D34)/(C31-E38)</f>
        <v>809.03017449664435</v>
      </c>
      <c r="F39" s="28"/>
    </row>
    <row r="40" spans="1:7" x14ac:dyDescent="0.25">
      <c r="A40" s="8"/>
      <c r="B40" s="9"/>
      <c r="C40" s="21" t="s">
        <v>42</v>
      </c>
      <c r="D40" s="41">
        <f>(D39+E39)/2</f>
        <v>821.61558724832219</v>
      </c>
      <c r="E40" s="41"/>
      <c r="F40" s="28"/>
    </row>
    <row r="41" spans="1:7" x14ac:dyDescent="0.25">
      <c r="A41" s="8"/>
      <c r="B41" s="9"/>
      <c r="C41" s="21"/>
      <c r="D41" s="41"/>
      <c r="E41" s="41"/>
      <c r="F41" s="28"/>
    </row>
    <row r="42" spans="1:7" x14ac:dyDescent="0.25">
      <c r="A42" s="8"/>
      <c r="B42" s="9"/>
      <c r="C42" s="53" t="s">
        <v>43</v>
      </c>
      <c r="D42" s="52">
        <f>D40</f>
        <v>821.61558724832219</v>
      </c>
      <c r="E42" s="9"/>
      <c r="F42" s="10"/>
    </row>
    <row r="43" spans="1:7" x14ac:dyDescent="0.25">
      <c r="A43" s="8"/>
      <c r="B43" s="9"/>
      <c r="C43" s="21"/>
      <c r="D43" s="14"/>
      <c r="E43" s="14"/>
      <c r="F43" s="29"/>
    </row>
    <row r="44" spans="1:7" x14ac:dyDescent="0.25">
      <c r="A44" s="8"/>
      <c r="B44" s="9"/>
      <c r="C44" s="21"/>
      <c r="D44" s="14"/>
      <c r="E44" s="9"/>
      <c r="F44" s="10"/>
    </row>
    <row r="45" spans="1:7" x14ac:dyDescent="0.25">
      <c r="A45" s="8"/>
      <c r="B45" s="9"/>
      <c r="C45" s="21"/>
      <c r="D45" s="11"/>
      <c r="E45" s="16"/>
      <c r="F45" s="28"/>
    </row>
    <row r="46" spans="1:7" x14ac:dyDescent="0.25">
      <c r="A46" s="8"/>
      <c r="B46" s="9"/>
      <c r="C46" s="21"/>
      <c r="D46" s="16"/>
      <c r="E46" s="16"/>
      <c r="F46" s="30"/>
    </row>
    <row r="47" spans="1:7" x14ac:dyDescent="0.25">
      <c r="A47" s="8"/>
      <c r="B47" s="9"/>
      <c r="C47" s="21"/>
      <c r="D47" s="19"/>
      <c r="E47" s="19"/>
      <c r="F47" s="31"/>
    </row>
    <row r="48" spans="1:7" x14ac:dyDescent="0.25">
      <c r="A48" s="8"/>
      <c r="B48" s="9"/>
      <c r="C48" s="9"/>
      <c r="D48" s="42"/>
      <c r="E48" s="42"/>
      <c r="F48" s="42"/>
    </row>
    <row r="49" spans="1:6" x14ac:dyDescent="0.25">
      <c r="A49" s="8"/>
      <c r="B49" s="9"/>
      <c r="C49" s="9"/>
      <c r="D49" s="43"/>
      <c r="E49" s="43"/>
      <c r="F49" s="44"/>
    </row>
    <row r="50" spans="1:6" x14ac:dyDescent="0.25">
      <c r="A50" s="8"/>
      <c r="B50" s="9"/>
      <c r="C50" s="32"/>
      <c r="D50" s="45"/>
      <c r="E50" s="46"/>
      <c r="F50" s="47"/>
    </row>
    <row r="51" spans="1:6" x14ac:dyDescent="0.25">
      <c r="A51" s="33"/>
      <c r="B51" s="34"/>
      <c r="C51" s="35"/>
      <c r="D51" s="48"/>
      <c r="E51" s="49"/>
      <c r="F51" s="50"/>
    </row>
    <row r="52" spans="1:6" x14ac:dyDescent="0.25">
      <c r="D52" s="51"/>
      <c r="E52" s="51"/>
      <c r="F52" s="51"/>
    </row>
  </sheetData>
  <mergeCells count="1">
    <mergeCell ref="A1:F1"/>
  </mergeCells>
  <printOptions horizontalCentered="1" verticalCentered="1"/>
  <pageMargins left="0.7" right="0.7" top="0.75" bottom="0.75" header="0.3" footer="0.3"/>
  <pageSetup scale="9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6"/>
  <sheetViews>
    <sheetView tabSelected="1" view="pageBreakPreview" topLeftCell="A19" zoomScale="120" zoomScaleNormal="100" zoomScaleSheetLayoutView="120" workbookViewId="0">
      <selection activeCell="B44" sqref="B44"/>
    </sheetView>
  </sheetViews>
  <sheetFormatPr defaultRowHeight="15" x14ac:dyDescent="0.25"/>
  <cols>
    <col min="1" max="1" width="20" customWidth="1"/>
    <col min="2" max="2" width="20.7109375" customWidth="1"/>
    <col min="3" max="3" width="14.7109375" bestFit="1" customWidth="1"/>
    <col min="4" max="4" width="18.140625" customWidth="1"/>
    <col min="5" max="5" width="12.7109375" customWidth="1"/>
    <col min="6" max="6" width="11.42578125" customWidth="1"/>
  </cols>
  <sheetData>
    <row r="1" spans="1:6" ht="17.45" customHeight="1" x14ac:dyDescent="0.25">
      <c r="A1" s="132" t="s">
        <v>90</v>
      </c>
      <c r="B1" s="132"/>
      <c r="C1" s="132"/>
      <c r="D1" s="132"/>
      <c r="E1" s="132"/>
      <c r="F1" s="132"/>
    </row>
    <row r="2" spans="1:6" x14ac:dyDescent="0.25">
      <c r="A2" s="1" t="s">
        <v>0</v>
      </c>
      <c r="B2" s="2" t="s">
        <v>11</v>
      </c>
      <c r="C2" s="3"/>
      <c r="D2" s="3"/>
      <c r="E2" s="3"/>
      <c r="F2" s="4"/>
    </row>
    <row r="3" spans="1:6" x14ac:dyDescent="0.25">
      <c r="A3" s="5"/>
      <c r="B3" s="6"/>
      <c r="C3" s="6"/>
      <c r="D3" s="6"/>
      <c r="E3" s="6"/>
      <c r="F3" s="7"/>
    </row>
    <row r="4" spans="1:6" x14ac:dyDescent="0.25">
      <c r="A4" s="8" t="s">
        <v>12</v>
      </c>
      <c r="B4" s="9"/>
      <c r="C4" s="9"/>
      <c r="D4" s="9"/>
      <c r="E4" s="9"/>
      <c r="F4" s="10"/>
    </row>
    <row r="5" spans="1:6" ht="18" x14ac:dyDescent="0.35">
      <c r="A5" s="8" t="s">
        <v>1</v>
      </c>
      <c r="B5" s="11" t="s">
        <v>13</v>
      </c>
      <c r="C5" s="11">
        <v>0.27839999999999998</v>
      </c>
      <c r="D5" s="9" t="s">
        <v>14</v>
      </c>
      <c r="E5" s="9"/>
      <c r="F5" s="10"/>
    </row>
    <row r="6" spans="1:6" x14ac:dyDescent="0.25">
      <c r="A6" s="8"/>
      <c r="B6" s="11"/>
      <c r="C6" s="11"/>
      <c r="D6" s="9"/>
      <c r="E6" s="9"/>
      <c r="F6" s="10"/>
    </row>
    <row r="7" spans="1:6" ht="18" x14ac:dyDescent="0.35">
      <c r="A7" s="12" t="s">
        <v>2</v>
      </c>
      <c r="B7" s="11" t="s">
        <v>3</v>
      </c>
      <c r="C7" s="9" t="s">
        <v>4</v>
      </c>
      <c r="D7" s="11" t="s">
        <v>5</v>
      </c>
      <c r="E7" s="11" t="s">
        <v>6</v>
      </c>
      <c r="F7" s="10"/>
    </row>
    <row r="8" spans="1:6" x14ac:dyDescent="0.25">
      <c r="A8" s="12">
        <v>1</v>
      </c>
      <c r="B8" s="13">
        <v>5.5186599999999997</v>
      </c>
      <c r="C8" s="14">
        <f>B8/$C$5</f>
        <v>19.822772988505747</v>
      </c>
      <c r="D8" s="15">
        <v>19.600000000000001</v>
      </c>
      <c r="E8" s="16">
        <f>C8/D8</f>
        <v>1.0113659688013135</v>
      </c>
      <c r="F8" s="10"/>
    </row>
    <row r="9" spans="1:6" x14ac:dyDescent="0.25">
      <c r="A9" s="12">
        <v>2</v>
      </c>
      <c r="B9" s="13">
        <v>5.5186599999999997</v>
      </c>
      <c r="C9" s="14">
        <f>B9/$C$5</f>
        <v>19.822772988505747</v>
      </c>
      <c r="D9" s="15">
        <v>19.5</v>
      </c>
      <c r="E9" s="16">
        <f>C9/D9</f>
        <v>1.0165524609490126</v>
      </c>
      <c r="F9" s="10"/>
    </row>
    <row r="10" spans="1:6" ht="15.75" thickBot="1" x14ac:dyDescent="0.3">
      <c r="A10" s="12">
        <v>3</v>
      </c>
      <c r="B10" s="13">
        <v>5.5186599999999997</v>
      </c>
      <c r="C10" s="14">
        <f>B10/$C$5</f>
        <v>19.822772988505747</v>
      </c>
      <c r="D10" s="15">
        <v>19.600000000000001</v>
      </c>
      <c r="E10" s="16">
        <f>C10/D10</f>
        <v>1.0113659688013135</v>
      </c>
      <c r="F10" s="10"/>
    </row>
    <row r="11" spans="1:6" ht="15.75" thickBot="1" x14ac:dyDescent="0.3">
      <c r="A11" s="8"/>
      <c r="B11" s="9"/>
      <c r="C11" s="9"/>
      <c r="D11" s="9"/>
      <c r="E11" s="17">
        <v>0.96399172887393025</v>
      </c>
      <c r="F11" s="10"/>
    </row>
    <row r="12" spans="1:6" x14ac:dyDescent="0.25">
      <c r="A12" s="8"/>
      <c r="B12" s="9"/>
      <c r="C12" s="9"/>
      <c r="D12" s="9"/>
      <c r="E12" s="18">
        <f>STDEV(E8:E10)/E11</f>
        <v>3.1062742012546926E-3</v>
      </c>
      <c r="F12" s="10"/>
    </row>
    <row r="13" spans="1:6" x14ac:dyDescent="0.25">
      <c r="A13" s="8"/>
      <c r="B13" s="9"/>
      <c r="C13" s="9"/>
      <c r="D13" s="9"/>
      <c r="E13" s="9"/>
      <c r="F13" s="10"/>
    </row>
    <row r="14" spans="1:6" x14ac:dyDescent="0.25">
      <c r="A14" s="37" t="s">
        <v>44</v>
      </c>
      <c r="B14" s="9"/>
      <c r="C14" s="9"/>
      <c r="D14" s="9"/>
      <c r="E14" s="9"/>
      <c r="F14" s="10"/>
    </row>
    <row r="15" spans="1:6" x14ac:dyDescent="0.25">
      <c r="A15" s="8" t="s">
        <v>16</v>
      </c>
      <c r="B15" s="9"/>
      <c r="C15" s="19">
        <v>253.8</v>
      </c>
      <c r="D15" s="9"/>
      <c r="E15" s="9"/>
      <c r="F15" s="10"/>
    </row>
    <row r="16" spans="1:6" x14ac:dyDescent="0.25">
      <c r="A16" s="8" t="s">
        <v>7</v>
      </c>
      <c r="B16" s="9"/>
      <c r="C16" s="20">
        <v>12.70947</v>
      </c>
      <c r="D16" s="9" t="s">
        <v>17</v>
      </c>
      <c r="E16" s="9"/>
      <c r="F16" s="10"/>
    </row>
    <row r="17" spans="1:6" x14ac:dyDescent="0.25">
      <c r="A17" s="8" t="s">
        <v>20</v>
      </c>
      <c r="B17" s="9"/>
      <c r="C17" s="20"/>
      <c r="D17" s="9"/>
      <c r="E17" s="9"/>
      <c r="F17" s="10"/>
    </row>
    <row r="18" spans="1:6" x14ac:dyDescent="0.25">
      <c r="A18" s="8" t="s">
        <v>18</v>
      </c>
      <c r="B18" s="9"/>
      <c r="C18" s="20"/>
      <c r="D18" s="9">
        <v>10</v>
      </c>
      <c r="E18" s="9" t="s">
        <v>19</v>
      </c>
      <c r="F18" s="10"/>
    </row>
    <row r="19" spans="1:6" x14ac:dyDescent="0.25">
      <c r="A19" s="8" t="s">
        <v>21</v>
      </c>
      <c r="B19" s="9"/>
      <c r="C19" s="14" t="s">
        <v>22</v>
      </c>
      <c r="D19" s="9"/>
      <c r="E19" s="9"/>
      <c r="F19" s="10"/>
    </row>
    <row r="20" spans="1:6" x14ac:dyDescent="0.25">
      <c r="A20" s="8" t="s">
        <v>23</v>
      </c>
      <c r="B20" s="9"/>
      <c r="C20" s="14"/>
      <c r="D20" s="36">
        <f>C16*20/1000*10/100</f>
        <v>2.5418939999999998E-2</v>
      </c>
      <c r="E20" s="9"/>
      <c r="F20" s="10"/>
    </row>
    <row r="21" spans="1:6" x14ac:dyDescent="0.25">
      <c r="A21" s="8" t="s">
        <v>34</v>
      </c>
      <c r="B21" s="9"/>
      <c r="C21" s="14"/>
      <c r="D21" s="36">
        <f>D20*1000</f>
        <v>25.418939999999999</v>
      </c>
      <c r="E21" s="9" t="s">
        <v>35</v>
      </c>
      <c r="F21" s="10"/>
    </row>
    <row r="22" spans="1:6" x14ac:dyDescent="0.25">
      <c r="A22" s="8"/>
      <c r="B22" s="9"/>
      <c r="C22" s="9"/>
      <c r="D22" s="9"/>
      <c r="E22" s="9"/>
      <c r="F22" s="10"/>
    </row>
    <row r="23" spans="1:6" x14ac:dyDescent="0.25">
      <c r="A23" s="8" t="s">
        <v>24</v>
      </c>
      <c r="B23" s="9"/>
      <c r="C23" s="9"/>
      <c r="D23" s="9"/>
      <c r="E23" s="9"/>
      <c r="F23" s="10"/>
    </row>
    <row r="24" spans="1:6" x14ac:dyDescent="0.25">
      <c r="A24" s="8" t="s">
        <v>1</v>
      </c>
      <c r="B24" s="21" t="s">
        <v>25</v>
      </c>
      <c r="C24" s="22">
        <v>1.2689999999999999</v>
      </c>
      <c r="D24" s="9" t="s">
        <v>26</v>
      </c>
      <c r="E24" s="9"/>
      <c r="F24" s="10"/>
    </row>
    <row r="25" spans="1:6" x14ac:dyDescent="0.25">
      <c r="A25" s="8"/>
      <c r="B25" s="9"/>
      <c r="C25" s="9"/>
      <c r="D25" s="9"/>
      <c r="E25" s="9"/>
      <c r="F25" s="10"/>
    </row>
    <row r="26" spans="1:6" x14ac:dyDescent="0.25">
      <c r="A26" s="12" t="s">
        <v>8</v>
      </c>
      <c r="B26" s="11" t="s">
        <v>27</v>
      </c>
      <c r="C26" s="11" t="s">
        <v>28</v>
      </c>
      <c r="D26" s="11" t="s">
        <v>9</v>
      </c>
      <c r="E26" s="11" t="s">
        <v>6</v>
      </c>
      <c r="F26" s="10"/>
    </row>
    <row r="27" spans="1:6" x14ac:dyDescent="0.25">
      <c r="A27" s="12">
        <v>1</v>
      </c>
      <c r="B27" s="19">
        <v>25.418939999999999</v>
      </c>
      <c r="C27" s="23">
        <v>19.5</v>
      </c>
      <c r="D27" s="14">
        <f>C27*4*$E$11</f>
        <v>75.191354852166555</v>
      </c>
      <c r="E27" s="16">
        <f>D27/B27</f>
        <v>2.9580838088514532</v>
      </c>
      <c r="F27" s="10"/>
    </row>
    <row r="28" spans="1:6" x14ac:dyDescent="0.25">
      <c r="A28" s="12">
        <v>2</v>
      </c>
      <c r="B28" s="19">
        <v>25.418939999999999</v>
      </c>
      <c r="C28" s="23">
        <v>19.7</v>
      </c>
      <c r="D28" s="14">
        <f>C28*4*$E$11</f>
        <v>75.9625482352657</v>
      </c>
      <c r="E28" s="16">
        <f>D28/B28</f>
        <v>2.9884231299678783</v>
      </c>
      <c r="F28" s="10"/>
    </row>
    <row r="29" spans="1:6" ht="15.75" thickBot="1" x14ac:dyDescent="0.3">
      <c r="A29" s="12">
        <v>3</v>
      </c>
      <c r="B29" s="19">
        <v>25.418939999999999</v>
      </c>
      <c r="C29" s="23">
        <v>19.7</v>
      </c>
      <c r="D29" s="14">
        <f>C29*4*$E$11</f>
        <v>75.9625482352657</v>
      </c>
      <c r="E29" s="16">
        <f>D29/B29</f>
        <v>2.9884231299678783</v>
      </c>
      <c r="F29" s="10"/>
    </row>
    <row r="30" spans="1:6" ht="15.75" thickBot="1" x14ac:dyDescent="0.3">
      <c r="A30" s="8"/>
      <c r="B30" s="11" t="s">
        <v>26</v>
      </c>
      <c r="C30" s="11" t="s">
        <v>29</v>
      </c>
      <c r="D30" s="9"/>
      <c r="E30" s="17">
        <f>AVERAGE(E27:E29)</f>
        <v>2.9783100229290702</v>
      </c>
      <c r="F30" s="10"/>
    </row>
    <row r="31" spans="1:6" ht="15.75" thickBot="1" x14ac:dyDescent="0.3">
      <c r="A31" s="8" t="s">
        <v>10</v>
      </c>
      <c r="B31" s="24">
        <f>AVERAGE(B27:B29)</f>
        <v>25.418940000000003</v>
      </c>
      <c r="C31" s="24">
        <f>AVERAGE(C27:C29)</f>
        <v>19.633333333333336</v>
      </c>
      <c r="D31" s="9"/>
      <c r="E31" s="18">
        <f>STDEV(E27:E29)/E30</f>
        <v>5.8813270206073852E-3</v>
      </c>
      <c r="F31" s="10"/>
    </row>
    <row r="32" spans="1:6" x14ac:dyDescent="0.25">
      <c r="A32" s="8"/>
      <c r="B32" s="9"/>
      <c r="C32" s="9"/>
      <c r="D32" s="9"/>
      <c r="E32" s="9"/>
      <c r="F32" s="10"/>
    </row>
    <row r="33" spans="1:7" x14ac:dyDescent="0.25">
      <c r="A33" s="8"/>
      <c r="B33" s="9"/>
      <c r="C33" s="9"/>
      <c r="D33" s="9"/>
      <c r="E33" s="9"/>
      <c r="F33" s="10"/>
    </row>
    <row r="34" spans="1:7" x14ac:dyDescent="0.25">
      <c r="A34" s="8"/>
      <c r="B34" s="38" t="s">
        <v>45</v>
      </c>
      <c r="C34" s="21"/>
      <c r="D34" s="22"/>
      <c r="E34" s="11"/>
      <c r="F34" s="10"/>
    </row>
    <row r="35" spans="1:7" x14ac:dyDescent="0.25">
      <c r="A35" s="8"/>
      <c r="B35" s="38" t="s">
        <v>56</v>
      </c>
      <c r="C35" s="21"/>
      <c r="D35" s="22"/>
      <c r="E35" s="11"/>
      <c r="F35" s="9"/>
    </row>
    <row r="36" spans="1:7" x14ac:dyDescent="0.25">
      <c r="A36" s="8"/>
      <c r="B36" s="38" t="s">
        <v>51</v>
      </c>
      <c r="C36" s="21"/>
      <c r="D36" s="22" t="s">
        <v>52</v>
      </c>
      <c r="E36" s="11"/>
      <c r="F36" s="9"/>
    </row>
    <row r="37" spans="1:7" x14ac:dyDescent="0.25">
      <c r="A37" s="8"/>
      <c r="B37" s="38" t="s">
        <v>50</v>
      </c>
      <c r="C37" s="21"/>
      <c r="D37" s="22">
        <v>2000</v>
      </c>
      <c r="E37" s="11"/>
      <c r="F37" s="9"/>
    </row>
    <row r="38" spans="1:7" x14ac:dyDescent="0.25">
      <c r="A38" s="8"/>
      <c r="B38" s="38" t="s">
        <v>54</v>
      </c>
      <c r="C38" s="21"/>
      <c r="D38" s="22"/>
      <c r="E38" s="11"/>
      <c r="F38" s="9"/>
    </row>
    <row r="39" spans="1:7" x14ac:dyDescent="0.25">
      <c r="A39" s="8"/>
      <c r="B39" s="9"/>
      <c r="C39" s="21" t="s">
        <v>46</v>
      </c>
      <c r="D39" s="55"/>
      <c r="E39" s="55"/>
      <c r="F39" s="55"/>
    </row>
    <row r="40" spans="1:7" x14ac:dyDescent="0.25">
      <c r="A40" s="8"/>
      <c r="B40" s="57" t="s">
        <v>37</v>
      </c>
      <c r="C40" s="58" t="s">
        <v>48</v>
      </c>
      <c r="D40" s="54" t="s">
        <v>49</v>
      </c>
      <c r="E40" s="55"/>
      <c r="F40" s="55"/>
    </row>
    <row r="41" spans="1:7" x14ac:dyDescent="0.25">
      <c r="A41" s="8" t="s">
        <v>47</v>
      </c>
      <c r="B41" s="57">
        <v>83.43</v>
      </c>
      <c r="C41" s="58">
        <v>82.09</v>
      </c>
      <c r="D41" s="54">
        <v>83.05</v>
      </c>
      <c r="E41" s="55"/>
      <c r="F41" s="55"/>
    </row>
    <row r="42" spans="1:7" x14ac:dyDescent="0.25">
      <c r="A42" s="8" t="s">
        <v>53</v>
      </c>
      <c r="B42" s="9">
        <f>B41/2000*2400000</f>
        <v>100116</v>
      </c>
      <c r="C42" s="21">
        <f>C41/2000*2400000</f>
        <v>98508.000000000015</v>
      </c>
      <c r="D42" s="56">
        <f>D41/2000*2400000</f>
        <v>99660</v>
      </c>
      <c r="E42" s="56"/>
      <c r="F42" s="56"/>
      <c r="G42" s="27"/>
    </row>
    <row r="43" spans="1:7" x14ac:dyDescent="0.25">
      <c r="A43" s="8" t="s">
        <v>55</v>
      </c>
      <c r="B43" s="9">
        <f>B42/50</f>
        <v>2002.32</v>
      </c>
      <c r="C43" s="21">
        <f>C42/50</f>
        <v>1970.1600000000003</v>
      </c>
      <c r="D43" s="11">
        <f>D42/50</f>
        <v>1993.2</v>
      </c>
      <c r="E43" s="11"/>
      <c r="F43" s="11"/>
    </row>
    <row r="44" spans="1:7" x14ac:dyDescent="0.25">
      <c r="A44" s="8" t="s">
        <v>58</v>
      </c>
      <c r="B44" s="9">
        <v>15.1</v>
      </c>
      <c r="C44" s="21">
        <v>15.2</v>
      </c>
      <c r="D44" s="41">
        <v>15.1</v>
      </c>
      <c r="E44" s="41"/>
      <c r="F44" s="28"/>
    </row>
    <row r="45" spans="1:7" x14ac:dyDescent="0.25">
      <c r="A45" s="8" t="s">
        <v>57</v>
      </c>
      <c r="B45" s="9">
        <f>(2400000/(2*B43))*(821.616)*(C31-B44)</f>
        <v>2232206.160853412</v>
      </c>
      <c r="C45" s="21">
        <f>(2400000/(2*C43))*(821.616)*(C31-C44)</f>
        <v>2218600.0730905118</v>
      </c>
      <c r="D45" s="41">
        <f>(2400000/(2*D43))*(821.616)*(C31-D44)</f>
        <v>2242419.7471402786</v>
      </c>
      <c r="E45" s="41"/>
      <c r="F45" s="28"/>
    </row>
    <row r="46" spans="1:7" x14ac:dyDescent="0.25">
      <c r="A46" s="8" t="s">
        <v>59</v>
      </c>
      <c r="B46" s="9">
        <f>(B45/2400000)*100</f>
        <v>93.008590035558839</v>
      </c>
      <c r="C46" s="53">
        <f>(C45/2400000)*100</f>
        <v>92.441669712104655</v>
      </c>
      <c r="D46" s="52">
        <f>(D45/2400000)*100</f>
        <v>93.43415613084494</v>
      </c>
      <c r="E46" s="9"/>
      <c r="F46" s="10"/>
    </row>
    <row r="47" spans="1:7" x14ac:dyDescent="0.25">
      <c r="A47" s="8"/>
      <c r="B47" s="9"/>
      <c r="C47" s="21"/>
      <c r="D47" s="14"/>
      <c r="E47" s="14"/>
      <c r="F47" s="29"/>
    </row>
    <row r="48" spans="1:7" x14ac:dyDescent="0.25">
      <c r="A48" s="8" t="s">
        <v>60</v>
      </c>
      <c r="B48" s="9">
        <f>(B46+C46+D46)/3</f>
        <v>92.961471959502816</v>
      </c>
      <c r="C48" s="21" t="s">
        <v>61</v>
      </c>
      <c r="D48" s="14"/>
      <c r="E48" s="9"/>
      <c r="F48" s="10"/>
    </row>
    <row r="49" spans="1:6" x14ac:dyDescent="0.25">
      <c r="A49" s="8"/>
      <c r="B49" s="9"/>
      <c r="C49" s="21"/>
      <c r="D49" s="11"/>
      <c r="E49" s="16"/>
      <c r="F49" s="28"/>
    </row>
    <row r="50" spans="1:6" x14ac:dyDescent="0.25">
      <c r="A50" s="8"/>
      <c r="B50" s="9"/>
      <c r="C50" s="21"/>
      <c r="D50" s="16"/>
      <c r="E50" s="16"/>
      <c r="F50" s="30"/>
    </row>
    <row r="51" spans="1:6" x14ac:dyDescent="0.25">
      <c r="A51" s="8"/>
      <c r="B51" s="9"/>
      <c r="C51" s="21"/>
      <c r="D51" s="19"/>
      <c r="E51" s="19"/>
      <c r="F51" s="31"/>
    </row>
    <row r="52" spans="1:6" x14ac:dyDescent="0.25">
      <c r="A52" s="8"/>
      <c r="B52" s="9"/>
      <c r="C52" s="9"/>
      <c r="D52" s="42"/>
      <c r="E52" s="42"/>
      <c r="F52" s="42"/>
    </row>
    <row r="53" spans="1:6" x14ac:dyDescent="0.25">
      <c r="A53" s="8"/>
      <c r="B53" s="9"/>
      <c r="C53" s="9"/>
      <c r="D53" s="43"/>
      <c r="E53" s="43"/>
      <c r="F53" s="44"/>
    </row>
    <row r="54" spans="1:6" x14ac:dyDescent="0.25">
      <c r="A54" s="8"/>
      <c r="B54" s="9"/>
      <c r="C54" s="32"/>
      <c r="D54" s="45"/>
      <c r="E54" s="46"/>
      <c r="F54" s="47"/>
    </row>
    <row r="55" spans="1:6" x14ac:dyDescent="0.25">
      <c r="A55" s="33"/>
      <c r="B55" s="34"/>
      <c r="C55" s="35"/>
      <c r="D55" s="48"/>
      <c r="E55" s="49"/>
      <c r="F55" s="50"/>
    </row>
    <row r="56" spans="1:6" x14ac:dyDescent="0.25">
      <c r="D56" s="51"/>
      <c r="E56" s="51"/>
      <c r="F56" s="51"/>
    </row>
  </sheetData>
  <mergeCells count="1">
    <mergeCell ref="A1:F1"/>
  </mergeCells>
  <printOptions horizontalCentered="1" verticalCentered="1"/>
  <pageMargins left="0.7" right="0.7" top="0.75" bottom="0.75" header="0.3" footer="0.3"/>
  <pageSetup scale="88" orientation="portrait" r:id="rId1"/>
  <rowBreaks count="1" manualBreakCount="1">
    <brk id="52" max="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Uniformity</vt:lpstr>
      <vt:lpstr>pen g std</vt:lpstr>
      <vt:lpstr>pen g smp</vt:lpstr>
      <vt:lpstr>'pen g smp'!Print_Area</vt:lpstr>
      <vt:lpstr>'pen g std'!Print_Area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Mutua</dc:creator>
  <cp:lastModifiedBy>Mutua</cp:lastModifiedBy>
  <dcterms:created xsi:type="dcterms:W3CDTF">2016-07-25T06:22:26Z</dcterms:created>
  <dcterms:modified xsi:type="dcterms:W3CDTF">2016-07-27T06:27:02Z</dcterms:modified>
</cp:coreProperties>
</file>