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0" yWindow="0" windowWidth="15345" windowHeight="4635" activeTab="2"/>
  </bookViews>
  <sheets>
    <sheet name="SST" sheetId="1" r:id="rId1"/>
    <sheet name="Uniformity" sheetId="4" r:id="rId2"/>
    <sheet name="Ceftriaxone" sheetId="5" r:id="rId3"/>
    <sheet name="Sheet3" sheetId="9" r:id="rId4"/>
  </sheets>
  <definedNames>
    <definedName name="_xlnm.Print_Area" localSheetId="2">Ceftriaxone!$A$1:$H$83</definedName>
    <definedName name="_xlnm.Print_Area" localSheetId="1">Uniformity!$A$10:$G$52</definedName>
  </definedNames>
  <calcPr calcId="152511"/>
</workbook>
</file>

<file path=xl/calcChain.xml><?xml version="1.0" encoding="utf-8"?>
<calcChain xmlns="http://schemas.openxmlformats.org/spreadsheetml/2006/main">
  <c r="G22" i="9" l="1"/>
  <c r="B42" i="4"/>
  <c r="C76" i="5"/>
  <c r="H71" i="5"/>
  <c r="G71" i="5"/>
  <c r="B68" i="5"/>
  <c r="G67" i="5"/>
  <c r="H67" i="5" s="1"/>
  <c r="H63" i="5"/>
  <c r="G63" i="5"/>
  <c r="C56" i="5"/>
  <c r="B55" i="5"/>
  <c r="B45" i="5"/>
  <c r="D48" i="5" s="1"/>
  <c r="D49" i="5" s="1"/>
  <c r="F44" i="5"/>
  <c r="F45" i="5" s="1"/>
  <c r="F42" i="5"/>
  <c r="D42" i="5"/>
  <c r="G41" i="5"/>
  <c r="E41" i="5"/>
  <c r="B34" i="5"/>
  <c r="D44" i="5" s="1"/>
  <c r="B30" i="5"/>
  <c r="C43" i="4"/>
  <c r="B43" i="4"/>
  <c r="C4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F46" i="5" l="1"/>
  <c r="G38" i="5"/>
  <c r="G40" i="5"/>
  <c r="G39" i="5"/>
  <c r="D45" i="5"/>
  <c r="D43" i="4"/>
  <c r="E23" i="4" s="1"/>
  <c r="D42" i="4"/>
  <c r="E37" i="4" l="1"/>
  <c r="D47" i="4"/>
  <c r="E38" i="4"/>
  <c r="E26" i="4"/>
  <c r="E27" i="4"/>
  <c r="E34" i="4"/>
  <c r="E24" i="4"/>
  <c r="E33" i="4"/>
  <c r="C48" i="4"/>
  <c r="E25" i="4"/>
  <c r="E32" i="4"/>
  <c r="E22" i="4"/>
  <c r="D48" i="4"/>
  <c r="E31" i="4"/>
  <c r="E40" i="4"/>
  <c r="E30" i="4"/>
  <c r="E39" i="4"/>
  <c r="B47" i="4"/>
  <c r="B57" i="5" s="1"/>
  <c r="B69" i="5" s="1"/>
  <c r="E29" i="4"/>
  <c r="C47" i="4"/>
  <c r="G42" i="5"/>
  <c r="D46" i="5"/>
  <c r="E40" i="5"/>
  <c r="E38" i="5"/>
  <c r="E39" i="5"/>
  <c r="E36" i="4"/>
  <c r="E28" i="4"/>
  <c r="E35" i="4"/>
  <c r="E21" i="4"/>
  <c r="D50" i="5" l="1"/>
  <c r="D52" i="5"/>
  <c r="E42" i="5"/>
  <c r="D51" i="5" l="1"/>
  <c r="G69" i="5"/>
  <c r="H69" i="5" s="1"/>
  <c r="G60" i="5"/>
  <c r="H60" i="5" s="1"/>
  <c r="G68" i="5"/>
  <c r="H68" i="5" s="1"/>
  <c r="G66" i="5"/>
  <c r="H66" i="5" s="1"/>
  <c r="G65" i="5"/>
  <c r="H65" i="5" s="1"/>
  <c r="G62" i="5"/>
  <c r="H62" i="5" s="1"/>
  <c r="G70" i="5"/>
  <c r="H70" i="5" s="1"/>
  <c r="G64" i="5"/>
  <c r="H64" i="5" s="1"/>
  <c r="G61" i="5"/>
  <c r="H61" i="5" s="1"/>
  <c r="H72" i="5" l="1"/>
  <c r="G76" i="5" s="1"/>
  <c r="H74" i="5"/>
  <c r="H73" i="5" l="1"/>
</calcChain>
</file>

<file path=xl/sharedStrings.xml><?xml version="1.0" encoding="utf-8"?>
<sst xmlns="http://schemas.openxmlformats.org/spreadsheetml/2006/main" count="170" uniqueCount="120">
  <si>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</si>
  <si>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</si>
  <si>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</si>
  <si>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</si>
  <si>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</si>
  <si>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</si>
  <si>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</si>
  <si>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Ceftriaxone 2G (As Ceftriaxone Sodium)</t>
  </si>
  <si>
    <t>Standard Conc (mg/mL):</t>
  </si>
  <si>
    <t>Each vial contains Ceftriaxone 2g</t>
  </si>
  <si>
    <t>2016-06-14 08:20:03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</si>
  <si>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</si>
  <si>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</si>
  <si>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</si>
  <si>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</si>
  <si>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</si>
  <si>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</si>
  <si>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</si>
  <si>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</si>
  <si>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</si>
  <si>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</si>
  <si>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</si>
  <si>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</si>
  <si>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</si>
  <si>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</si>
  <si>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</si>
  <si>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</si>
  <si>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</si>
  <si>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</si>
  <si>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</si>
  <si>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</si>
  <si>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</si>
  <si>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</si>
  <si>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</si>
  <si>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</si>
  <si>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</si>
  <si>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</si>
  <si>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</si>
  <si>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</si>
  <si>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</si>
  <si>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</si>
  <si>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</si>
  <si>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</si>
  <si>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</si>
  <si>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</si>
  <si>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</si>
  <si>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2016-07-01 09:31:02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</si>
  <si>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</si>
  <si>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</si>
  <si>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</si>
  <si>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</si>
  <si>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</si>
  <si>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</si>
  <si>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</si>
  <si>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</si>
  <si>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</si>
  <si>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</si>
  <si>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</si>
  <si>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</si>
  <si>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</si>
  <si>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</si>
  <si>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</si>
  <si>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</si>
  <si>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</si>
  <si>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</si>
  <si>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</si>
  <si>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</si>
  <si>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</si>
  <si>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</si>
  <si>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</si>
  <si>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</si>
  <si>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</si>
  <si>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</si>
  <si>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</si>
  <si>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</si>
  <si>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</si>
  <si>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</si>
  <si>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</si>
  <si>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</si>
  <si>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</si>
  <si>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</si>
  <si>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</si>
  <si>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</si>
  <si>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</si>
  <si>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</si>
  <si>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</si>
  <si>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</si>
  <si>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</si>
  <si>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</si>
  <si>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</si>
  <si>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</si>
  <si>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</si>
  <si>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</si>
  <si>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</si>
  <si>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</si>
  <si>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</si>
  <si>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</si>
  <si>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</si>
  <si>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</si>
  <si>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</si>
  <si>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</si>
  <si>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</si>
  <si>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</si>
  <si>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</si>
  <si>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</si>
  <si>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</si>
  <si>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</si>
  <si>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</si>
  <si>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</si>
  <si>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</si>
  <si>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Ceftriaxone Sodium</t>
  </si>
  <si>
    <t>Ceftriaxone sodium</t>
  </si>
  <si>
    <t>C2-10</t>
  </si>
  <si>
    <t>CEFTRIMED</t>
  </si>
  <si>
    <t>NDQA201509326</t>
  </si>
  <si>
    <t>Ceftriaxone 1G (As Ceftriaxone Sodium)</t>
  </si>
  <si>
    <t>Each vial contains Ceftriaxone 1g</t>
  </si>
  <si>
    <t xml:space="preserve">CEFRIMED 1G </t>
  </si>
  <si>
    <t xml:space="preserve">CEFRIMED 2G </t>
  </si>
  <si>
    <t>NDQD201509325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</si>
</sst>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0" xfId="0" applyFont="1" applyFill="1"/>
    <xf numFmtId="171" fontId="2" fillId="3" borderId="16" xfId="0" applyNumberFormat="1" applyFont="1" applyFill="1" applyBorder="1" applyAlignment="1" applyProtection="1">
      <alignment horizontal="center"/>
      <protection locked="0"/>
    </xf>
    <xf numFmtId="171" fontId="2" fillId="3" borderId="16" xfId="0" applyNumberFormat="1" applyFont="1" applyFill="1" applyBorder="1" applyAlignment="1" applyProtection="1">
      <alignment horizontal="center" wrapText="1"/>
      <protection locked="0"/>
    </xf>
    <xf numFmtId="171" fontId="2" fillId="3" borderId="19" xfId="0" applyNumberFormat="1" applyFont="1" applyFill="1" applyBorder="1" applyAlignment="1" applyProtection="1">
      <alignment horizontal="center" wrapText="1"/>
      <protection locked="0"/>
    </xf>
    <xf numFmtId="0" fontId="2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B27" sqref="B2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117</v>
      </c>
      <c r="D17" s="9"/>
      <c r="E17" s="10"/>
    </row>
    <row r="18" spans="1:6" ht="16.5" customHeight="1" x14ac:dyDescent="0.3">
      <c r="A18" s="11" t="s">
        <v>4</v>
      </c>
      <c r="B18" s="233" t="s">
        <v>110</v>
      </c>
      <c r="C18" s="10"/>
      <c r="D18" s="10"/>
      <c r="E18" s="10"/>
    </row>
    <row r="19" spans="1:6" ht="16.5" customHeight="1" x14ac:dyDescent="0.3">
      <c r="A19" s="11" t="s">
        <v>5</v>
      </c>
      <c r="B19" s="12">
        <v>83.292000000000002</v>
      </c>
      <c r="C19" s="10"/>
      <c r="D19" s="10"/>
      <c r="E19" s="10"/>
    </row>
    <row r="20" spans="1:6" ht="16.5" customHeight="1" x14ac:dyDescent="0.3">
      <c r="A20" s="7" t="s">
        <v>6</v>
      </c>
      <c r="B20" s="12">
        <v>27.48</v>
      </c>
      <c r="C20" s="10"/>
      <c r="D20" s="10"/>
      <c r="E20" s="10"/>
    </row>
    <row r="21" spans="1:6" ht="16.5" customHeight="1" x14ac:dyDescent="0.3">
      <c r="A21" s="7" t="s">
        <v>8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14129981</v>
      </c>
      <c r="C24" s="18">
        <v>4672.8999999999996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14246306</v>
      </c>
      <c r="C25" s="18">
        <v>4677</v>
      </c>
      <c r="D25" s="19">
        <v>1.2</v>
      </c>
      <c r="E25" s="19">
        <v>3.2</v>
      </c>
    </row>
    <row r="26" spans="1:6" ht="16.5" customHeight="1" x14ac:dyDescent="0.3">
      <c r="A26" s="17">
        <v>3</v>
      </c>
      <c r="B26" s="18">
        <v>14336612</v>
      </c>
      <c r="C26" s="18">
        <v>4696.8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14229278</v>
      </c>
      <c r="C27" s="18">
        <v>4732.8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14066753</v>
      </c>
      <c r="C28" s="18">
        <v>4736</v>
      </c>
      <c r="D28" s="19">
        <v>1.1000000000000001</v>
      </c>
      <c r="E28" s="19">
        <v>3.2</v>
      </c>
    </row>
    <row r="29" spans="1:6" ht="16.5" customHeight="1" x14ac:dyDescent="0.3">
      <c r="A29" s="17">
        <v>6</v>
      </c>
      <c r="B29" s="21">
        <v>13962227</v>
      </c>
      <c r="C29" s="21">
        <v>4751.2</v>
      </c>
      <c r="D29" s="22">
        <v>1.2</v>
      </c>
      <c r="E29" s="22">
        <v>3.2</v>
      </c>
    </row>
    <row r="30" spans="1:6" ht="16.5" customHeight="1" x14ac:dyDescent="0.3">
      <c r="A30" s="23" t="s">
        <v>16</v>
      </c>
      <c r="B30" s="24">
        <f>AVERAGE(B24:B29)</f>
        <v>14161859.5</v>
      </c>
      <c r="C30" s="25">
        <f>AVERAGE(C24:C29)</f>
        <v>4711.1166666666668</v>
      </c>
      <c r="D30" s="26">
        <f>AVERAGE(D24:D29)</f>
        <v>1.1833333333333333</v>
      </c>
      <c r="E30" s="26">
        <f>AVERAGE(E24:E29)</f>
        <v>3.1999999999999997</v>
      </c>
    </row>
    <row r="31" spans="1:6" ht="16.5" customHeight="1" x14ac:dyDescent="0.3">
      <c r="A31" s="27" t="s">
        <v>17</v>
      </c>
      <c r="B31" s="28">
        <f>(STDEV(B24:B29)/B30)</f>
        <v>9.5850443161429148E-3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9" t="s">
        <v>24</v>
      </c>
      <c r="C59" s="239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view="pageBreakPreview" topLeftCell="A25" zoomScale="110" zoomScaleNormal="70" zoomScaleSheetLayoutView="110" workbookViewId="0">
      <selection activeCell="C42" sqref="C42"/>
    </sheetView>
  </sheetViews>
  <sheetFormatPr defaultColWidth="9.140625" defaultRowHeight="16.5" x14ac:dyDescent="0.3"/>
  <cols>
    <col min="1" max="1" width="13.140625" style="22" customWidth="1"/>
    <col min="2" max="2" width="22.5703125" style="3" bestFit="1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2" t="s">
        <v>29</v>
      </c>
      <c r="B8" s="242"/>
      <c r="C8" s="242"/>
      <c r="D8" s="242"/>
      <c r="E8" s="242"/>
      <c r="F8" s="242"/>
      <c r="G8" s="24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3" t="s">
        <v>30</v>
      </c>
      <c r="B10" s="243"/>
      <c r="C10" s="243"/>
      <c r="D10" s="243"/>
      <c r="E10" s="243"/>
      <c r="F10" s="243"/>
      <c r="G10" s="24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0" t="s">
        <v>31</v>
      </c>
      <c r="B11" s="240"/>
      <c r="C11" s="73" t="s">
        <v>118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0" t="s">
        <v>32</v>
      </c>
      <c r="B12" s="240"/>
      <c r="C12" s="73" t="s">
        <v>119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0" t="s">
        <v>33</v>
      </c>
      <c r="B13" s="240"/>
      <c r="C13" s="73" t="s">
        <v>7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0" t="s">
        <v>34</v>
      </c>
      <c r="B14" s="240"/>
      <c r="C14" s="241" t="s">
        <v>9</v>
      </c>
      <c r="D14" s="241"/>
      <c r="E14" s="241"/>
      <c r="F14" s="241"/>
      <c r="G14" s="24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0" t="s">
        <v>35</v>
      </c>
      <c r="B15" s="240"/>
      <c r="C15" s="74" t="s">
        <v>10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0" t="s">
        <v>36</v>
      </c>
      <c r="B16" s="240"/>
      <c r="C16" s="74" t="s">
        <v>46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4" t="s">
        <v>1</v>
      </c>
      <c r="B18" s="244"/>
      <c r="C18" s="75" t="s">
        <v>37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38</v>
      </c>
      <c r="B20" s="78" t="s">
        <v>39</v>
      </c>
      <c r="C20" s="79" t="s">
        <v>40</v>
      </c>
      <c r="D20" s="77" t="s">
        <v>41</v>
      </c>
      <c r="E20" s="80" t="s">
        <v>42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237">
        <v>13026.09</v>
      </c>
      <c r="C21" s="82">
        <v>11995.13</v>
      </c>
      <c r="D21" s="83">
        <f t="shared" ref="D21:D40" si="0">B21-C21</f>
        <v>1030.9600000000009</v>
      </c>
      <c r="E21" s="84">
        <f t="shared" ref="E21:E40" si="1">(D21-$D$43)/$D$43</f>
        <v>-1.2052753255152966E-2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5">
        <v>2</v>
      </c>
      <c r="B22" s="234">
        <v>12986.01</v>
      </c>
      <c r="C22" s="86">
        <v>12015.37</v>
      </c>
      <c r="D22" s="87">
        <f t="shared" si="0"/>
        <v>970.63999999999942</v>
      </c>
      <c r="E22" s="84">
        <f t="shared" si="1"/>
        <v>-6.9856138375478327E-2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5">
        <v>3</v>
      </c>
      <c r="B23" s="234">
        <v>12663.69</v>
      </c>
      <c r="C23" s="86">
        <v>11579.24</v>
      </c>
      <c r="D23" s="87">
        <f t="shared" si="0"/>
        <v>1084.4500000000007</v>
      </c>
      <c r="E23" s="84">
        <f t="shared" si="1"/>
        <v>3.9205586766168525E-2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5">
        <v>4</v>
      </c>
      <c r="B24" s="234">
        <v>12952.05</v>
      </c>
      <c r="C24" s="86">
        <v>11916.08</v>
      </c>
      <c r="D24" s="87">
        <f t="shared" si="0"/>
        <v>1035.9699999999993</v>
      </c>
      <c r="E24" s="84">
        <f t="shared" si="1"/>
        <v>-7.2517758106448406E-3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5">
        <v>5</v>
      </c>
      <c r="B25" s="234">
        <v>12890.7</v>
      </c>
      <c r="C25" s="86">
        <v>11890.73</v>
      </c>
      <c r="D25" s="87">
        <f t="shared" si="0"/>
        <v>999.97000000000116</v>
      </c>
      <c r="E25" s="84">
        <f t="shared" si="1"/>
        <v>-4.1749817328077782E-2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5">
        <v>6</v>
      </c>
      <c r="B26" s="234">
        <v>12777.29</v>
      </c>
      <c r="C26" s="86">
        <v>11661.5</v>
      </c>
      <c r="D26" s="87">
        <f t="shared" si="0"/>
        <v>1115.7900000000009</v>
      </c>
      <c r="E26" s="84">
        <f t="shared" si="1"/>
        <v>6.9238048464957638E-2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5">
        <v>7</v>
      </c>
      <c r="B27" s="234">
        <v>12895.8</v>
      </c>
      <c r="C27" s="86">
        <v>11862.89</v>
      </c>
      <c r="D27" s="87">
        <f t="shared" si="0"/>
        <v>1032.9099999999999</v>
      </c>
      <c r="E27" s="84">
        <f t="shared" si="1"/>
        <v>-1.0184109339626301E-2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5">
        <v>8</v>
      </c>
      <c r="B28" s="234">
        <v>13156.42</v>
      </c>
      <c r="C28" s="86">
        <v>12136.18</v>
      </c>
      <c r="D28" s="87">
        <f t="shared" si="0"/>
        <v>1020.2399999999998</v>
      </c>
      <c r="E28" s="84">
        <f t="shared" si="1"/>
        <v>-2.2325503395901298E-2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5">
        <v>9</v>
      </c>
      <c r="B29" s="234">
        <v>13107.2</v>
      </c>
      <c r="C29" s="86">
        <v>12077.63</v>
      </c>
      <c r="D29" s="87">
        <f t="shared" si="0"/>
        <v>1029.5700000000015</v>
      </c>
      <c r="E29" s="84">
        <f t="shared" si="1"/>
        <v>-1.3384760969297804E-2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5">
        <v>10</v>
      </c>
      <c r="B30" s="235">
        <v>12953.18</v>
      </c>
      <c r="C30" s="86">
        <v>11920.28</v>
      </c>
      <c r="D30" s="87">
        <f t="shared" si="0"/>
        <v>1032.8999999999996</v>
      </c>
      <c r="E30" s="84">
        <f t="shared" si="1"/>
        <v>-1.0193692128936909E-2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5">
        <v>11</v>
      </c>
      <c r="B31" s="235">
        <v>12788.39</v>
      </c>
      <c r="C31" s="86">
        <v>11683.66</v>
      </c>
      <c r="D31" s="87">
        <f t="shared" si="0"/>
        <v>1104.7299999999996</v>
      </c>
      <c r="E31" s="84">
        <f t="shared" si="1"/>
        <v>5.863948348765561E-2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5">
        <v>12</v>
      </c>
      <c r="B32" s="235">
        <v>12948.8</v>
      </c>
      <c r="C32" s="86">
        <v>11893.75</v>
      </c>
      <c r="D32" s="87">
        <f t="shared" si="0"/>
        <v>1055.0499999999993</v>
      </c>
      <c r="E32" s="84">
        <f t="shared" si="1"/>
        <v>1.1032186193595472E-2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5">
        <v>13</v>
      </c>
      <c r="B33" s="235">
        <v>13108.26</v>
      </c>
      <c r="C33" s="86">
        <v>12088.06</v>
      </c>
      <c r="D33" s="87">
        <f t="shared" si="0"/>
        <v>1020.2000000000007</v>
      </c>
      <c r="E33" s="84">
        <f t="shared" si="1"/>
        <v>-2.2363834553141986E-2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5">
        <v>14</v>
      </c>
      <c r="B34" s="235">
        <v>12989</v>
      </c>
      <c r="C34" s="86">
        <v>11903.42</v>
      </c>
      <c r="D34" s="87">
        <f t="shared" si="0"/>
        <v>1085.58</v>
      </c>
      <c r="E34" s="84">
        <f t="shared" si="1"/>
        <v>4.0288441958242792E-2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5">
        <v>15</v>
      </c>
      <c r="B35" s="235">
        <v>13110.06</v>
      </c>
      <c r="C35" s="86">
        <v>12015.29</v>
      </c>
      <c r="D35" s="87">
        <f t="shared" si="0"/>
        <v>1094.7699999999986</v>
      </c>
      <c r="E35" s="84">
        <f t="shared" si="1"/>
        <v>4.9095025334497777E-2</v>
      </c>
      <c r="G35" s="59"/>
      <c r="J35" s="59"/>
      <c r="K35" s="65"/>
      <c r="L35" s="60"/>
      <c r="N35" s="60"/>
    </row>
    <row r="36" spans="1:15" ht="15" x14ac:dyDescent="0.3">
      <c r="A36" s="85">
        <v>16</v>
      </c>
      <c r="B36" s="235">
        <v>12698.6</v>
      </c>
      <c r="C36" s="86">
        <v>11724.91</v>
      </c>
      <c r="D36" s="87">
        <f t="shared" si="0"/>
        <v>973.69000000000051</v>
      </c>
      <c r="E36" s="84">
        <f t="shared" si="1"/>
        <v>-6.6933387635805724E-2</v>
      </c>
      <c r="G36" s="66"/>
      <c r="H36" s="66"/>
    </row>
    <row r="37" spans="1:15" ht="15" x14ac:dyDescent="0.3">
      <c r="A37" s="85">
        <v>17</v>
      </c>
      <c r="B37" s="235">
        <v>12755.25</v>
      </c>
      <c r="C37" s="86">
        <v>11667.95</v>
      </c>
      <c r="D37" s="87">
        <f t="shared" si="0"/>
        <v>1087.2999999999993</v>
      </c>
      <c r="E37" s="84">
        <f t="shared" si="1"/>
        <v>4.1936681719630706E-2</v>
      </c>
    </row>
    <row r="38" spans="1:15" ht="15" x14ac:dyDescent="0.3">
      <c r="A38" s="85">
        <v>18</v>
      </c>
      <c r="B38" s="235">
        <v>12711.04</v>
      </c>
      <c r="C38" s="86">
        <v>11688.34</v>
      </c>
      <c r="D38" s="87">
        <f t="shared" si="0"/>
        <v>1022.7000000000007</v>
      </c>
      <c r="E38" s="84">
        <f t="shared" si="1"/>
        <v>-1.9968137225542356E-2</v>
      </c>
    </row>
    <row r="39" spans="1:15" ht="15" x14ac:dyDescent="0.3">
      <c r="A39" s="85">
        <v>19</v>
      </c>
      <c r="B39" s="235">
        <v>12977.16</v>
      </c>
      <c r="C39" s="86">
        <v>11991.49</v>
      </c>
      <c r="D39" s="87">
        <f t="shared" si="0"/>
        <v>985.67000000000007</v>
      </c>
      <c r="E39" s="84">
        <f t="shared" si="1"/>
        <v>-5.5453206041948713E-2</v>
      </c>
    </row>
    <row r="40" spans="1:15" ht="14.25" customHeight="1" x14ac:dyDescent="0.3">
      <c r="A40" s="88">
        <v>20</v>
      </c>
      <c r="B40" s="236">
        <v>12930.58</v>
      </c>
      <c r="C40" s="89">
        <v>11842.92</v>
      </c>
      <c r="D40" s="90">
        <f t="shared" si="0"/>
        <v>1087.6599999999999</v>
      </c>
      <c r="E40" s="91">
        <f t="shared" si="1"/>
        <v>4.2281662134805616E-2</v>
      </c>
    </row>
    <row r="41" spans="1:15" ht="14.25" customHeight="1" x14ac:dyDescent="0.3">
      <c r="B41" s="73"/>
      <c r="D41" s="61"/>
      <c r="G41" s="54"/>
    </row>
    <row r="42" spans="1:15" x14ac:dyDescent="0.3">
      <c r="A42" s="92" t="s">
        <v>43</v>
      </c>
      <c r="B42" s="93">
        <f>SUM(B21:B40)</f>
        <v>258425.57</v>
      </c>
      <c r="C42" s="94">
        <f>SUM(C21:C40)</f>
        <v>237554.82000000004</v>
      </c>
      <c r="D42" s="95">
        <f>SUM(D21:D40)</f>
        <v>20870.750000000004</v>
      </c>
    </row>
    <row r="43" spans="1:15" ht="15.75" customHeight="1" x14ac:dyDescent="0.3">
      <c r="A43" s="96" t="s">
        <v>44</v>
      </c>
      <c r="B43" s="97">
        <f>AVERAGE(B21:B40)</f>
        <v>12921.2785</v>
      </c>
      <c r="C43" s="98">
        <f>AVERAGE(C21:C40)</f>
        <v>11877.741000000002</v>
      </c>
      <c r="D43" s="99">
        <f>AVERAGE(D21:D40)</f>
        <v>1043.5375000000001</v>
      </c>
    </row>
    <row r="44" spans="1:15" x14ac:dyDescent="0.3">
      <c r="A44" s="67"/>
      <c r="B44" s="100"/>
      <c r="C44" s="100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1" t="s">
        <v>44</v>
      </c>
      <c r="C46" s="102" t="s">
        <v>45</v>
      </c>
    </row>
    <row r="47" spans="1:15" ht="15.75" customHeight="1" x14ac:dyDescent="0.3">
      <c r="B47" s="245">
        <f>D43</f>
        <v>1043.5375000000001</v>
      </c>
      <c r="C47" s="103">
        <f>-(IF(D43&gt;300, 7.5%, 10%))</f>
        <v>-7.4999999999999997E-2</v>
      </c>
      <c r="D47" s="104">
        <f>IF(D43&lt;300, D43*0.9, D43*0.925)</f>
        <v>965.2721875000002</v>
      </c>
    </row>
    <row r="48" spans="1:15" ht="15.75" customHeight="1" x14ac:dyDescent="0.3">
      <c r="B48" s="246"/>
      <c r="C48" s="105">
        <f>+(IF(D43&gt;300, 7.5%, 10%))</f>
        <v>7.4999999999999997E-2</v>
      </c>
      <c r="D48" s="104">
        <f>IF(D43&lt;300, D43*1.1, D43*1.075)</f>
        <v>1121.8028125000001</v>
      </c>
    </row>
    <row r="49" spans="1:7" ht="14.25" customHeight="1" x14ac:dyDescent="0.3">
      <c r="A49" s="106"/>
      <c r="D49" s="107"/>
    </row>
    <row r="50" spans="1:7" ht="15" customHeight="1" x14ac:dyDescent="0.3">
      <c r="B50" s="239" t="s">
        <v>24</v>
      </c>
      <c r="C50" s="239"/>
      <c r="D50" s="73"/>
      <c r="E50" s="108" t="s">
        <v>25</v>
      </c>
      <c r="F50" s="109"/>
      <c r="G50" s="108" t="s">
        <v>26</v>
      </c>
    </row>
    <row r="51" spans="1:7" ht="15" customHeight="1" x14ac:dyDescent="0.3">
      <c r="A51" s="110" t="s">
        <v>27</v>
      </c>
      <c r="B51" s="111"/>
      <c r="C51" s="111"/>
      <c r="D51" s="73"/>
      <c r="E51" s="111"/>
      <c r="F51" s="67"/>
      <c r="G51" s="112"/>
    </row>
    <row r="52" spans="1:7" ht="15" customHeight="1" x14ac:dyDescent="0.3">
      <c r="A52" s="110" t="s">
        <v>28</v>
      </c>
      <c r="B52" s="113"/>
      <c r="C52" s="113"/>
      <c r="D52" s="73"/>
      <c r="E52" s="113"/>
      <c r="F52" s="67"/>
      <c r="G52" s="114"/>
    </row>
  </sheetData>
  <sheetProtection formatCells="0" formatColumns="0" formatRow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9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4" zoomScale="60" zoomScaleNormal="78" workbookViewId="0">
      <selection activeCell="H60" sqref="H60:H71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47" t="s">
        <v>47</v>
      </c>
      <c r="B1" s="247"/>
      <c r="C1" s="247"/>
      <c r="D1" s="247"/>
      <c r="E1" s="247"/>
      <c r="F1" s="247"/>
      <c r="G1" s="247"/>
      <c r="H1" s="247"/>
    </row>
    <row r="2" spans="1:8" x14ac:dyDescent="0.2">
      <c r="A2" s="247"/>
      <c r="B2" s="247"/>
      <c r="C2" s="247"/>
      <c r="D2" s="247"/>
      <c r="E2" s="247"/>
      <c r="F2" s="247"/>
      <c r="G2" s="247"/>
      <c r="H2" s="247"/>
    </row>
    <row r="3" spans="1:8" x14ac:dyDescent="0.2">
      <c r="A3" s="247"/>
      <c r="B3" s="247"/>
      <c r="C3" s="247"/>
      <c r="D3" s="247"/>
      <c r="E3" s="247"/>
      <c r="F3" s="247"/>
      <c r="G3" s="247"/>
      <c r="H3" s="247"/>
    </row>
    <row r="4" spans="1:8" x14ac:dyDescent="0.2">
      <c r="A4" s="247"/>
      <c r="B4" s="247"/>
      <c r="C4" s="247"/>
      <c r="D4" s="247"/>
      <c r="E4" s="247"/>
      <c r="F4" s="247"/>
      <c r="G4" s="247"/>
      <c r="H4" s="247"/>
    </row>
    <row r="5" spans="1:8" x14ac:dyDescent="0.2">
      <c r="A5" s="247"/>
      <c r="B5" s="247"/>
      <c r="C5" s="247"/>
      <c r="D5" s="247"/>
      <c r="E5" s="247"/>
      <c r="F5" s="247"/>
      <c r="G5" s="247"/>
      <c r="H5" s="247"/>
    </row>
    <row r="6" spans="1:8" x14ac:dyDescent="0.2">
      <c r="A6" s="247"/>
      <c r="B6" s="247"/>
      <c r="C6" s="247"/>
      <c r="D6" s="247"/>
      <c r="E6" s="247"/>
      <c r="F6" s="247"/>
      <c r="G6" s="247"/>
      <c r="H6" s="247"/>
    </row>
    <row r="7" spans="1:8" x14ac:dyDescent="0.2">
      <c r="A7" s="247"/>
      <c r="B7" s="247"/>
      <c r="C7" s="247"/>
      <c r="D7" s="247"/>
      <c r="E7" s="247"/>
      <c r="F7" s="247"/>
      <c r="G7" s="247"/>
      <c r="H7" s="247"/>
    </row>
    <row r="8" spans="1:8" x14ac:dyDescent="0.2">
      <c r="A8" s="248" t="s">
        <v>48</v>
      </c>
      <c r="B8" s="248"/>
      <c r="C8" s="248"/>
      <c r="D8" s="248"/>
      <c r="E8" s="248"/>
      <c r="F8" s="248"/>
      <c r="G8" s="248"/>
      <c r="H8" s="248"/>
    </row>
    <row r="9" spans="1:8" x14ac:dyDescent="0.2">
      <c r="A9" s="248"/>
      <c r="B9" s="248"/>
      <c r="C9" s="248"/>
      <c r="D9" s="248"/>
      <c r="E9" s="248"/>
      <c r="F9" s="248"/>
      <c r="G9" s="248"/>
      <c r="H9" s="248"/>
    </row>
    <row r="10" spans="1:8" x14ac:dyDescent="0.2">
      <c r="A10" s="248"/>
      <c r="B10" s="248"/>
      <c r="C10" s="248"/>
      <c r="D10" s="248"/>
      <c r="E10" s="248"/>
      <c r="F10" s="248"/>
      <c r="G10" s="248"/>
      <c r="H10" s="248"/>
    </row>
    <row r="11" spans="1:8" x14ac:dyDescent="0.2">
      <c r="A11" s="248"/>
      <c r="B11" s="248"/>
      <c r="C11" s="248"/>
      <c r="D11" s="248"/>
      <c r="E11" s="248"/>
      <c r="F11" s="248"/>
      <c r="G11" s="248"/>
      <c r="H11" s="248"/>
    </row>
    <row r="12" spans="1:8" x14ac:dyDescent="0.2">
      <c r="A12" s="248"/>
      <c r="B12" s="248"/>
      <c r="C12" s="248"/>
      <c r="D12" s="248"/>
      <c r="E12" s="248"/>
      <c r="F12" s="248"/>
      <c r="G12" s="248"/>
      <c r="H12" s="248"/>
    </row>
    <row r="13" spans="1:8" x14ac:dyDescent="0.2">
      <c r="A13" s="248"/>
      <c r="B13" s="248"/>
      <c r="C13" s="248"/>
      <c r="D13" s="248"/>
      <c r="E13" s="248"/>
      <c r="F13" s="248"/>
      <c r="G13" s="248"/>
      <c r="H13" s="248"/>
    </row>
    <row r="14" spans="1:8" x14ac:dyDescent="0.2">
      <c r="A14" s="248"/>
      <c r="B14" s="248"/>
      <c r="C14" s="248"/>
      <c r="D14" s="248"/>
      <c r="E14" s="248"/>
      <c r="F14" s="248"/>
      <c r="G14" s="248"/>
      <c r="H14" s="248"/>
    </row>
    <row r="15" spans="1:8" ht="19.5" customHeight="1" x14ac:dyDescent="0.3">
      <c r="A15" s="115"/>
      <c r="B15" s="115"/>
      <c r="C15" s="115"/>
      <c r="D15" s="115"/>
      <c r="E15" s="115"/>
      <c r="F15" s="115"/>
      <c r="G15" s="115"/>
      <c r="H15" s="115"/>
    </row>
    <row r="16" spans="1:8" ht="19.5" customHeight="1" x14ac:dyDescent="0.3">
      <c r="A16" s="255" t="s">
        <v>29</v>
      </c>
      <c r="B16" s="256"/>
      <c r="C16" s="256"/>
      <c r="D16" s="256"/>
      <c r="E16" s="256"/>
      <c r="F16" s="256"/>
      <c r="G16" s="256"/>
      <c r="H16" s="257"/>
    </row>
    <row r="17" spans="1:8" ht="18.75" customHeight="1" x14ac:dyDescent="0.3">
      <c r="A17" s="116" t="s">
        <v>49</v>
      </c>
      <c r="B17" s="116"/>
      <c r="C17" s="115"/>
      <c r="D17" s="115"/>
      <c r="E17" s="115"/>
      <c r="F17" s="115"/>
      <c r="G17" s="115"/>
      <c r="H17" s="115"/>
    </row>
    <row r="18" spans="1:8" ht="26.25" customHeight="1" x14ac:dyDescent="0.4">
      <c r="A18" s="117" t="s">
        <v>31</v>
      </c>
      <c r="B18" s="258" t="s">
        <v>113</v>
      </c>
      <c r="C18" s="258"/>
      <c r="D18" s="258"/>
      <c r="E18" s="258"/>
      <c r="F18" s="115"/>
      <c r="G18" s="115"/>
      <c r="H18" s="115"/>
    </row>
    <row r="19" spans="1:8" ht="26.25" customHeight="1" x14ac:dyDescent="0.4">
      <c r="A19" s="117" t="s">
        <v>32</v>
      </c>
      <c r="B19" s="118" t="s">
        <v>114</v>
      </c>
      <c r="C19" s="115">
        <v>8</v>
      </c>
      <c r="D19" s="115"/>
      <c r="E19" s="115"/>
      <c r="F19" s="115"/>
      <c r="G19" s="115"/>
      <c r="H19" s="115"/>
    </row>
    <row r="20" spans="1:8" ht="26.25" customHeight="1" x14ac:dyDescent="0.4">
      <c r="A20" s="117" t="s">
        <v>33</v>
      </c>
      <c r="B20" s="118" t="s">
        <v>115</v>
      </c>
      <c r="C20" s="115"/>
      <c r="D20" s="115"/>
      <c r="E20" s="115"/>
      <c r="F20" s="115"/>
      <c r="G20" s="115"/>
      <c r="H20" s="115"/>
    </row>
    <row r="21" spans="1:8" ht="26.25" customHeight="1" x14ac:dyDescent="0.4">
      <c r="A21" s="117" t="s">
        <v>34</v>
      </c>
      <c r="B21" s="259" t="s">
        <v>116</v>
      </c>
      <c r="C21" s="259"/>
      <c r="D21" s="259"/>
      <c r="E21" s="259"/>
      <c r="F21" s="259"/>
      <c r="G21" s="259"/>
      <c r="H21" s="259"/>
    </row>
    <row r="22" spans="1:8" ht="26.25" customHeight="1" x14ac:dyDescent="0.4">
      <c r="A22" s="117" t="s">
        <v>35</v>
      </c>
      <c r="B22" s="119" t="s">
        <v>10</v>
      </c>
      <c r="C22" s="115"/>
      <c r="D22" s="115"/>
      <c r="E22" s="115"/>
      <c r="F22" s="115"/>
      <c r="G22" s="115"/>
      <c r="H22" s="115"/>
    </row>
    <row r="23" spans="1:8" ht="26.25" customHeight="1" x14ac:dyDescent="0.4">
      <c r="A23" s="117" t="s">
        <v>36</v>
      </c>
      <c r="B23" s="119"/>
      <c r="C23" s="115"/>
      <c r="D23" s="115"/>
      <c r="E23" s="115"/>
      <c r="F23" s="115"/>
      <c r="G23" s="115"/>
      <c r="H23" s="115"/>
    </row>
    <row r="24" spans="1:8" ht="18.75" customHeight="1" x14ac:dyDescent="0.3">
      <c r="A24" s="117"/>
      <c r="B24" s="120"/>
      <c r="C24" s="115"/>
      <c r="D24" s="115"/>
      <c r="E24" s="115"/>
      <c r="F24" s="115"/>
      <c r="G24" s="115"/>
      <c r="H24" s="115"/>
    </row>
    <row r="25" spans="1:8" ht="18.75" customHeight="1" x14ac:dyDescent="0.3">
      <c r="A25" s="121" t="s">
        <v>1</v>
      </c>
      <c r="B25" s="120"/>
      <c r="C25" s="115"/>
      <c r="D25" s="115"/>
      <c r="E25" s="115"/>
      <c r="F25" s="115"/>
      <c r="G25" s="115"/>
      <c r="H25" s="115"/>
    </row>
    <row r="26" spans="1:8" ht="26.25" customHeight="1" x14ac:dyDescent="0.4">
      <c r="A26" s="122" t="s">
        <v>4</v>
      </c>
      <c r="B26" s="260" t="s">
        <v>111</v>
      </c>
      <c r="C26" s="258"/>
      <c r="D26" s="115"/>
      <c r="E26" s="115"/>
      <c r="F26" s="115"/>
      <c r="G26" s="115"/>
      <c r="H26" s="115"/>
    </row>
    <row r="27" spans="1:8" ht="26.25" customHeight="1" x14ac:dyDescent="0.4">
      <c r="A27" s="123" t="s">
        <v>50</v>
      </c>
      <c r="B27" s="261" t="s">
        <v>112</v>
      </c>
      <c r="C27" s="259"/>
      <c r="D27" s="115"/>
      <c r="E27" s="115"/>
      <c r="F27" s="115"/>
      <c r="G27" s="115"/>
      <c r="H27" s="115"/>
    </row>
    <row r="28" spans="1:8" ht="27" customHeight="1" x14ac:dyDescent="0.4">
      <c r="A28" s="123" t="s">
        <v>5</v>
      </c>
      <c r="B28" s="124">
        <v>83.292000000000002</v>
      </c>
      <c r="C28" s="115"/>
      <c r="D28" s="115"/>
      <c r="E28" s="115"/>
      <c r="F28" s="115"/>
      <c r="G28" s="115"/>
      <c r="H28" s="115"/>
    </row>
    <row r="29" spans="1:8" ht="27" customHeight="1" x14ac:dyDescent="0.4">
      <c r="A29" s="123" t="s">
        <v>51</v>
      </c>
      <c r="B29" s="125">
        <v>0</v>
      </c>
      <c r="C29" s="262" t="s">
        <v>52</v>
      </c>
      <c r="D29" s="263"/>
      <c r="E29" s="263"/>
      <c r="F29" s="263"/>
      <c r="G29" s="263"/>
      <c r="H29" s="264"/>
    </row>
    <row r="30" spans="1:8" ht="19.5" customHeight="1" x14ac:dyDescent="0.3">
      <c r="A30" s="123" t="s">
        <v>53</v>
      </c>
      <c r="B30" s="126">
        <f>B28-B29</f>
        <v>83.292000000000002</v>
      </c>
      <c r="C30" s="127"/>
      <c r="D30" s="127"/>
      <c r="E30" s="127"/>
      <c r="F30" s="127"/>
      <c r="G30" s="127"/>
      <c r="H30" s="128"/>
    </row>
    <row r="31" spans="1:8" ht="27" customHeight="1" x14ac:dyDescent="0.4">
      <c r="A31" s="123" t="s">
        <v>54</v>
      </c>
      <c r="B31" s="129">
        <v>554.58000000000004</v>
      </c>
      <c r="C31" s="265" t="s">
        <v>55</v>
      </c>
      <c r="D31" s="266"/>
      <c r="E31" s="266"/>
      <c r="F31" s="266"/>
      <c r="G31" s="266"/>
      <c r="H31" s="267"/>
    </row>
    <row r="32" spans="1:8" ht="27" customHeight="1" x14ac:dyDescent="0.4">
      <c r="A32" s="123" t="s">
        <v>56</v>
      </c>
      <c r="B32" s="129">
        <v>576.55999999999995</v>
      </c>
      <c r="C32" s="265" t="s">
        <v>57</v>
      </c>
      <c r="D32" s="266"/>
      <c r="E32" s="266"/>
      <c r="F32" s="266"/>
      <c r="G32" s="266"/>
      <c r="H32" s="267"/>
    </row>
    <row r="33" spans="1:8" ht="18.75" customHeight="1" x14ac:dyDescent="0.3">
      <c r="A33" s="123"/>
      <c r="B33" s="130"/>
      <c r="C33" s="131"/>
      <c r="D33" s="131"/>
      <c r="E33" s="131"/>
      <c r="F33" s="131"/>
      <c r="G33" s="131"/>
      <c r="H33" s="131"/>
    </row>
    <row r="34" spans="1:8" ht="18.75" customHeight="1" x14ac:dyDescent="0.3">
      <c r="A34" s="123" t="s">
        <v>58</v>
      </c>
      <c r="B34" s="132">
        <f>B31/B32</f>
        <v>0.96187734147356752</v>
      </c>
      <c r="C34" s="115" t="s">
        <v>59</v>
      </c>
      <c r="D34" s="115"/>
      <c r="E34" s="115"/>
      <c r="F34" s="115"/>
      <c r="G34" s="115"/>
      <c r="H34" s="133"/>
    </row>
    <row r="35" spans="1:8" ht="19.5" customHeight="1" x14ac:dyDescent="0.3">
      <c r="A35" s="123"/>
      <c r="B35" s="126"/>
      <c r="C35" s="133"/>
      <c r="D35" s="133"/>
      <c r="E35" s="133"/>
      <c r="F35" s="133"/>
      <c r="G35" s="115"/>
      <c r="H35" s="133"/>
    </row>
    <row r="36" spans="1:8" ht="27" customHeight="1" x14ac:dyDescent="0.4">
      <c r="A36" s="134" t="s">
        <v>60</v>
      </c>
      <c r="B36" s="135">
        <v>20</v>
      </c>
      <c r="C36" s="115"/>
      <c r="D36" s="268" t="s">
        <v>61</v>
      </c>
      <c r="E36" s="269"/>
      <c r="F36" s="268" t="s">
        <v>62</v>
      </c>
      <c r="G36" s="270"/>
      <c r="H36" s="133"/>
    </row>
    <row r="37" spans="1:8" ht="26.25" customHeight="1" x14ac:dyDescent="0.4">
      <c r="A37" s="136" t="s">
        <v>63</v>
      </c>
      <c r="B37" s="137">
        <v>4</v>
      </c>
      <c r="C37" s="138" t="s">
        <v>64</v>
      </c>
      <c r="D37" s="139" t="s">
        <v>65</v>
      </c>
      <c r="E37" s="140" t="s">
        <v>66</v>
      </c>
      <c r="F37" s="139" t="s">
        <v>65</v>
      </c>
      <c r="G37" s="141" t="s">
        <v>66</v>
      </c>
      <c r="H37" s="133"/>
    </row>
    <row r="38" spans="1:8" ht="26.25" customHeight="1" x14ac:dyDescent="0.4">
      <c r="A38" s="136" t="s">
        <v>67</v>
      </c>
      <c r="B38" s="137">
        <v>25</v>
      </c>
      <c r="C38" s="142">
        <v>1</v>
      </c>
      <c r="D38" s="143">
        <v>14066115</v>
      </c>
      <c r="E38" s="144">
        <f>IF(ISBLANK(D38),"-",$D$48/$D$45*D38)</f>
        <v>16353423.213984502</v>
      </c>
      <c r="F38" s="143">
        <v>14741140</v>
      </c>
      <c r="G38" s="145">
        <f>IF(ISBLANK(F38),"-",$D$48/$F$45*F38)</f>
        <v>16739071.570896089</v>
      </c>
      <c r="H38" s="133"/>
    </row>
    <row r="39" spans="1:8" ht="26.25" customHeight="1" x14ac:dyDescent="0.4">
      <c r="A39" s="136" t="s">
        <v>68</v>
      </c>
      <c r="B39" s="137">
        <v>1</v>
      </c>
      <c r="C39" s="146">
        <v>2</v>
      </c>
      <c r="D39" s="147">
        <v>14185057</v>
      </c>
      <c r="E39" s="148">
        <f>IF(ISBLANK(D39),"-",$D$48/$D$45*D39)</f>
        <v>16491706.518501617</v>
      </c>
      <c r="F39" s="147">
        <v>14868800</v>
      </c>
      <c r="G39" s="149">
        <f>IF(ISBLANK(F39),"-",$D$48/$F$45*F39)</f>
        <v>16884033.892449278</v>
      </c>
      <c r="H39" s="133"/>
    </row>
    <row r="40" spans="1:8" ht="26.25" customHeight="1" x14ac:dyDescent="0.4">
      <c r="A40" s="136" t="s">
        <v>69</v>
      </c>
      <c r="B40" s="137">
        <v>1</v>
      </c>
      <c r="C40" s="146">
        <v>3</v>
      </c>
      <c r="D40" s="147">
        <v>14266619</v>
      </c>
      <c r="E40" s="148">
        <f>IF(ISBLANK(D40),"-",$D$48/$D$45*D40)</f>
        <v>16586531.415367525</v>
      </c>
      <c r="F40" s="147">
        <v>14741310</v>
      </c>
      <c r="G40" s="149">
        <f>IF(ISBLANK(F40),"-",$D$48/$F$45*F40)</f>
        <v>16739264.611744154</v>
      </c>
      <c r="H40" s="115"/>
    </row>
    <row r="41" spans="1:8" ht="26.25" customHeight="1" x14ac:dyDescent="0.4">
      <c r="A41" s="136" t="s">
        <v>70</v>
      </c>
      <c r="B41" s="137">
        <v>1</v>
      </c>
      <c r="C41" s="150">
        <v>4</v>
      </c>
      <c r="D41" s="151"/>
      <c r="E41" s="152" t="str">
        <f>IF(ISBLANK(D41),"-",$D$48/$D$45*D41)</f>
        <v>-</v>
      </c>
      <c r="F41" s="151"/>
      <c r="G41" s="153" t="str">
        <f>IF(ISBLANK(F41),"-",$D$48/$F$45*F41)</f>
        <v>-</v>
      </c>
      <c r="H41" s="115"/>
    </row>
    <row r="42" spans="1:8" ht="27" customHeight="1" x14ac:dyDescent="0.4">
      <c r="A42" s="136" t="s">
        <v>71</v>
      </c>
      <c r="B42" s="137">
        <v>1</v>
      </c>
      <c r="C42" s="154" t="s">
        <v>72</v>
      </c>
      <c r="D42" s="155">
        <f>AVERAGE(D38:D41)</f>
        <v>14172597</v>
      </c>
      <c r="E42" s="156">
        <f>AVERAGE(E38:E41)</f>
        <v>16477220.382617882</v>
      </c>
      <c r="F42" s="155">
        <f>AVERAGE(F38:F41)</f>
        <v>14783750</v>
      </c>
      <c r="G42" s="157">
        <f>AVERAGE(G38:G41)</f>
        <v>16787456.691696506</v>
      </c>
      <c r="H42" s="158"/>
    </row>
    <row r="43" spans="1:8" ht="26.25" customHeight="1" x14ac:dyDescent="0.4">
      <c r="A43" s="136" t="s">
        <v>73</v>
      </c>
      <c r="B43" s="137">
        <v>1</v>
      </c>
      <c r="C43" s="159" t="s">
        <v>74</v>
      </c>
      <c r="D43" s="160">
        <v>26.84</v>
      </c>
      <c r="E43" s="161"/>
      <c r="F43" s="160">
        <v>27.48</v>
      </c>
      <c r="G43" s="115"/>
      <c r="H43" s="158"/>
    </row>
    <row r="44" spans="1:8" ht="26.25" customHeight="1" x14ac:dyDescent="0.4">
      <c r="A44" s="136" t="s">
        <v>75</v>
      </c>
      <c r="B44" s="137">
        <v>1</v>
      </c>
      <c r="C44" s="162" t="s">
        <v>76</v>
      </c>
      <c r="D44" s="163">
        <f>D43*$B$34</f>
        <v>25.816787845150554</v>
      </c>
      <c r="E44" s="164"/>
      <c r="F44" s="163">
        <f>F43*$B$34</f>
        <v>26.432389343693636</v>
      </c>
      <c r="G44" s="115"/>
      <c r="H44" s="158"/>
    </row>
    <row r="45" spans="1:8" ht="19.5" customHeight="1" x14ac:dyDescent="0.3">
      <c r="A45" s="136" t="s">
        <v>77</v>
      </c>
      <c r="B45" s="165">
        <f>(B44/B43)*(B42/B41)*(B40/B39)*(B38/B37)*B36</f>
        <v>125</v>
      </c>
      <c r="C45" s="162" t="s">
        <v>78</v>
      </c>
      <c r="D45" s="166">
        <f>D44*$B$30/100</f>
        <v>21.5033189319828</v>
      </c>
      <c r="E45" s="167"/>
      <c r="F45" s="166">
        <f>F44*$B$30/100</f>
        <v>22.016065732149304</v>
      </c>
      <c r="G45" s="115"/>
      <c r="H45" s="158"/>
    </row>
    <row r="46" spans="1:8" ht="19.5" customHeight="1" x14ac:dyDescent="0.3">
      <c r="A46" s="271" t="s">
        <v>79</v>
      </c>
      <c r="B46" s="272"/>
      <c r="C46" s="162" t="s">
        <v>80</v>
      </c>
      <c r="D46" s="163">
        <f>D45/$B$45</f>
        <v>0.1720265514558624</v>
      </c>
      <c r="E46" s="167"/>
      <c r="F46" s="168">
        <f>F45/$B$45</f>
        <v>0.17612852585719443</v>
      </c>
      <c r="G46" s="115"/>
      <c r="H46" s="158"/>
    </row>
    <row r="47" spans="1:8" ht="27" customHeight="1" x14ac:dyDescent="0.4">
      <c r="A47" s="273"/>
      <c r="B47" s="274"/>
      <c r="C47" s="169" t="s">
        <v>81</v>
      </c>
      <c r="D47" s="170">
        <v>0.2</v>
      </c>
      <c r="E47" s="115"/>
      <c r="F47" s="171"/>
      <c r="G47" s="115"/>
      <c r="H47" s="158"/>
    </row>
    <row r="48" spans="1:8" ht="18.75" customHeight="1" x14ac:dyDescent="0.3">
      <c r="A48" s="115"/>
      <c r="B48" s="115"/>
      <c r="C48" s="172" t="s">
        <v>82</v>
      </c>
      <c r="D48" s="163">
        <f>D47*$B$45</f>
        <v>25</v>
      </c>
      <c r="E48" s="115"/>
      <c r="F48" s="171"/>
      <c r="G48" s="115"/>
      <c r="H48" s="158"/>
    </row>
    <row r="49" spans="1:8" ht="19.5" customHeight="1" x14ac:dyDescent="0.3">
      <c r="A49" s="115"/>
      <c r="B49" s="115"/>
      <c r="C49" s="173" t="s">
        <v>83</v>
      </c>
      <c r="D49" s="174">
        <f>D48/B34</f>
        <v>25.990839914890543</v>
      </c>
      <c r="E49" s="115"/>
      <c r="F49" s="171"/>
      <c r="G49" s="115"/>
      <c r="H49" s="158"/>
    </row>
    <row r="50" spans="1:8" ht="18.75" customHeight="1" x14ac:dyDescent="0.3">
      <c r="A50" s="115"/>
      <c r="B50" s="115"/>
      <c r="C50" s="134" t="s">
        <v>84</v>
      </c>
      <c r="D50" s="175">
        <f>AVERAGE(E38:E41,G38:G41)</f>
        <v>16632338.537157193</v>
      </c>
      <c r="E50" s="115"/>
      <c r="F50" s="176"/>
      <c r="G50" s="115"/>
      <c r="H50" s="158"/>
    </row>
    <row r="51" spans="1:8" ht="18.75" customHeight="1" x14ac:dyDescent="0.3">
      <c r="A51" s="115"/>
      <c r="B51" s="115"/>
      <c r="C51" s="169" t="s">
        <v>85</v>
      </c>
      <c r="D51" s="177">
        <f>STDEV(E38:E41,G38:G41)/D50</f>
        <v>1.1591435695936382E-2</v>
      </c>
      <c r="E51" s="115"/>
      <c r="F51" s="176"/>
      <c r="G51" s="115"/>
      <c r="H51" s="158"/>
    </row>
    <row r="52" spans="1:8" ht="19.5" customHeight="1" x14ac:dyDescent="0.3">
      <c r="A52" s="115"/>
      <c r="B52" s="115"/>
      <c r="C52" s="178" t="s">
        <v>18</v>
      </c>
      <c r="D52" s="179">
        <f>COUNT(E38:E41,G38:G41)</f>
        <v>6</v>
      </c>
      <c r="E52" s="115"/>
      <c r="F52" s="176"/>
      <c r="G52" s="115"/>
      <c r="H52" s="115"/>
    </row>
    <row r="53" spans="1:8" ht="18.75" customHeight="1" x14ac:dyDescent="0.3">
      <c r="A53" s="115"/>
      <c r="B53" s="115"/>
      <c r="C53" s="115"/>
      <c r="D53" s="115"/>
      <c r="E53" s="115"/>
      <c r="F53" s="115"/>
      <c r="G53" s="115"/>
      <c r="H53" s="115"/>
    </row>
    <row r="54" spans="1:8" ht="18.75" customHeight="1" x14ac:dyDescent="0.3">
      <c r="A54" s="116" t="s">
        <v>1</v>
      </c>
      <c r="B54" s="180" t="s">
        <v>86</v>
      </c>
      <c r="C54" s="115"/>
      <c r="D54" s="115"/>
      <c r="E54" s="115"/>
      <c r="F54" s="115"/>
      <c r="G54" s="115"/>
      <c r="H54" s="115"/>
    </row>
    <row r="55" spans="1:8" ht="18.75" customHeight="1" x14ac:dyDescent="0.3">
      <c r="A55" s="115" t="s">
        <v>87</v>
      </c>
      <c r="B55" s="181" t="str">
        <f>B21</f>
        <v>Each vial contains Ceftriaxone 1g</v>
      </c>
      <c r="C55" s="115"/>
      <c r="D55" s="115"/>
      <c r="E55" s="115"/>
      <c r="F55" s="115"/>
      <c r="G55" s="115"/>
      <c r="H55" s="115"/>
    </row>
    <row r="56" spans="1:8" ht="26.25" customHeight="1" x14ac:dyDescent="0.4">
      <c r="A56" s="182" t="s">
        <v>88</v>
      </c>
      <c r="B56" s="183">
        <v>1000</v>
      </c>
      <c r="C56" s="115" t="str">
        <f>B20</f>
        <v>Ceftriaxone 1G (As Ceftriaxone Sodium)</v>
      </c>
      <c r="D56" s="115"/>
      <c r="E56" s="115"/>
      <c r="F56" s="115"/>
      <c r="G56" s="115"/>
      <c r="H56" s="184"/>
    </row>
    <row r="57" spans="1:8" ht="18.75" customHeight="1" x14ac:dyDescent="0.3">
      <c r="A57" s="181" t="s">
        <v>89</v>
      </c>
      <c r="B57" s="232">
        <f>Uniformity!B47</f>
        <v>1043.5375000000001</v>
      </c>
      <c r="C57" s="115"/>
      <c r="D57" s="115"/>
      <c r="E57" s="115"/>
      <c r="F57" s="115"/>
      <c r="G57" s="115"/>
      <c r="H57" s="184"/>
    </row>
    <row r="58" spans="1:8" ht="19.5" customHeight="1" x14ac:dyDescent="0.3">
      <c r="A58" s="115"/>
      <c r="B58" s="115"/>
      <c r="C58" s="115"/>
      <c r="D58" s="115"/>
      <c r="E58" s="115"/>
      <c r="F58" s="115"/>
      <c r="G58" s="115"/>
      <c r="H58" s="184"/>
    </row>
    <row r="59" spans="1:8" ht="27" customHeight="1" x14ac:dyDescent="0.4">
      <c r="A59" s="134" t="s">
        <v>90</v>
      </c>
      <c r="B59" s="135">
        <v>50</v>
      </c>
      <c r="C59" s="115"/>
      <c r="D59" s="185" t="s">
        <v>91</v>
      </c>
      <c r="E59" s="186" t="s">
        <v>64</v>
      </c>
      <c r="F59" s="186" t="s">
        <v>65</v>
      </c>
      <c r="G59" s="186" t="s">
        <v>92</v>
      </c>
      <c r="H59" s="138" t="s">
        <v>93</v>
      </c>
    </row>
    <row r="60" spans="1:8" ht="26.25" customHeight="1" x14ac:dyDescent="0.4">
      <c r="A60" s="136" t="s">
        <v>94</v>
      </c>
      <c r="B60" s="137">
        <v>5</v>
      </c>
      <c r="C60" s="249" t="s">
        <v>95</v>
      </c>
      <c r="D60" s="252">
        <v>114.54</v>
      </c>
      <c r="E60" s="187">
        <v>1</v>
      </c>
      <c r="F60" s="188">
        <v>17532834</v>
      </c>
      <c r="G60" s="189">
        <f>IF(ISBLANK(F60),"-",(F60/$D$50*$D$47*$B$68)*($B$57/$D$60))</f>
        <v>960.39454875166768</v>
      </c>
      <c r="H60" s="190">
        <f t="shared" ref="H60:H71" si="0">IF(ISBLANK(F60),"-",G60/$B$56)</f>
        <v>0.96039454875166763</v>
      </c>
    </row>
    <row r="61" spans="1:8" ht="26.25" customHeight="1" x14ac:dyDescent="0.4">
      <c r="A61" s="136" t="s">
        <v>96</v>
      </c>
      <c r="B61" s="137">
        <v>50</v>
      </c>
      <c r="C61" s="250"/>
      <c r="D61" s="253"/>
      <c r="E61" s="191">
        <v>2</v>
      </c>
      <c r="F61" s="147">
        <v>17307112</v>
      </c>
      <c r="G61" s="192">
        <f>IF(ISBLANK(F61),"-",(F61/$D$50*$D$47*$B$68)*($B$57/$D$60))</f>
        <v>948.03019405958969</v>
      </c>
      <c r="H61" s="193">
        <f t="shared" si="0"/>
        <v>0.94803019405958966</v>
      </c>
    </row>
    <row r="62" spans="1:8" ht="26.25" customHeight="1" x14ac:dyDescent="0.4">
      <c r="A62" s="136" t="s">
        <v>97</v>
      </c>
      <c r="B62" s="137">
        <v>1</v>
      </c>
      <c r="C62" s="250"/>
      <c r="D62" s="253"/>
      <c r="E62" s="191">
        <v>3</v>
      </c>
      <c r="F62" s="147">
        <v>17320505</v>
      </c>
      <c r="G62" s="192">
        <f>IF(ISBLANK(F62),"-",(F62/$D$50*$D$47*$B$68)*($B$57/$D$60))</f>
        <v>948.76382127532861</v>
      </c>
      <c r="H62" s="193">
        <f t="shared" si="0"/>
        <v>0.94876382127532866</v>
      </c>
    </row>
    <row r="63" spans="1:8" ht="27" customHeight="1" x14ac:dyDescent="0.4">
      <c r="A63" s="136" t="s">
        <v>98</v>
      </c>
      <c r="B63" s="137">
        <v>1</v>
      </c>
      <c r="C63" s="251"/>
      <c r="D63" s="254"/>
      <c r="E63" s="194">
        <v>4</v>
      </c>
      <c r="F63" s="195"/>
      <c r="G63" s="192" t="str">
        <f>IF(ISBLANK(F63),"-",(F63/$D$50*$D$47*$B$68)*($B$57/$D$60))</f>
        <v>-</v>
      </c>
      <c r="H63" s="193" t="str">
        <f t="shared" si="0"/>
        <v>-</v>
      </c>
    </row>
    <row r="64" spans="1:8" ht="26.25" customHeight="1" x14ac:dyDescent="0.4">
      <c r="A64" s="136" t="s">
        <v>99</v>
      </c>
      <c r="B64" s="137">
        <v>1</v>
      </c>
      <c r="C64" s="249" t="s">
        <v>100</v>
      </c>
      <c r="D64" s="252">
        <v>114.01</v>
      </c>
      <c r="E64" s="187">
        <v>1</v>
      </c>
      <c r="F64" s="188"/>
      <c r="G64" s="196" t="str">
        <f>IF(ISBLANK(F64),"-",(F64/$D$50*$D$47*$B$68)*($B$57/$D$64))</f>
        <v>-</v>
      </c>
      <c r="H64" s="197" t="str">
        <f t="shared" si="0"/>
        <v>-</v>
      </c>
    </row>
    <row r="65" spans="1:8" ht="26.25" customHeight="1" x14ac:dyDescent="0.4">
      <c r="A65" s="136" t="s">
        <v>101</v>
      </c>
      <c r="B65" s="137">
        <v>1</v>
      </c>
      <c r="C65" s="250"/>
      <c r="D65" s="253"/>
      <c r="E65" s="191">
        <v>2</v>
      </c>
      <c r="F65" s="147"/>
      <c r="G65" s="198" t="str">
        <f>IF(ISBLANK(F65),"-",(F65/$D$50*$D$47*$B$68)*($B$57/$D$64))</f>
        <v>-</v>
      </c>
      <c r="H65" s="199" t="str">
        <f t="shared" si="0"/>
        <v>-</v>
      </c>
    </row>
    <row r="66" spans="1:8" ht="26.25" customHeight="1" x14ac:dyDescent="0.4">
      <c r="A66" s="136" t="s">
        <v>102</v>
      </c>
      <c r="B66" s="137">
        <v>1</v>
      </c>
      <c r="C66" s="250"/>
      <c r="D66" s="253"/>
      <c r="E66" s="191">
        <v>3</v>
      </c>
      <c r="F66" s="147"/>
      <c r="G66" s="198" t="str">
        <f>IF(ISBLANK(F66),"-",(F66/$D$50*$D$47*$B$68)*($B$57/$D$64))</f>
        <v>-</v>
      </c>
      <c r="H66" s="199" t="str">
        <f t="shared" si="0"/>
        <v>-</v>
      </c>
    </row>
    <row r="67" spans="1:8" ht="27" customHeight="1" x14ac:dyDescent="0.4">
      <c r="A67" s="136" t="s">
        <v>103</v>
      </c>
      <c r="B67" s="137">
        <v>1</v>
      </c>
      <c r="C67" s="251"/>
      <c r="D67" s="254"/>
      <c r="E67" s="194">
        <v>4</v>
      </c>
      <c r="F67" s="195"/>
      <c r="G67" s="200" t="str">
        <f>IF(ISBLANK(F67),"-",(F67/$D$50*$D$47*$B$68)*($B$57/$D$64))</f>
        <v>-</v>
      </c>
      <c r="H67" s="201" t="str">
        <f t="shared" si="0"/>
        <v>-</v>
      </c>
    </row>
    <row r="68" spans="1:8" ht="26.25" customHeight="1" x14ac:dyDescent="0.4">
      <c r="A68" s="136" t="s">
        <v>104</v>
      </c>
      <c r="B68" s="202">
        <f>(B67/B66)*(B65/B64)*(B63/B62)*(B61/B60)*B59</f>
        <v>500</v>
      </c>
      <c r="C68" s="249" t="s">
        <v>105</v>
      </c>
      <c r="D68" s="252">
        <v>113.96</v>
      </c>
      <c r="E68" s="187">
        <v>1</v>
      </c>
      <c r="F68" s="188">
        <v>16586853</v>
      </c>
      <c r="G68" s="196">
        <f>IF(ISBLANK(F68),"-",(F68/$D$50*$D$47*$B$68)*($B$57/$D$68))</f>
        <v>913.20083378180561</v>
      </c>
      <c r="H68" s="193">
        <f t="shared" si="0"/>
        <v>0.91320083378180561</v>
      </c>
    </row>
    <row r="69" spans="1:8" ht="27" customHeight="1" x14ac:dyDescent="0.4">
      <c r="A69" s="178" t="s">
        <v>106</v>
      </c>
      <c r="B69" s="203">
        <f>(D47*B68)/B56*B57</f>
        <v>104.35375000000002</v>
      </c>
      <c r="C69" s="250"/>
      <c r="D69" s="253"/>
      <c r="E69" s="191">
        <v>2</v>
      </c>
      <c r="F69" s="147">
        <v>16945295</v>
      </c>
      <c r="G69" s="198">
        <f>IF(ISBLANK(F69),"-",(F69/$D$50*$D$47*$B$68)*($B$57/$D$68))</f>
        <v>932.93510967262205</v>
      </c>
      <c r="H69" s="193">
        <f t="shared" si="0"/>
        <v>0.93293510967262205</v>
      </c>
    </row>
    <row r="70" spans="1:8" ht="26.25" customHeight="1" x14ac:dyDescent="0.4">
      <c r="A70" s="271" t="s">
        <v>79</v>
      </c>
      <c r="B70" s="272"/>
      <c r="C70" s="250"/>
      <c r="D70" s="253"/>
      <c r="E70" s="191">
        <v>3</v>
      </c>
      <c r="F70" s="147">
        <v>17027202</v>
      </c>
      <c r="G70" s="198">
        <f>IF(ISBLANK(F70),"-",(F70/$D$50*$D$47*$B$68)*($B$57/$D$68))</f>
        <v>937.44455704594645</v>
      </c>
      <c r="H70" s="193">
        <f t="shared" si="0"/>
        <v>0.93744455704594642</v>
      </c>
    </row>
    <row r="71" spans="1:8" ht="27" customHeight="1" x14ac:dyDescent="0.4">
      <c r="A71" s="273"/>
      <c r="B71" s="274"/>
      <c r="C71" s="276"/>
      <c r="D71" s="254"/>
      <c r="E71" s="194">
        <v>4</v>
      </c>
      <c r="F71" s="195"/>
      <c r="G71" s="200" t="str">
        <f>IF(ISBLANK(F71),"-",(F71/$D$50*$D$47*$B$68)*($B$57/$D$68))</f>
        <v>-</v>
      </c>
      <c r="H71" s="204" t="str">
        <f t="shared" si="0"/>
        <v>-</v>
      </c>
    </row>
    <row r="72" spans="1:8" ht="26.25" customHeight="1" x14ac:dyDescent="0.4">
      <c r="A72" s="205"/>
      <c r="B72" s="205"/>
      <c r="C72" s="205"/>
      <c r="D72" s="205"/>
      <c r="E72" s="205"/>
      <c r="F72" s="206"/>
      <c r="G72" s="207" t="s">
        <v>72</v>
      </c>
      <c r="H72" s="208">
        <f>AVERAGE(H60:H71)</f>
        <v>0.94012817743116006</v>
      </c>
    </row>
    <row r="73" spans="1:8" ht="26.25" customHeight="1" x14ac:dyDescent="0.4">
      <c r="A73" s="115"/>
      <c r="B73" s="115"/>
      <c r="C73" s="205"/>
      <c r="D73" s="205"/>
      <c r="E73" s="205"/>
      <c r="F73" s="206"/>
      <c r="G73" s="209" t="s">
        <v>85</v>
      </c>
      <c r="H73" s="210">
        <f>STDEV(H60:H71)/H72</f>
        <v>1.7359686300145245E-2</v>
      </c>
    </row>
    <row r="74" spans="1:8" ht="27" customHeight="1" x14ac:dyDescent="0.4">
      <c r="A74" s="205"/>
      <c r="B74" s="205"/>
      <c r="C74" s="206"/>
      <c r="D74" s="206"/>
      <c r="E74" s="211"/>
      <c r="F74" s="206"/>
      <c r="G74" s="212" t="s">
        <v>18</v>
      </c>
      <c r="H74" s="213">
        <f>COUNT(H60:H71)</f>
        <v>6</v>
      </c>
    </row>
    <row r="75" spans="1:8" ht="18.75" customHeight="1" x14ac:dyDescent="0.3">
      <c r="A75" s="214"/>
      <c r="B75" s="214"/>
      <c r="C75" s="164"/>
      <c r="D75" s="164"/>
      <c r="E75" s="167"/>
      <c r="F75" s="164"/>
      <c r="G75" s="215"/>
      <c r="H75" s="216"/>
    </row>
    <row r="76" spans="1:8" ht="26.25" customHeight="1" x14ac:dyDescent="0.4">
      <c r="A76" s="122" t="s">
        <v>107</v>
      </c>
      <c r="B76" s="217" t="s">
        <v>108</v>
      </c>
      <c r="C76" s="277" t="str">
        <f>B20</f>
        <v>Ceftriaxone 1G (As Ceftriaxone Sodium)</v>
      </c>
      <c r="D76" s="277"/>
      <c r="E76" s="218" t="s">
        <v>109</v>
      </c>
      <c r="F76" s="218"/>
      <c r="G76" s="219">
        <f>H72</f>
        <v>0.94012817743116006</v>
      </c>
      <c r="H76" s="216"/>
    </row>
    <row r="77" spans="1:8" ht="19.5" customHeight="1" x14ac:dyDescent="0.3">
      <c r="A77" s="220"/>
      <c r="B77" s="220"/>
      <c r="C77" s="221"/>
      <c r="D77" s="221"/>
      <c r="E77" s="221"/>
      <c r="F77" s="221"/>
      <c r="G77" s="221"/>
      <c r="H77" s="221"/>
    </row>
    <row r="78" spans="1:8" ht="18.75" customHeight="1" x14ac:dyDescent="0.3">
      <c r="A78" s="115"/>
      <c r="B78" s="275" t="s">
        <v>24</v>
      </c>
      <c r="C78" s="275"/>
      <c r="D78" s="115"/>
      <c r="E78" s="222" t="s">
        <v>25</v>
      </c>
      <c r="F78" s="223"/>
      <c r="G78" s="275" t="s">
        <v>26</v>
      </c>
      <c r="H78" s="275"/>
    </row>
    <row r="79" spans="1:8" ht="60" customHeight="1" x14ac:dyDescent="0.3">
      <c r="A79" s="224" t="s">
        <v>27</v>
      </c>
      <c r="B79" s="225"/>
      <c r="C79" s="225"/>
      <c r="D79" s="115"/>
      <c r="E79" s="226"/>
      <c r="F79" s="227"/>
      <c r="G79" s="228"/>
      <c r="H79" s="228"/>
    </row>
    <row r="80" spans="1:8" ht="60" customHeight="1" x14ac:dyDescent="0.3">
      <c r="A80" s="224" t="s">
        <v>28</v>
      </c>
      <c r="B80" s="229"/>
      <c r="C80" s="229"/>
      <c r="D80" s="115"/>
      <c r="E80" s="230"/>
      <c r="F80" s="227"/>
      <c r="G80" s="231"/>
      <c r="H80" s="231"/>
    </row>
    <row r="250" spans="1:1" x14ac:dyDescent="0.2">
      <c r="A250">
        <v>5</v>
      </c>
    </row>
  </sheetData>
  <sheetProtection algorithmName="SHA-512" hashValue="mY59dPYItmDIhUPWgQTSAN4oGDV8WWAaRsM5s8L71nPpVssO4eSeC4syTA2O3q+C3/B4z+S5UYTSMIA1lTmYHQ==" saltValue="vBgPsdCTEz8QI++dulMagw==" spinCount="100000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2"/>
  <sheetViews>
    <sheetView workbookViewId="0">
      <selection activeCell="G23" sqref="G23"/>
    </sheetView>
  </sheetViews>
  <sheetFormatPr defaultRowHeight="12.75" x14ac:dyDescent="0.2"/>
  <sheetData>
    <row r="22" spans="7:7" x14ac:dyDescent="0.2">
      <c r="G22">
        <f>114/50</f>
        <v>2.2799999999999998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Ceftriaxone</vt:lpstr>
      <vt:lpstr>Sheet3</vt:lpstr>
      <vt:lpstr>Ceftriaxone!Print_Area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2016-07-27T14:49:39Z</cp:lastPrinted>
  <dcterms:created xsi:type="dcterms:W3CDTF">2005-07-05T10:19:27Z</dcterms:created>
  <dcterms:modified xsi:type="dcterms:W3CDTF">2016-07-27T15:01:30Z</dcterms:modified>
  <cp:category/>
</cp:coreProperties>
</file>