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2"/>
  </bookViews>
  <sheets>
    <sheet name="SST" sheetId="1" r:id="rId1"/>
    <sheet name="Uniformity" sheetId="2" r:id="rId2"/>
    <sheet name="Cefuroxime Axetil" sheetId="3" r:id="rId3"/>
  </sheets>
  <definedNames>
    <definedName name="_xlnm.Print_Area" localSheetId="2">'Cefuroxime Axetil'!$A$1:$H$142</definedName>
    <definedName name="_xlnm.Print_Area" localSheetId="1">Uniformity!$A$1:$G$58</definedName>
  </definedNames>
  <calcPr calcId="144525"/>
</workbook>
</file>

<file path=xl/calcChain.xml><?xml version="1.0" encoding="utf-8"?>
<calcChain xmlns="http://schemas.openxmlformats.org/spreadsheetml/2006/main">
  <c r="F61" i="3" l="1"/>
  <c r="B42" i="1" l="1"/>
  <c r="B41" i="1"/>
  <c r="B40" i="1"/>
  <c r="B39" i="1"/>
  <c r="B21" i="1"/>
  <c r="B20" i="1"/>
  <c r="B19" i="1"/>
  <c r="B18" i="1"/>
  <c r="C19" i="2"/>
  <c r="C18" i="2"/>
  <c r="G38" i="3" l="1"/>
  <c r="E38" i="3"/>
  <c r="F40" i="3"/>
  <c r="D40" i="3"/>
  <c r="F39" i="3"/>
  <c r="D39" i="3"/>
  <c r="F38" i="3"/>
  <c r="F42" i="3" s="1"/>
  <c r="D38" i="3"/>
  <c r="F70" i="3"/>
  <c r="F69" i="3"/>
  <c r="F68" i="3"/>
  <c r="F66" i="3"/>
  <c r="F65" i="3"/>
  <c r="F64" i="3"/>
  <c r="F62" i="3"/>
  <c r="F60" i="3"/>
  <c r="G41" i="3"/>
  <c r="E41" i="3"/>
  <c r="D42" i="3"/>
  <c r="B69" i="3"/>
  <c r="B88" i="3" l="1"/>
  <c r="B99" i="3"/>
  <c r="F96" i="3"/>
  <c r="D96" i="3"/>
  <c r="G95" i="3"/>
  <c r="E95" i="3"/>
  <c r="B68" i="3" l="1"/>
  <c r="B45" i="3"/>
  <c r="C138" i="3"/>
  <c r="B134" i="3"/>
  <c r="C121" i="3"/>
  <c r="B117" i="3"/>
  <c r="D101" i="3"/>
  <c r="D98" i="3"/>
  <c r="B83" i="3"/>
  <c r="B82" i="3"/>
  <c r="B81" i="3"/>
  <c r="B80" i="3"/>
  <c r="C76" i="3"/>
  <c r="H71" i="3"/>
  <c r="G71" i="3"/>
  <c r="H67" i="3"/>
  <c r="G67" i="3"/>
  <c r="H63" i="3"/>
  <c r="G63" i="3"/>
  <c r="B57" i="3"/>
  <c r="C56" i="3"/>
  <c r="B55" i="3"/>
  <c r="D48" i="3"/>
  <c r="B34" i="3"/>
  <c r="D44" i="3" s="1"/>
  <c r="B30" i="3"/>
  <c r="D50" i="2"/>
  <c r="D49" i="2"/>
  <c r="C49" i="2"/>
  <c r="B49" i="2"/>
  <c r="C46" i="2"/>
  <c r="C50" i="2" s="1"/>
  <c r="C45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102" i="3" l="1"/>
  <c r="D103" i="3" s="1"/>
  <c r="D49" i="3"/>
  <c r="B84" i="3"/>
  <c r="D99" i="3" s="1"/>
  <c r="E92" i="3" s="1"/>
  <c r="D45" i="3"/>
  <c r="F44" i="3"/>
  <c r="F45" i="3" s="1"/>
  <c r="F98" i="3"/>
  <c r="G39" i="3" l="1"/>
  <c r="G40" i="3"/>
  <c r="E39" i="3"/>
  <c r="E40" i="3"/>
  <c r="D100" i="3"/>
  <c r="E94" i="3"/>
  <c r="E93" i="3"/>
  <c r="E96" i="3" s="1"/>
  <c r="D46" i="3"/>
  <c r="E42" i="3" s="1"/>
  <c r="F99" i="3"/>
  <c r="G92" i="3" s="1"/>
  <c r="F46" i="3"/>
  <c r="G42" i="3" s="1"/>
  <c r="G93" i="3" l="1"/>
  <c r="G94" i="3"/>
  <c r="D50" i="3"/>
  <c r="F100" i="3"/>
  <c r="D52" i="3"/>
  <c r="G60" i="3" l="1"/>
  <c r="H60" i="3" s="1"/>
  <c r="G64" i="3"/>
  <c r="H64" i="3" s="1"/>
  <c r="G96" i="3"/>
  <c r="G69" i="3"/>
  <c r="H69" i="3" s="1"/>
  <c r="G61" i="3"/>
  <c r="H61" i="3" s="1"/>
  <c r="G70" i="3"/>
  <c r="H70" i="3" s="1"/>
  <c r="G66" i="3"/>
  <c r="H66" i="3" s="1"/>
  <c r="G62" i="3"/>
  <c r="H62" i="3" s="1"/>
  <c r="G65" i="3"/>
  <c r="H65" i="3" s="1"/>
  <c r="G68" i="3"/>
  <c r="H68" i="3" s="1"/>
  <c r="D51" i="3"/>
  <c r="D104" i="3"/>
  <c r="D106" i="3"/>
  <c r="D105" i="3" l="1"/>
  <c r="E126" i="3"/>
  <c r="F126" i="3" s="1"/>
  <c r="E109" i="3"/>
  <c r="F109" i="3" s="1"/>
  <c r="H74" i="3"/>
  <c r="H72" i="3"/>
  <c r="G76" i="3" s="1"/>
  <c r="E130" i="3"/>
  <c r="F130" i="3" s="1"/>
  <c r="E112" i="3"/>
  <c r="F112" i="3" s="1"/>
  <c r="E129" i="3"/>
  <c r="F129" i="3" s="1"/>
  <c r="E128" i="3"/>
  <c r="F128" i="3" s="1"/>
  <c r="E110" i="3"/>
  <c r="F110" i="3" s="1"/>
  <c r="E127" i="3"/>
  <c r="F127" i="3" s="1"/>
  <c r="E113" i="3"/>
  <c r="F113" i="3" s="1"/>
  <c r="E114" i="3"/>
  <c r="F114" i="3" s="1"/>
  <c r="E131" i="3"/>
  <c r="F131" i="3" s="1"/>
  <c r="E111" i="3"/>
  <c r="F111" i="3" s="1"/>
  <c r="H73" i="3" l="1"/>
  <c r="F135" i="3"/>
  <c r="F133" i="3"/>
  <c r="G138" i="3" s="1"/>
  <c r="F116" i="3"/>
  <c r="G121" i="3" s="1"/>
  <c r="F118" i="3"/>
  <c r="F117" i="3" l="1"/>
  <c r="F134" i="3"/>
</calcChain>
</file>

<file path=xl/sharedStrings.xml><?xml version="1.0" encoding="utf-8"?>
<sst xmlns="http://schemas.openxmlformats.org/spreadsheetml/2006/main" count="256" uniqueCount="123">
  <si>
    <t>HPLC System Suitability Report</t>
  </si>
  <si>
    <t>Analysis Data</t>
  </si>
  <si>
    <t>Assay</t>
  </si>
  <si>
    <t>Sample(s)</t>
  </si>
  <si>
    <t>Reference Substance:</t>
  </si>
  <si>
    <t>ZINNAT 250MG</t>
  </si>
  <si>
    <t>% age Purity:</t>
  </si>
  <si>
    <t>NDQA201509331</t>
  </si>
  <si>
    <t>Weight (mg):</t>
  </si>
  <si>
    <t xml:space="preserve">Cefuroxime </t>
  </si>
  <si>
    <t>Standard Conc (mg/mL):</t>
  </si>
  <si>
    <t>Each tablet contains 250mg Cefuroxime as Cefuroxime axetil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</si>
  <si>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</si>
  <si>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</si>
  <si>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</si>
  <si>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</si>
  <si>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</si>
  <si>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</si>
  <si>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</si>
  <si>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</si>
  <si>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</si>
  <si>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</si>
  <si>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</si>
  <si>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</si>
  <si>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</si>
  <si>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</si>
  <si>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</si>
  <si>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</si>
  <si>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</si>
  <si>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</si>
  <si>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</si>
  <si>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</si>
  <si>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</si>
  <si>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</si>
  <si>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</si>
  <si>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</si>
  <si>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</si>
  <si>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</si>
  <si>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</si>
  <si>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</si>
  <si>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</si>
  <si>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</si>
  <si>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</si>
  <si>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</si>
  <si>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</si>
  <si>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</si>
  <si>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</si>
  <si>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</si>
  <si>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</si>
  <si>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</si>
  <si>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</si>
  <si>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</si>
  <si>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</si>
  <si>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</si>
  <si>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</si>
  <si>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</si>
  <si>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   Standard dilution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</si>
  <si>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</si>
  <si>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</si>
  <si>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</si>
  <si>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</si>
  <si>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</si>
  <si>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</si>
  <si>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</si>
  <si>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</si>
  <si>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</si>
  <si>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</si>
  <si>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</si>
  <si>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</si>
  <si>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</si>
  <si>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</si>
  <si>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</si>
  <si>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</si>
  <si>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</si>
  <si>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</si>
  <si>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</si>
  <si>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</si>
  <si>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</si>
  <si>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</si>
  <si>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</si>
  <si>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</si>
  <si>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</si>
  <si>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</si>
  <si>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</si>
  <si>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</si>
  <si>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</si>
  <si>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   Sample dilution</t>
  </si>
  <si>
    <t>Powder Weight (mg)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</si>
  <si>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</si>
  <si>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</si>
  <si>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</si>
  <si>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</si>
  <si>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</si>
  <si>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</si>
  <si>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</si>
  <si>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</si>
  <si>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</si>
  <si>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</si>
  <si>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</si>
  <si>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</si>
  <si>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</si>
  <si>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</si>
  <si>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</si>
  <si>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</si>
  <si>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</t>
  </si>
  <si>
    <t xml:space="preserve">The amount  of </t>
  </si>
  <si>
    <t xml:space="preserve">in the sample as a percentage of the stated  label claim is </t>
  </si>
  <si>
    <t>Analysis Data:</t>
  </si>
  <si>
    <t>Determination of Active Ingredient Dissolved after</t>
  </si>
  <si>
    <t>Average Normalised Peak Area:</t>
  </si>
  <si>
    <t>Medium Volume (mL):</t>
  </si>
  <si>
    <t>tablet No.</t>
  </si>
  <si>
    <t>Amt Released (mg):</t>
  </si>
  <si>
    <t>%age Released:</t>
  </si>
  <si>
    <t xml:space="preserve">dissolved as a percentage of the stated  label claim is </t>
  </si>
  <si>
    <t>Cefuroxime axetil</t>
  </si>
  <si>
    <t>WRS/C66-1</t>
  </si>
  <si>
    <t>15 mins</t>
  </si>
  <si>
    <t>45mins</t>
  </si>
  <si>
    <t>18th Jan 2016</t>
  </si>
  <si>
    <t>8th Feb 2016</t>
  </si>
  <si>
    <t>ISOMER B</t>
  </si>
  <si>
    <t>JOYFRIDA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</si>
</sst>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"/>
    <numFmt numFmtId="165" formatCode="0.0%"/>
    <numFmt numFmtId="166" formatCode="0.0000"/>
    <numFmt numFmtId="167" formatCode="[$-409]d/mmm/yy;@"/>
    <numFmt numFmtId="168" formatCode="dd\-mmm\-yy"/>
    <numFmt numFmtId="169" formatCode="0.0000\ &quot;mg&quot;"/>
    <numFmt numFmtId="170" formatCode="0.000"/>
  </numFmts>
  <fonts count="3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u/>
      <sz val="20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i/>
      <sz val="12"/>
      <color rgb="FF000000"/>
      <name val="Book Antiqua"/>
    </font>
    <font>
      <vertAlign val="superscript"/>
      <sz val="14"/>
      <color rgb="FF000000"/>
      <name val="Book Antiqua"/>
    </font>
    <font>
      <b/>
      <sz val="16"/>
      <color rgb="FF000000"/>
      <name val="Book Antiqua"/>
      <family val="1"/>
    </font>
    <font>
      <sz val="16"/>
      <color rgb="FF000000"/>
      <name val="Book Antiqua"/>
      <family val="1"/>
    </font>
    <font>
      <b/>
      <sz val="2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6"/>
      <color rgb="FFFF0000"/>
      <name val="Book Antiqua"/>
      <family val="1"/>
    </font>
    <font>
      <b/>
      <sz val="10"/>
      <color rgb="FF000000"/>
      <name val="Book Antiqua"/>
      <family val="1"/>
    </font>
    <font>
      <sz val="11"/>
      <color rgb="FF000000"/>
      <name val="Book Antiqua"/>
      <family val="1"/>
    </font>
    <font>
      <b/>
      <u/>
      <sz val="12"/>
      <color rgb="FF000000"/>
      <name val="Book Antiqua"/>
      <family val="1"/>
    </font>
    <font>
      <sz val="10"/>
      <color rgb="FF000000"/>
      <name val="Book Antiqua"/>
      <family val="1"/>
    </font>
    <font>
      <sz val="12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7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8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9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3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68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1" fillId="2" borderId="0" xfId="0" applyFont="1" applyFill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 applyAlignment="1">
      <alignment horizontal="center"/>
    </xf>
    <xf numFmtId="0" fontId="12" fillId="2" borderId="0" xfId="0" applyFont="1" applyFill="1" applyAlignment="1">
      <alignment vertical="center" wrapText="1"/>
    </xf>
    <xf numFmtId="0" fontId="13" fillId="2" borderId="0" xfId="0" applyFont="1" applyFill="1"/>
    <xf numFmtId="0" fontId="14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vertical="center" wrapText="1"/>
    </xf>
    <xf numFmtId="0" fontId="15" fillId="2" borderId="0" xfId="0" applyFont="1" applyFill="1"/>
    <xf numFmtId="0" fontId="16" fillId="2" borderId="0" xfId="0" applyFont="1" applyFill="1" applyAlignment="1">
      <alignment horizontal="left" vertical="center" wrapText="1"/>
    </xf>
    <xf numFmtId="169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0" fillId="2" borderId="22" xfId="0" applyFont="1" applyFill="1" applyBorder="1" applyAlignment="1">
      <alignment horizontal="right"/>
    </xf>
    <xf numFmtId="0" fontId="10" fillId="2" borderId="23" xfId="0" applyFont="1" applyFill="1" applyBorder="1" applyAlignment="1">
      <alignment horizontal="center"/>
    </xf>
    <xf numFmtId="0" fontId="11" fillId="2" borderId="24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0" fillId="2" borderId="27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0" xfId="0" applyFont="1" applyFill="1"/>
    <xf numFmtId="0" fontId="10" fillId="2" borderId="28" xfId="0" applyFont="1" applyFill="1" applyBorder="1" applyAlignment="1">
      <alignment horizontal="center"/>
    </xf>
    <xf numFmtId="0" fontId="10" fillId="2" borderId="29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right"/>
    </xf>
    <xf numFmtId="2" fontId="10" fillId="6" borderId="32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32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0" fillId="6" borderId="17" xfId="0" applyNumberFormat="1" applyFont="1" applyFill="1" applyBorder="1" applyAlignment="1">
      <alignment horizontal="center"/>
    </xf>
    <xf numFmtId="0" fontId="10" fillId="2" borderId="32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0" fillId="2" borderId="33" xfId="0" applyFont="1" applyFill="1" applyBorder="1" applyAlignment="1">
      <alignment horizontal="right"/>
    </xf>
    <xf numFmtId="170" fontId="10" fillId="2" borderId="0" xfId="0" applyNumberFormat="1" applyFont="1" applyFill="1" applyAlignment="1">
      <alignment horizontal="center"/>
    </xf>
    <xf numFmtId="10" fontId="10" fillId="6" borderId="32" xfId="0" applyNumberFormat="1" applyFont="1" applyFill="1" applyBorder="1" applyAlignment="1">
      <alignment horizontal="center"/>
    </xf>
    <xf numFmtId="0" fontId="10" fillId="7" borderId="17" xfId="0" applyFont="1" applyFill="1" applyBorder="1" applyAlignment="1">
      <alignment horizontal="center"/>
    </xf>
    <xf numFmtId="0" fontId="11" fillId="2" borderId="0" xfId="0" applyFont="1" applyFill="1" applyAlignment="1">
      <alignment horizontal="left"/>
    </xf>
    <xf numFmtId="0" fontId="11" fillId="2" borderId="13" xfId="0" applyFont="1" applyFill="1" applyBorder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2" fontId="10" fillId="2" borderId="0" xfId="0" applyNumberFormat="1" applyFont="1" applyFill="1" applyAlignment="1">
      <alignment horizontal="center"/>
    </xf>
    <xf numFmtId="0" fontId="10" fillId="2" borderId="0" xfId="0" applyFont="1" applyFill="1"/>
    <xf numFmtId="170" fontId="11" fillId="6" borderId="3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10" fontId="11" fillId="6" borderId="32" xfId="0" applyNumberFormat="1" applyFont="1" applyFill="1" applyBorder="1" applyAlignment="1">
      <alignment horizontal="center"/>
    </xf>
    <xf numFmtId="10" fontId="10" fillId="2" borderId="0" xfId="0" applyNumberFormat="1" applyFont="1" applyFill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35" xfId="0" applyFont="1" applyFill="1" applyBorder="1" applyAlignment="1">
      <alignment horizontal="center"/>
    </xf>
    <xf numFmtId="0" fontId="11" fillId="2" borderId="36" xfId="0" applyFont="1" applyFill="1" applyBorder="1" applyAlignment="1">
      <alignment horizontal="center"/>
    </xf>
    <xf numFmtId="0" fontId="11" fillId="2" borderId="37" xfId="0" applyFont="1" applyFill="1" applyBorder="1"/>
    <xf numFmtId="0" fontId="11" fillId="2" borderId="24" xfId="0" applyFont="1" applyFill="1" applyBorder="1" applyAlignment="1">
      <alignment horizontal="center" wrapText="1"/>
    </xf>
    <xf numFmtId="2" fontId="10" fillId="2" borderId="38" xfId="0" applyNumberFormat="1" applyFont="1" applyFill="1" applyBorder="1" applyAlignment="1">
      <alignment horizontal="center"/>
    </xf>
    <xf numFmtId="10" fontId="10" fillId="2" borderId="26" xfId="0" applyNumberFormat="1" applyFont="1" applyFill="1" applyBorder="1" applyAlignment="1">
      <alignment horizontal="center"/>
    </xf>
    <xf numFmtId="2" fontId="10" fillId="2" borderId="39" xfId="0" applyNumberFormat="1" applyFont="1" applyFill="1" applyBorder="1" applyAlignment="1">
      <alignment horizontal="center"/>
    </xf>
    <xf numFmtId="2" fontId="10" fillId="2" borderId="40" xfId="0" applyNumberFormat="1" applyFont="1" applyFill="1" applyBorder="1" applyAlignment="1">
      <alignment horizontal="center"/>
    </xf>
    <xf numFmtId="2" fontId="10" fillId="2" borderId="2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70" fontId="10" fillId="2" borderId="2" xfId="0" applyNumberFormat="1" applyFont="1" applyFill="1" applyBorder="1" applyAlignment="1">
      <alignment horizontal="right"/>
    </xf>
    <xf numFmtId="0" fontId="10" fillId="2" borderId="22" xfId="0" applyFont="1" applyFill="1" applyBorder="1"/>
    <xf numFmtId="0" fontId="10" fillId="2" borderId="6" xfId="0" applyFont="1" applyFill="1" applyBorder="1"/>
    <xf numFmtId="0" fontId="10" fillId="2" borderId="0" xfId="0" applyFont="1" applyFill="1" applyAlignment="1">
      <alignment horizontal="right"/>
    </xf>
    <xf numFmtId="0" fontId="10" fillId="2" borderId="41" xfId="0" applyFont="1" applyFill="1" applyBorder="1"/>
    <xf numFmtId="0" fontId="10" fillId="2" borderId="42" xfId="0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2" borderId="44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1" fillId="2" borderId="35" xfId="0" applyFont="1" applyFill="1" applyBorder="1" applyAlignment="1">
      <alignment horizontal="center"/>
    </xf>
    <xf numFmtId="0" fontId="11" fillId="2" borderId="46" xfId="0" applyFont="1" applyFill="1" applyBorder="1" applyAlignment="1">
      <alignment horizontal="center"/>
    </xf>
    <xf numFmtId="2" fontId="10" fillId="2" borderId="21" xfId="0" applyNumberFormat="1" applyFont="1" applyFill="1" applyBorder="1" applyAlignment="1">
      <alignment horizontal="center"/>
    </xf>
    <xf numFmtId="2" fontId="10" fillId="2" borderId="22" xfId="0" applyNumberFormat="1" applyFont="1" applyFill="1" applyBorder="1" applyAlignment="1">
      <alignment horizontal="center"/>
    </xf>
    <xf numFmtId="10" fontId="10" fillId="2" borderId="13" xfId="0" applyNumberFormat="1" applyFont="1" applyFill="1" applyBorder="1" applyAlignment="1">
      <alignment horizontal="center" vertical="center"/>
    </xf>
    <xf numFmtId="10" fontId="10" fillId="2" borderId="14" xfId="0" applyNumberFormat="1" applyFont="1" applyFill="1" applyBorder="1" applyAlignment="1">
      <alignment horizontal="center" vertical="center"/>
    </xf>
    <xf numFmtId="10" fontId="10" fillId="2" borderId="15" xfId="0" applyNumberFormat="1" applyFont="1" applyFill="1" applyBorder="1" applyAlignment="1">
      <alignment horizontal="center" vertical="center"/>
    </xf>
    <xf numFmtId="10" fontId="10" fillId="2" borderId="47" xfId="0" applyNumberFormat="1" applyFont="1" applyFill="1" applyBorder="1" applyAlignment="1">
      <alignment horizontal="center"/>
    </xf>
    <xf numFmtId="10" fontId="10" fillId="2" borderId="48" xfId="0" applyNumberFormat="1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1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168" fontId="10" fillId="3" borderId="0" xfId="0" applyNumberFormat="1" applyFont="1" applyFill="1" applyAlignment="1" applyProtection="1">
      <alignment horizontal="left"/>
      <protection locked="0"/>
    </xf>
    <xf numFmtId="170" fontId="10" fillId="2" borderId="38" xfId="0" applyNumberFormat="1" applyFont="1" applyFill="1" applyBorder="1" applyAlignment="1">
      <alignment horizontal="center"/>
    </xf>
    <xf numFmtId="170" fontId="10" fillId="2" borderId="39" xfId="0" applyNumberFormat="1" applyFont="1" applyFill="1" applyBorder="1" applyAlignment="1">
      <alignment horizontal="center"/>
    </xf>
    <xf numFmtId="170" fontId="10" fillId="2" borderId="40" xfId="0" applyNumberFormat="1" applyFont="1" applyFill="1" applyBorder="1" applyAlignment="1">
      <alignment horizontal="center"/>
    </xf>
    <xf numFmtId="170" fontId="10" fillId="2" borderId="26" xfId="0" applyNumberFormat="1" applyFont="1" applyFill="1" applyBorder="1" applyAlignment="1">
      <alignment horizontal="center"/>
    </xf>
    <xf numFmtId="170" fontId="10" fillId="2" borderId="47" xfId="0" applyNumberFormat="1" applyFont="1" applyFill="1" applyBorder="1" applyAlignment="1">
      <alignment horizontal="center"/>
    </xf>
    <xf numFmtId="170" fontId="10" fillId="2" borderId="48" xfId="0" applyNumberFormat="1" applyFont="1" applyFill="1" applyBorder="1" applyAlignment="1">
      <alignment horizontal="center"/>
    </xf>
    <xf numFmtId="1" fontId="11" fillId="6" borderId="15" xfId="0" applyNumberFormat="1" applyFont="1" applyFill="1" applyBorder="1" applyAlignment="1">
      <alignment horizontal="center"/>
    </xf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7" xfId="0" applyFont="1" applyFill="1" applyBorder="1"/>
    <xf numFmtId="0" fontId="10" fillId="2" borderId="11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0" fontId="10" fillId="2" borderId="24" xfId="0" applyNumberFormat="1" applyFont="1" applyFill="1" applyBorder="1" applyAlignment="1">
      <alignment horizontal="center" vertical="center"/>
    </xf>
    <xf numFmtId="10" fontId="10" fillId="2" borderId="23" xfId="0" applyNumberFormat="1" applyFont="1" applyFill="1" applyBorder="1" applyAlignment="1">
      <alignment horizontal="center" vertical="center"/>
    </xf>
    <xf numFmtId="10" fontId="10" fillId="2" borderId="49" xfId="0" applyNumberFormat="1" applyFont="1" applyFill="1" applyBorder="1" applyAlignment="1">
      <alignment horizontal="center" vertical="center"/>
    </xf>
    <xf numFmtId="2" fontId="10" fillId="2" borderId="13" xfId="0" applyNumberFormat="1" applyFont="1" applyFill="1" applyBorder="1" applyAlignment="1">
      <alignment horizontal="center"/>
    </xf>
    <xf numFmtId="2" fontId="10" fillId="2" borderId="14" xfId="0" applyNumberFormat="1" applyFont="1" applyFill="1" applyBorder="1" applyAlignment="1">
      <alignment horizontal="center"/>
    </xf>
    <xf numFmtId="2" fontId="10" fillId="2" borderId="15" xfId="0" applyNumberFormat="1" applyFont="1" applyFill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3" borderId="0" xfId="0" applyFont="1" applyFill="1" applyProtection="1">
      <protection locked="0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 applyAlignment="1">
      <alignment horizontal="center"/>
    </xf>
    <xf numFmtId="10" fontId="10" fillId="2" borderId="27" xfId="0" applyNumberFormat="1" applyFont="1" applyFill="1" applyBorder="1" applyAlignment="1">
      <alignment horizontal="center"/>
    </xf>
    <xf numFmtId="10" fontId="10" fillId="2" borderId="23" xfId="0" applyNumberFormat="1" applyFont="1" applyFill="1" applyBorder="1" applyAlignment="1">
      <alignment horizontal="center"/>
    </xf>
    <xf numFmtId="10" fontId="10" fillId="2" borderId="28" xfId="0" applyNumberFormat="1" applyFont="1" applyFill="1" applyBorder="1" applyAlignment="1">
      <alignment horizontal="center"/>
    </xf>
    <xf numFmtId="2" fontId="10" fillId="2" borderId="4" xfId="0" applyNumberFormat="1" applyFont="1" applyFill="1" applyBorder="1" applyAlignment="1">
      <alignment horizontal="center"/>
    </xf>
    <xf numFmtId="2" fontId="10" fillId="2" borderId="3" xfId="0" applyNumberFormat="1" applyFont="1" applyFill="1" applyBorder="1" applyAlignment="1">
      <alignment horizontal="center"/>
    </xf>
    <xf numFmtId="2" fontId="10" fillId="2" borderId="5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0" fillId="2" borderId="25" xfId="0" applyFont="1" applyFill="1" applyBorder="1" applyAlignment="1">
      <alignment horizontal="right"/>
    </xf>
    <xf numFmtId="2" fontId="10" fillId="6" borderId="52" xfId="0" applyNumberFormat="1" applyFont="1" applyFill="1" applyBorder="1" applyAlignment="1">
      <alignment horizontal="center"/>
    </xf>
    <xf numFmtId="2" fontId="10" fillId="7" borderId="52" xfId="0" applyNumberFormat="1" applyFont="1" applyFill="1" applyBorder="1" applyAlignment="1">
      <alignment horizontal="center"/>
    </xf>
    <xf numFmtId="0" fontId="10" fillId="2" borderId="50" xfId="0" applyFont="1" applyFill="1" applyBorder="1" applyAlignment="1">
      <alignment horizontal="right"/>
    </xf>
    <xf numFmtId="2" fontId="10" fillId="7" borderId="26" xfId="0" applyNumberFormat="1" applyFont="1" applyFill="1" applyBorder="1" applyAlignment="1">
      <alignment horizontal="center"/>
    </xf>
    <xf numFmtId="0" fontId="10" fillId="2" borderId="16" xfId="0" applyFont="1" applyFill="1" applyBorder="1" applyAlignment="1">
      <alignment horizontal="right"/>
    </xf>
    <xf numFmtId="170" fontId="11" fillId="7" borderId="16" xfId="0" applyNumberFormat="1" applyFont="1" applyFill="1" applyBorder="1" applyAlignment="1">
      <alignment horizontal="center"/>
    </xf>
    <xf numFmtId="0" fontId="10" fillId="2" borderId="41" xfId="0" applyFont="1" applyFill="1" applyBorder="1" applyAlignment="1">
      <alignment horizontal="right"/>
    </xf>
    <xf numFmtId="2" fontId="10" fillId="7" borderId="52" xfId="0" applyNumberFormat="1" applyFont="1" applyFill="1" applyBorder="1" applyAlignment="1">
      <alignment horizontal="center"/>
    </xf>
    <xf numFmtId="2" fontId="10" fillId="7" borderId="26" xfId="0" applyNumberFormat="1" applyFont="1" applyFill="1" applyBorder="1" applyAlignment="1">
      <alignment horizontal="center"/>
    </xf>
    <xf numFmtId="0" fontId="10" fillId="2" borderId="7" xfId="0" applyFont="1" applyFill="1" applyBorder="1" applyProtection="1">
      <protection locked="0"/>
    </xf>
    <xf numFmtId="0" fontId="11" fillId="2" borderId="11" xfId="0" applyFont="1" applyFill="1" applyBorder="1" applyProtection="1">
      <protection locked="0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17" fillId="3" borderId="0" xfId="0" applyFont="1" applyFill="1" applyAlignment="1" applyProtection="1">
      <alignment horizontal="center"/>
      <protection locked="0"/>
    </xf>
    <xf numFmtId="0" fontId="17" fillId="3" borderId="0" xfId="0" applyFont="1" applyFill="1" applyAlignment="1" applyProtection="1">
      <alignment horizontal="center"/>
      <protection locked="0"/>
    </xf>
    <xf numFmtId="0" fontId="17" fillId="3" borderId="24" xfId="0" applyFont="1" applyFill="1" applyBorder="1" applyAlignment="1" applyProtection="1">
      <alignment horizontal="center"/>
      <protection locked="0"/>
    </xf>
    <xf numFmtId="0" fontId="17" fillId="3" borderId="23" xfId="0" applyFont="1" applyFill="1" applyBorder="1" applyAlignment="1" applyProtection="1">
      <alignment horizontal="center"/>
      <protection locked="0"/>
    </xf>
    <xf numFmtId="0" fontId="17" fillId="3" borderId="54" xfId="0" applyFont="1" applyFill="1" applyBorder="1" applyAlignment="1" applyProtection="1">
      <alignment horizontal="center"/>
      <protection locked="0"/>
    </xf>
    <xf numFmtId="0" fontId="17" fillId="3" borderId="22" xfId="0" applyFont="1" applyFill="1" applyBorder="1" applyAlignment="1" applyProtection="1">
      <alignment horizontal="center"/>
      <protection locked="0"/>
    </xf>
    <xf numFmtId="0" fontId="17" fillId="3" borderId="29" xfId="0" applyFont="1" applyFill="1" applyBorder="1" applyAlignment="1" applyProtection="1">
      <alignment horizontal="center"/>
      <protection locked="0"/>
    </xf>
    <xf numFmtId="0" fontId="17" fillId="3" borderId="55" xfId="0" applyFont="1" applyFill="1" applyBorder="1" applyAlignment="1" applyProtection="1">
      <alignment horizontal="center"/>
      <protection locked="0"/>
    </xf>
    <xf numFmtId="0" fontId="17" fillId="3" borderId="16" xfId="0" applyFont="1" applyFill="1" applyBorder="1" applyAlignment="1" applyProtection="1">
      <alignment horizontal="center"/>
      <protection locked="0"/>
    </xf>
    <xf numFmtId="0" fontId="17" fillId="3" borderId="52" xfId="0" applyFont="1" applyFill="1" applyBorder="1" applyAlignment="1" applyProtection="1">
      <alignment horizontal="center"/>
      <protection locked="0"/>
    </xf>
    <xf numFmtId="2" fontId="18" fillId="2" borderId="49" xfId="0" applyNumberFormat="1" applyFont="1" applyFill="1" applyBorder="1" applyAlignment="1">
      <alignment horizontal="center"/>
    </xf>
    <xf numFmtId="0" fontId="17" fillId="3" borderId="21" xfId="0" applyFont="1" applyFill="1" applyBorder="1" applyAlignment="1" applyProtection="1">
      <alignment horizontal="center"/>
      <protection locked="0"/>
    </xf>
    <xf numFmtId="0" fontId="17" fillId="3" borderId="41" xfId="0" applyFont="1" applyFill="1" applyBorder="1" applyAlignment="1" applyProtection="1">
      <alignment horizontal="center"/>
      <protection locked="0"/>
    </xf>
    <xf numFmtId="10" fontId="17" fillId="7" borderId="28" xfId="0" applyNumberFormat="1" applyFont="1" applyFill="1" applyBorder="1" applyAlignment="1">
      <alignment horizontal="center"/>
    </xf>
    <xf numFmtId="10" fontId="17" fillId="6" borderId="56" xfId="0" applyNumberFormat="1" applyFont="1" applyFill="1" applyBorder="1" applyAlignment="1">
      <alignment horizontal="center"/>
    </xf>
    <xf numFmtId="0" fontId="17" fillId="7" borderId="57" xfId="0" applyFont="1" applyFill="1" applyBorder="1" applyAlignment="1">
      <alignment horizontal="center"/>
    </xf>
    <xf numFmtId="170" fontId="17" fillId="3" borderId="29" xfId="0" applyNumberFormat="1" applyFont="1" applyFill="1" applyBorder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center"/>
      <protection locked="0"/>
    </xf>
    <xf numFmtId="10" fontId="17" fillId="7" borderId="52" xfId="0" applyNumberFormat="1" applyFont="1" applyFill="1" applyBorder="1" applyAlignment="1">
      <alignment horizontal="center"/>
    </xf>
    <xf numFmtId="10" fontId="17" fillId="6" borderId="52" xfId="0" applyNumberFormat="1" applyFont="1" applyFill="1" applyBorder="1" applyAlignment="1">
      <alignment horizontal="center"/>
    </xf>
    <xf numFmtId="0" fontId="17" fillId="7" borderId="17" xfId="0" applyFont="1" applyFill="1" applyBorder="1" applyAlignment="1">
      <alignment horizontal="center"/>
    </xf>
    <xf numFmtId="165" fontId="17" fillId="2" borderId="0" xfId="0" applyNumberFormat="1" applyFont="1" applyFill="1" applyAlignment="1">
      <alignment horizontal="center"/>
    </xf>
    <xf numFmtId="0" fontId="10" fillId="2" borderId="23" xfId="0" applyFont="1" applyFill="1" applyBorder="1" applyAlignment="1" applyProtection="1">
      <alignment horizontal="center"/>
      <protection locked="0"/>
    </xf>
    <xf numFmtId="0" fontId="10" fillId="2" borderId="0" xfId="0" applyFont="1" applyFill="1" applyProtection="1"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0" fontId="24" fillId="3" borderId="0" xfId="0" applyFont="1" applyFill="1" applyAlignment="1" applyProtection="1">
      <alignment horizontal="center"/>
      <protection locked="0"/>
    </xf>
    <xf numFmtId="0" fontId="25" fillId="2" borderId="0" xfId="0" applyFont="1" applyFill="1"/>
    <xf numFmtId="0" fontId="26" fillId="3" borderId="54" xfId="0" applyFont="1" applyFill="1" applyBorder="1" applyAlignment="1" applyProtection="1">
      <alignment horizontal="center"/>
      <protection locked="0"/>
    </xf>
    <xf numFmtId="170" fontId="27" fillId="2" borderId="26" xfId="0" applyNumberFormat="1" applyFont="1" applyFill="1" applyBorder="1" applyAlignment="1">
      <alignment horizontal="center"/>
    </xf>
    <xf numFmtId="0" fontId="26" fillId="3" borderId="22" xfId="0" applyFont="1" applyFill="1" applyBorder="1" applyAlignment="1" applyProtection="1">
      <alignment horizontal="center"/>
      <protection locked="0"/>
    </xf>
    <xf numFmtId="0" fontId="26" fillId="3" borderId="29" xfId="0" applyFont="1" applyFill="1" applyBorder="1" applyAlignment="1" applyProtection="1">
      <alignment horizontal="center"/>
      <protection locked="0"/>
    </xf>
    <xf numFmtId="170" fontId="27" fillId="2" borderId="48" xfId="0" applyNumberFormat="1" applyFont="1" applyFill="1" applyBorder="1" applyAlignment="1">
      <alignment horizontal="center"/>
    </xf>
    <xf numFmtId="1" fontId="28" fillId="6" borderId="30" xfId="0" applyNumberFormat="1" applyFont="1" applyFill="1" applyBorder="1" applyAlignment="1">
      <alignment horizontal="center"/>
    </xf>
    <xf numFmtId="170" fontId="28" fillId="6" borderId="31" xfId="0" applyNumberFormat="1" applyFont="1" applyFill="1" applyBorder="1" applyAlignment="1">
      <alignment horizontal="center"/>
    </xf>
    <xf numFmtId="0" fontId="27" fillId="2" borderId="0" xfId="0" applyFont="1" applyFill="1"/>
    <xf numFmtId="0" fontId="26" fillId="3" borderId="16" xfId="0" applyFont="1" applyFill="1" applyBorder="1" applyAlignment="1" applyProtection="1">
      <alignment horizontal="center"/>
      <protection locked="0"/>
    </xf>
    <xf numFmtId="2" fontId="26" fillId="3" borderId="0" xfId="0" applyNumberFormat="1" applyFont="1" applyFill="1" applyAlignment="1" applyProtection="1">
      <alignment horizontal="center"/>
      <protection locked="0"/>
    </xf>
    <xf numFmtId="166" fontId="17" fillId="3" borderId="54" xfId="0" applyNumberFormat="1" applyFont="1" applyFill="1" applyBorder="1" applyAlignment="1" applyProtection="1">
      <alignment horizontal="center"/>
      <protection locked="0"/>
    </xf>
    <xf numFmtId="166" fontId="17" fillId="3" borderId="22" xfId="0" applyNumberFormat="1" applyFont="1" applyFill="1" applyBorder="1" applyAlignment="1" applyProtection="1">
      <alignment horizontal="center"/>
      <protection locked="0"/>
    </xf>
    <xf numFmtId="166" fontId="17" fillId="3" borderId="39" xfId="0" applyNumberFormat="1" applyFont="1" applyFill="1" applyBorder="1" applyAlignment="1" applyProtection="1">
      <alignment horizontal="center"/>
      <protection locked="0"/>
    </xf>
    <xf numFmtId="166" fontId="17" fillId="3" borderId="40" xfId="0" applyNumberFormat="1" applyFont="1" applyFill="1" applyBorder="1" applyAlignment="1" applyProtection="1">
      <alignment horizontal="center"/>
      <protection locked="0"/>
    </xf>
    <xf numFmtId="166" fontId="18" fillId="3" borderId="39" xfId="0" applyNumberFormat="1" applyFont="1" applyFill="1" applyBorder="1" applyAlignment="1" applyProtection="1">
      <alignment horizontal="center"/>
      <protection locked="0"/>
    </xf>
    <xf numFmtId="166" fontId="18" fillId="3" borderId="40" xfId="0" applyNumberFormat="1" applyFont="1" applyFill="1" applyBorder="1" applyAlignment="1" applyProtection="1">
      <alignment horizontal="center"/>
      <protection locked="0"/>
    </xf>
    <xf numFmtId="0" fontId="26" fillId="3" borderId="24" xfId="0" applyFont="1" applyFill="1" applyBorder="1" applyAlignment="1" applyProtection="1">
      <alignment horizontal="center"/>
      <protection locked="0"/>
    </xf>
    <xf numFmtId="0" fontId="26" fillId="3" borderId="23" xfId="0" applyFont="1" applyFill="1" applyBorder="1" applyAlignment="1" applyProtection="1">
      <alignment horizontal="center"/>
      <protection locked="0"/>
    </xf>
    <xf numFmtId="0" fontId="29" fillId="2" borderId="0" xfId="0" applyFont="1" applyFill="1"/>
    <xf numFmtId="2" fontId="26" fillId="3" borderId="55" xfId="0" applyNumberFormat="1" applyFont="1" applyFill="1" applyBorder="1" applyAlignment="1" applyProtection="1">
      <alignment horizontal="center"/>
      <protection locked="0"/>
    </xf>
    <xf numFmtId="0" fontId="27" fillId="2" borderId="0" xfId="0" applyFont="1" applyFill="1" applyAlignment="1" applyProtection="1">
      <alignment horizontal="center"/>
      <protection locked="0"/>
    </xf>
    <xf numFmtId="0" fontId="31" fillId="3" borderId="3" xfId="0" applyFont="1" applyFill="1" applyBorder="1" applyAlignment="1" applyProtection="1">
      <alignment horizontal="center"/>
      <protection locked="0"/>
    </xf>
    <xf numFmtId="2" fontId="31" fillId="3" borderId="3" xfId="0" applyNumberFormat="1" applyFont="1" applyFill="1" applyBorder="1" applyAlignment="1" applyProtection="1">
      <alignment horizontal="center"/>
      <protection locked="0"/>
    </xf>
    <xf numFmtId="2" fontId="31" fillId="3" borderId="4" xfId="0" applyNumberFormat="1" applyFont="1" applyFill="1" applyBorder="1" applyAlignment="1" applyProtection="1">
      <alignment horizontal="center"/>
      <protection locked="0"/>
    </xf>
    <xf numFmtId="0" fontId="31" fillId="3" borderId="5" xfId="0" applyFont="1" applyFill="1" applyBorder="1" applyAlignment="1" applyProtection="1">
      <alignment horizontal="center"/>
      <protection locked="0"/>
    </xf>
    <xf numFmtId="2" fontId="31" fillId="3" borderId="5" xfId="0" applyNumberFormat="1" applyFont="1" applyFill="1" applyBorder="1" applyAlignment="1" applyProtection="1">
      <alignment horizontal="center"/>
      <protection locked="0"/>
    </xf>
    <xf numFmtId="166" fontId="30" fillId="2" borderId="0" xfId="0" applyNumberFormat="1" applyFont="1" applyFill="1" applyAlignment="1">
      <alignment horizontal="center"/>
    </xf>
    <xf numFmtId="0" fontId="32" fillId="2" borderId="0" xfId="0" applyFont="1" applyFill="1" applyAlignment="1">
      <alignment horizontal="left"/>
    </xf>
    <xf numFmtId="0" fontId="33" fillId="2" borderId="7" xfId="0" applyFont="1" applyFill="1" applyBorder="1"/>
    <xf numFmtId="0" fontId="34" fillId="2" borderId="7" xfId="0" applyFont="1" applyFill="1" applyBorder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8" xfId="0" applyFont="1" applyFill="1" applyBorder="1" applyAlignment="1">
      <alignment horizontal="center" wrapText="1"/>
    </xf>
    <xf numFmtId="0" fontId="9" fillId="2" borderId="19" xfId="0" applyFont="1" applyFill="1" applyBorder="1" applyAlignment="1">
      <alignment horizontal="center" wrapText="1"/>
    </xf>
    <xf numFmtId="0" fontId="9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2" fillId="2" borderId="18" xfId="0" applyFont="1" applyFill="1" applyBorder="1" applyAlignment="1">
      <alignment horizontal="center"/>
    </xf>
    <xf numFmtId="0" fontId="22" fillId="2" borderId="19" xfId="0" applyFont="1" applyFill="1" applyBorder="1" applyAlignment="1">
      <alignment horizontal="center"/>
    </xf>
    <xf numFmtId="0" fontId="22" fillId="2" borderId="20" xfId="0" applyFont="1" applyFill="1" applyBorder="1" applyAlignment="1">
      <alignment horizontal="center"/>
    </xf>
    <xf numFmtId="0" fontId="16" fillId="2" borderId="18" xfId="0" applyFont="1" applyFill="1" applyBorder="1" applyAlignment="1">
      <alignment horizontal="left" vertical="center" wrapText="1"/>
    </xf>
    <xf numFmtId="0" fontId="16" fillId="2" borderId="19" xfId="0" applyFont="1" applyFill="1" applyBorder="1" applyAlignment="1">
      <alignment horizontal="left" vertical="center" wrapText="1"/>
    </xf>
    <xf numFmtId="0" fontId="16" fillId="2" borderId="20" xfId="0" applyFont="1" applyFill="1" applyBorder="1" applyAlignment="1">
      <alignment horizontal="left" vertical="center" wrapText="1"/>
    </xf>
    <xf numFmtId="0" fontId="17" fillId="3" borderId="0" xfId="0" applyFont="1" applyFill="1" applyAlignment="1" applyProtection="1">
      <alignment horizontal="left"/>
      <protection locked="0"/>
    </xf>
    <xf numFmtId="0" fontId="2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11" fillId="2" borderId="35" xfId="0" applyFont="1" applyFill="1" applyBorder="1" applyAlignment="1">
      <alignment horizontal="center"/>
    </xf>
    <xf numFmtId="0" fontId="11" fillId="2" borderId="58" xfId="0" applyFont="1" applyFill="1" applyBorder="1" applyAlignment="1">
      <alignment horizontal="center"/>
    </xf>
    <xf numFmtId="0" fontId="16" fillId="2" borderId="21" xfId="0" applyFont="1" applyFill="1" applyBorder="1" applyAlignment="1">
      <alignment horizontal="left" vertical="center" wrapText="1"/>
    </xf>
    <xf numFmtId="0" fontId="16" fillId="2" borderId="10" xfId="0" applyFont="1" applyFill="1" applyBorder="1" applyAlignment="1">
      <alignment horizontal="left" vertical="center" wrapText="1"/>
    </xf>
    <xf numFmtId="0" fontId="16" fillId="2" borderId="41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16" fillId="2" borderId="24" xfId="0" applyFont="1" applyFill="1" applyBorder="1" applyAlignment="1">
      <alignment horizontal="left" vertical="center" wrapText="1"/>
    </xf>
    <xf numFmtId="0" fontId="16" fillId="2" borderId="49" xfId="0" applyFont="1" applyFill="1" applyBorder="1" applyAlignment="1">
      <alignment horizontal="left" vertical="center" wrapText="1"/>
    </xf>
    <xf numFmtId="0" fontId="16" fillId="2" borderId="18" xfId="0" applyFont="1" applyFill="1" applyBorder="1" applyAlignment="1">
      <alignment horizontal="justify" vertical="center" wrapText="1"/>
    </xf>
    <xf numFmtId="0" fontId="16" fillId="2" borderId="19" xfId="0" applyFont="1" applyFill="1" applyBorder="1" applyAlignment="1">
      <alignment horizontal="justify" vertical="center" wrapText="1"/>
    </xf>
    <xf numFmtId="0" fontId="16" fillId="2" borderId="20" xfId="0" applyFont="1" applyFill="1" applyBorder="1" applyAlignment="1">
      <alignment horizontal="justify" vertical="center" wrapText="1"/>
    </xf>
    <xf numFmtId="0" fontId="16" fillId="2" borderId="21" xfId="0" applyFont="1" applyFill="1" applyBorder="1" applyAlignment="1">
      <alignment horizontal="center" vertical="center" wrapText="1"/>
    </xf>
    <xf numFmtId="0" fontId="16" fillId="2" borderId="24" xfId="0" applyFont="1" applyFill="1" applyBorder="1" applyAlignment="1">
      <alignment horizontal="center" vertical="center" wrapText="1"/>
    </xf>
    <xf numFmtId="0" fontId="16" fillId="2" borderId="41" xfId="0" applyFont="1" applyFill="1" applyBorder="1" applyAlignment="1">
      <alignment horizontal="center" vertical="center" wrapText="1"/>
    </xf>
    <xf numFmtId="0" fontId="16" fillId="2" borderId="49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1" fillId="2" borderId="41" xfId="0" applyFont="1" applyFill="1" applyBorder="1" applyAlignment="1">
      <alignment horizontal="center" vertical="center"/>
    </xf>
    <xf numFmtId="2" fontId="17" fillId="3" borderId="13" xfId="0" applyNumberFormat="1" applyFont="1" applyFill="1" applyBorder="1" applyAlignment="1" applyProtection="1">
      <alignment horizontal="center" vertical="center"/>
      <protection locked="0"/>
    </xf>
    <xf numFmtId="2" fontId="17" fillId="3" borderId="14" xfId="0" applyNumberFormat="1" applyFont="1" applyFill="1" applyBorder="1" applyAlignment="1" applyProtection="1">
      <alignment horizontal="center" vertical="center"/>
      <protection locked="0"/>
    </xf>
    <xf numFmtId="2" fontId="17" fillId="3" borderId="15" xfId="0" applyNumberFormat="1" applyFont="1" applyFill="1" applyBorder="1" applyAlignment="1" applyProtection="1">
      <alignment horizontal="center" vertical="center"/>
      <protection locked="0"/>
    </xf>
    <xf numFmtId="0" fontId="11" fillId="2" borderId="46" xfId="0" applyFont="1" applyFill="1" applyBorder="1" applyAlignment="1">
      <alignment horizontal="center"/>
    </xf>
    <xf numFmtId="166" fontId="11" fillId="6" borderId="53" xfId="0" applyNumberFormat="1" applyFont="1" applyFill="1" applyBorder="1" applyAlignment="1">
      <alignment horizontal="center"/>
    </xf>
    <xf numFmtId="166" fontId="11" fillId="6" borderId="45" xfId="0" applyNumberFormat="1" applyFont="1" applyFill="1" applyBorder="1" applyAlignment="1">
      <alignment horizontal="center"/>
    </xf>
  </cellXfs>
  <cellStyles count="1">
    <cellStyle name="Normal" xfId="0" builtinId="0"/>
  </cellStyles>
  <dxfs count="21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9" workbookViewId="0">
      <selection activeCell="D16" sqref="D16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93" t="s">
        <v>0</v>
      </c>
      <c r="B15" s="293"/>
      <c r="C15" s="293"/>
      <c r="D15" s="293"/>
      <c r="E15" s="293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C17" s="10"/>
      <c r="D17" s="9"/>
      <c r="E17" s="10"/>
    </row>
    <row r="18" spans="1:6" ht="16.5" customHeight="1" x14ac:dyDescent="0.3">
      <c r="A18" s="11" t="s">
        <v>4</v>
      </c>
      <c r="B18" s="12" t="str">
        <f>'Cefuroxime Axetil'!B26:C26</f>
        <v>Cefuroxime axetil</v>
      </c>
      <c r="C18" s="10"/>
      <c r="D18" s="10"/>
      <c r="E18" s="10"/>
    </row>
    <row r="19" spans="1:6" ht="16.5" customHeight="1" x14ac:dyDescent="0.3">
      <c r="A19" s="11" t="s">
        <v>6</v>
      </c>
      <c r="B19" s="12">
        <f>'Cefuroxime Axetil'!B28</f>
        <v>96.5</v>
      </c>
      <c r="C19" s="10"/>
      <c r="D19" s="10"/>
      <c r="E19" s="10"/>
    </row>
    <row r="20" spans="1:6" ht="16.5" customHeight="1" x14ac:dyDescent="0.3">
      <c r="A20" s="7" t="s">
        <v>8</v>
      </c>
      <c r="B20" s="13">
        <f>'Cefuroxime Axetil'!D43</f>
        <v>28.32</v>
      </c>
      <c r="C20" s="10"/>
      <c r="D20" s="10"/>
      <c r="E20" s="10"/>
    </row>
    <row r="21" spans="1:6" ht="16.5" customHeight="1" x14ac:dyDescent="0.3">
      <c r="A21" s="7" t="s">
        <v>10</v>
      </c>
      <c r="B21" s="289">
        <f>'Cefuroxime Axetil'!D46</f>
        <v>0.22720160081493521</v>
      </c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284">
        <v>31445676</v>
      </c>
      <c r="C24" s="285">
        <v>6004.12</v>
      </c>
      <c r="D24" s="285">
        <v>1.29</v>
      </c>
      <c r="E24" s="286">
        <v>13.1</v>
      </c>
    </row>
    <row r="25" spans="1:6" ht="16.5" customHeight="1" x14ac:dyDescent="0.3">
      <c r="A25" s="17">
        <v>2</v>
      </c>
      <c r="B25" s="284">
        <v>31416311</v>
      </c>
      <c r="C25" s="285">
        <v>6008.87</v>
      </c>
      <c r="D25" s="285">
        <v>1.3</v>
      </c>
      <c r="E25" s="285">
        <v>13.1</v>
      </c>
    </row>
    <row r="26" spans="1:6" ht="16.5" customHeight="1" x14ac:dyDescent="0.3">
      <c r="A26" s="17">
        <v>3</v>
      </c>
      <c r="B26" s="284">
        <v>31369709</v>
      </c>
      <c r="C26" s="285">
        <v>6047.14</v>
      </c>
      <c r="D26" s="285">
        <v>1.31</v>
      </c>
      <c r="E26" s="285">
        <v>13.1</v>
      </c>
    </row>
    <row r="27" spans="1:6" ht="16.5" customHeight="1" x14ac:dyDescent="0.3">
      <c r="A27" s="17">
        <v>4</v>
      </c>
      <c r="B27" s="284">
        <v>31408353</v>
      </c>
      <c r="C27" s="285">
        <v>6036.2</v>
      </c>
      <c r="D27" s="285">
        <v>1.3</v>
      </c>
      <c r="E27" s="285">
        <v>13.11</v>
      </c>
    </row>
    <row r="28" spans="1:6" ht="16.5" customHeight="1" x14ac:dyDescent="0.3">
      <c r="A28" s="17">
        <v>5</v>
      </c>
      <c r="B28" s="284">
        <v>31241363</v>
      </c>
      <c r="C28" s="285">
        <v>6071.03</v>
      </c>
      <c r="D28" s="285">
        <v>1.3</v>
      </c>
      <c r="E28" s="285">
        <v>13.11</v>
      </c>
    </row>
    <row r="29" spans="1:6" ht="16.5" customHeight="1" x14ac:dyDescent="0.3">
      <c r="A29" s="17">
        <v>6</v>
      </c>
      <c r="B29" s="287">
        <v>31366576</v>
      </c>
      <c r="C29" s="288">
        <v>6224.85</v>
      </c>
      <c r="D29" s="288">
        <v>1.32</v>
      </c>
      <c r="E29" s="288">
        <v>13.12</v>
      </c>
    </row>
    <row r="30" spans="1:6" ht="16.5" customHeight="1" x14ac:dyDescent="0.3">
      <c r="A30" s="18" t="s">
        <v>17</v>
      </c>
      <c r="B30" s="19">
        <f>AVERAGE(B24:B29)</f>
        <v>31374664.666666668</v>
      </c>
      <c r="C30" s="20">
        <f>AVERAGE(C24:C29)</f>
        <v>6065.3683333333329</v>
      </c>
      <c r="D30" s="21">
        <f>AVERAGE(D24:D29)</f>
        <v>1.3033333333333335</v>
      </c>
      <c r="E30" s="21">
        <f>AVERAGE(E24:E29)</f>
        <v>13.106666666666667</v>
      </c>
    </row>
    <row r="31" spans="1:6" ht="16.5" customHeight="1" x14ac:dyDescent="0.3">
      <c r="A31" s="22" t="s">
        <v>18</v>
      </c>
      <c r="B31" s="23">
        <f>(STDEV(B24:B29)/B30)</f>
        <v>2.2882509202986298E-3</v>
      </c>
      <c r="C31" s="24"/>
      <c r="D31" s="24"/>
      <c r="E31" s="25"/>
      <c r="F31" s="2"/>
    </row>
    <row r="32" spans="1:6" s="2" customFormat="1" ht="16.5" customHeight="1" x14ac:dyDescent="0.3">
      <c r="A32" s="26" t="s">
        <v>19</v>
      </c>
      <c r="B32" s="27">
        <f>COUNT(B24:B29)</f>
        <v>6</v>
      </c>
      <c r="C32" s="28"/>
      <c r="D32" s="29"/>
      <c r="E32" s="30"/>
    </row>
    <row r="33" spans="1:6" s="2" customFormat="1" ht="15.75" customHeight="1" x14ac:dyDescent="0.25">
      <c r="A33" s="10"/>
      <c r="B33" s="10"/>
      <c r="C33" s="10"/>
      <c r="D33" s="10"/>
      <c r="E33" s="31"/>
    </row>
    <row r="34" spans="1:6" s="2" customFormat="1" ht="16.5" customHeight="1" x14ac:dyDescent="0.3">
      <c r="A34" s="11" t="s">
        <v>20</v>
      </c>
      <c r="B34" s="32" t="s">
        <v>21</v>
      </c>
      <c r="C34" s="33"/>
      <c r="D34" s="33"/>
      <c r="E34" s="34"/>
    </row>
    <row r="35" spans="1:6" ht="16.5" customHeight="1" x14ac:dyDescent="0.3">
      <c r="A35" s="11"/>
      <c r="B35" s="32" t="s">
        <v>22</v>
      </c>
      <c r="C35" s="33"/>
      <c r="D35" s="33"/>
      <c r="E35" s="34"/>
      <c r="F35" s="2"/>
    </row>
    <row r="36" spans="1:6" ht="16.5" customHeight="1" x14ac:dyDescent="0.3">
      <c r="A36" s="11"/>
      <c r="B36" s="35" t="s">
        <v>23</v>
      </c>
      <c r="C36" s="33"/>
      <c r="D36" s="33"/>
      <c r="E36" s="33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290" t="s">
        <v>121</v>
      </c>
    </row>
    <row r="39" spans="1:6" ht="16.5" customHeight="1" x14ac:dyDescent="0.3">
      <c r="A39" s="11" t="s">
        <v>4</v>
      </c>
      <c r="B39" s="8" t="str">
        <f>'Cefuroxime Axetil'!B26:C26</f>
        <v>Cefuroxime axetil</v>
      </c>
      <c r="C39" s="10"/>
      <c r="D39" s="10"/>
      <c r="E39" s="10"/>
    </row>
    <row r="40" spans="1:6" ht="16.5" customHeight="1" x14ac:dyDescent="0.3">
      <c r="A40" s="11" t="s">
        <v>6</v>
      </c>
      <c r="B40" s="12">
        <f>'Cefuroxime Axetil'!B28</f>
        <v>96.5</v>
      </c>
      <c r="C40" s="10"/>
      <c r="D40" s="10"/>
      <c r="E40" s="10"/>
    </row>
    <row r="41" spans="1:6" ht="16.5" customHeight="1" x14ac:dyDescent="0.3">
      <c r="A41" s="7" t="s">
        <v>8</v>
      </c>
      <c r="B41" s="12">
        <f>'Cefuroxime Axetil'!D43</f>
        <v>28.32</v>
      </c>
      <c r="C41" s="10"/>
      <c r="D41" s="10"/>
      <c r="E41" s="10"/>
    </row>
    <row r="42" spans="1:6" ht="16.5" customHeight="1" x14ac:dyDescent="0.3">
      <c r="A42" s="7" t="s">
        <v>10</v>
      </c>
      <c r="B42" s="13">
        <f>'Cefuroxime Axetil'!D46</f>
        <v>0.22720160081493521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 x14ac:dyDescent="0.3">
      <c r="A45" s="17">
        <v>1</v>
      </c>
      <c r="B45" s="284">
        <v>33406196</v>
      </c>
      <c r="C45" s="285">
        <v>6348.23</v>
      </c>
      <c r="D45" s="285">
        <v>1.32</v>
      </c>
      <c r="E45" s="286">
        <v>15.1</v>
      </c>
    </row>
    <row r="46" spans="1:6" ht="16.5" customHeight="1" x14ac:dyDescent="0.3">
      <c r="A46" s="17">
        <v>2</v>
      </c>
      <c r="B46" s="284">
        <v>33367774</v>
      </c>
      <c r="C46" s="285">
        <v>6364.45</v>
      </c>
      <c r="D46" s="285">
        <v>1.32</v>
      </c>
      <c r="E46" s="285">
        <v>15.1</v>
      </c>
    </row>
    <row r="47" spans="1:6" ht="16.5" customHeight="1" x14ac:dyDescent="0.3">
      <c r="A47" s="17">
        <v>3</v>
      </c>
      <c r="B47" s="284">
        <v>33314006</v>
      </c>
      <c r="C47" s="285">
        <v>6388.56</v>
      </c>
      <c r="D47" s="285">
        <v>1.32</v>
      </c>
      <c r="E47" s="285">
        <v>15.1</v>
      </c>
    </row>
    <row r="48" spans="1:6" ht="16.5" customHeight="1" x14ac:dyDescent="0.3">
      <c r="A48" s="17">
        <v>4</v>
      </c>
      <c r="B48" s="284">
        <v>33392004</v>
      </c>
      <c r="C48" s="285">
        <v>6399.22</v>
      </c>
      <c r="D48" s="285">
        <v>1.33</v>
      </c>
      <c r="E48" s="285">
        <v>15.1</v>
      </c>
    </row>
    <row r="49" spans="1:7" ht="16.5" customHeight="1" x14ac:dyDescent="0.3">
      <c r="A49" s="17">
        <v>5</v>
      </c>
      <c r="B49" s="284">
        <v>33212414</v>
      </c>
      <c r="C49" s="285">
        <v>6443.8</v>
      </c>
      <c r="D49" s="285">
        <v>1.33</v>
      </c>
      <c r="E49" s="285">
        <v>15.11</v>
      </c>
    </row>
    <row r="50" spans="1:7" ht="16.5" customHeight="1" x14ac:dyDescent="0.3">
      <c r="A50" s="17">
        <v>6</v>
      </c>
      <c r="B50" s="287">
        <v>33350409</v>
      </c>
      <c r="C50" s="288">
        <v>6608.11</v>
      </c>
      <c r="D50" s="288">
        <v>1.34</v>
      </c>
      <c r="E50" s="288">
        <v>15.12</v>
      </c>
    </row>
    <row r="51" spans="1:7" ht="16.5" customHeight="1" x14ac:dyDescent="0.3">
      <c r="A51" s="18" t="s">
        <v>17</v>
      </c>
      <c r="B51" s="19">
        <f>AVERAGE(B45:B50)</f>
        <v>33340467.166666668</v>
      </c>
      <c r="C51" s="20">
        <f>AVERAGE(C45:C50)</f>
        <v>6425.3950000000004</v>
      </c>
      <c r="D51" s="21">
        <f>AVERAGE(D45:D50)</f>
        <v>1.3266666666666667</v>
      </c>
      <c r="E51" s="21">
        <f>AVERAGE(E45:E50)</f>
        <v>15.104999999999999</v>
      </c>
    </row>
    <row r="52" spans="1:7" ht="16.5" customHeight="1" x14ac:dyDescent="0.3">
      <c r="A52" s="22" t="s">
        <v>18</v>
      </c>
      <c r="B52" s="23">
        <f>(STDEV(B45:B50)/B51)</f>
        <v>2.1174123371399426E-3</v>
      </c>
      <c r="C52" s="24"/>
      <c r="D52" s="24"/>
      <c r="E52" s="25"/>
      <c r="F52" s="2"/>
    </row>
    <row r="53" spans="1:7" s="2" customFormat="1" ht="16.5" customHeight="1" x14ac:dyDescent="0.3">
      <c r="A53" s="26" t="s">
        <v>19</v>
      </c>
      <c r="B53" s="27">
        <f>COUNT(B45:B50)</f>
        <v>6</v>
      </c>
      <c r="C53" s="28"/>
      <c r="D53" s="29"/>
      <c r="E53" s="30"/>
    </row>
    <row r="54" spans="1:7" s="2" customFormat="1" ht="15.75" customHeight="1" x14ac:dyDescent="0.25">
      <c r="A54" s="10"/>
      <c r="B54" s="10"/>
      <c r="C54" s="10"/>
      <c r="D54" s="10"/>
      <c r="E54" s="31"/>
    </row>
    <row r="55" spans="1:7" s="2" customFormat="1" ht="16.5" customHeight="1" x14ac:dyDescent="0.3">
      <c r="A55" s="11" t="s">
        <v>20</v>
      </c>
      <c r="B55" s="32" t="s">
        <v>21</v>
      </c>
      <c r="C55" s="33"/>
      <c r="D55" s="33"/>
      <c r="E55" s="34"/>
    </row>
    <row r="56" spans="1:7" ht="16.5" customHeight="1" x14ac:dyDescent="0.3">
      <c r="A56" s="11"/>
      <c r="B56" s="32" t="s">
        <v>22</v>
      </c>
      <c r="C56" s="33"/>
      <c r="D56" s="33"/>
      <c r="E56" s="34"/>
      <c r="F56" s="2"/>
    </row>
    <row r="57" spans="1:7" ht="16.5" customHeight="1" x14ac:dyDescent="0.3">
      <c r="A57" s="11"/>
      <c r="B57" s="35" t="s">
        <v>23</v>
      </c>
      <c r="C57" s="33"/>
      <c r="D57" s="34"/>
      <c r="E57" s="33"/>
    </row>
    <row r="58" spans="1:7" ht="14.25" customHeight="1" x14ac:dyDescent="0.25">
      <c r="A58" s="36"/>
      <c r="B58" s="37"/>
      <c r="D58" s="38"/>
      <c r="F58" s="39"/>
      <c r="G58" s="39"/>
    </row>
    <row r="59" spans="1:7" ht="15" customHeight="1" x14ac:dyDescent="0.3">
      <c r="B59" s="294" t="s">
        <v>24</v>
      </c>
      <c r="C59" s="294"/>
      <c r="E59" s="40" t="s">
        <v>25</v>
      </c>
      <c r="F59" s="41"/>
      <c r="G59" s="40" t="s">
        <v>26</v>
      </c>
    </row>
    <row r="60" spans="1:7" ht="19.5" customHeight="1" x14ac:dyDescent="0.3">
      <c r="A60" s="42" t="s">
        <v>27</v>
      </c>
      <c r="B60" s="291" t="s">
        <v>122</v>
      </c>
      <c r="C60" s="43"/>
      <c r="E60" s="43"/>
      <c r="F60" s="2"/>
      <c r="G60" s="44"/>
    </row>
    <row r="61" spans="1:7" ht="19.5" customHeight="1" x14ac:dyDescent="0.3">
      <c r="A61" s="42" t="s">
        <v>28</v>
      </c>
      <c r="B61" s="45"/>
      <c r="C61" s="45"/>
      <c r="E61" s="45"/>
      <c r="F61" s="2"/>
      <c r="G61" s="4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43" workbookViewId="0">
      <selection activeCell="C53" sqref="C53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98" t="s">
        <v>29</v>
      </c>
      <c r="B11" s="299"/>
      <c r="C11" s="299"/>
      <c r="D11" s="299"/>
      <c r="E11" s="299"/>
      <c r="F11" s="300"/>
      <c r="G11" s="86"/>
    </row>
    <row r="12" spans="1:7" ht="16.5" customHeight="1" x14ac:dyDescent="0.3">
      <c r="A12" s="297" t="s">
        <v>30</v>
      </c>
      <c r="B12" s="297"/>
      <c r="C12" s="297"/>
      <c r="D12" s="297"/>
      <c r="E12" s="297"/>
      <c r="F12" s="297"/>
      <c r="G12" s="85"/>
    </row>
    <row r="14" spans="1:7" ht="16.5" customHeight="1" x14ac:dyDescent="0.3">
      <c r="A14" s="302" t="s">
        <v>31</v>
      </c>
      <c r="B14" s="302"/>
      <c r="C14" s="55" t="s">
        <v>5</v>
      </c>
    </row>
    <row r="15" spans="1:7" ht="16.5" customHeight="1" x14ac:dyDescent="0.3">
      <c r="A15" s="302" t="s">
        <v>32</v>
      </c>
      <c r="B15" s="302"/>
      <c r="C15" s="55" t="s">
        <v>7</v>
      </c>
    </row>
    <row r="16" spans="1:7" ht="16.5" customHeight="1" x14ac:dyDescent="0.3">
      <c r="A16" s="302" t="s">
        <v>33</v>
      </c>
      <c r="B16" s="302"/>
      <c r="C16" s="55" t="s">
        <v>9</v>
      </c>
    </row>
    <row r="17" spans="1:5" ht="16.5" customHeight="1" x14ac:dyDescent="0.3">
      <c r="A17" s="302" t="s">
        <v>34</v>
      </c>
      <c r="B17" s="302"/>
      <c r="C17" s="55" t="s">
        <v>11</v>
      </c>
    </row>
    <row r="18" spans="1:5" ht="16.5" customHeight="1" x14ac:dyDescent="0.3">
      <c r="A18" s="302" t="s">
        <v>35</v>
      </c>
      <c r="B18" s="302"/>
      <c r="C18" s="92" t="str">
        <f>'Cefuroxime Axetil'!B22</f>
        <v>18th Jan 2016</v>
      </c>
    </row>
    <row r="19" spans="1:5" ht="16.5" customHeight="1" x14ac:dyDescent="0.3">
      <c r="A19" s="302" t="s">
        <v>36</v>
      </c>
      <c r="B19" s="302"/>
      <c r="C19" s="92" t="str">
        <f>'Cefuroxime Axetil'!B23</f>
        <v>8th Feb 2016</v>
      </c>
    </row>
    <row r="20" spans="1:5" ht="16.5" customHeight="1" x14ac:dyDescent="0.3">
      <c r="A20" s="57"/>
      <c r="B20" s="57"/>
      <c r="C20" s="72"/>
    </row>
    <row r="21" spans="1:5" ht="16.5" customHeight="1" x14ac:dyDescent="0.3">
      <c r="A21" s="297" t="s">
        <v>1</v>
      </c>
      <c r="B21" s="297"/>
      <c r="C21" s="54" t="s">
        <v>37</v>
      </c>
      <c r="D21" s="61"/>
    </row>
    <row r="22" spans="1:5" ht="15.75" customHeight="1" x14ac:dyDescent="0.3">
      <c r="A22" s="301"/>
      <c r="B22" s="301"/>
      <c r="C22" s="52"/>
      <c r="D22" s="301"/>
      <c r="E22" s="301"/>
    </row>
    <row r="23" spans="1:5" ht="33.75" customHeight="1" x14ac:dyDescent="0.3">
      <c r="C23" s="81" t="s">
        <v>38</v>
      </c>
      <c r="D23" s="80" t="s">
        <v>39</v>
      </c>
      <c r="E23" s="47"/>
    </row>
    <row r="24" spans="1:5" ht="15.75" customHeight="1" x14ac:dyDescent="0.3">
      <c r="C24" s="90">
        <v>453.5</v>
      </c>
      <c r="D24" s="82">
        <f t="shared" ref="D24:D43" si="0">(C24-$C$46)/$C$46</f>
        <v>-2.4932170638542902E-3</v>
      </c>
      <c r="E24" s="48"/>
    </row>
    <row r="25" spans="1:5" ht="15.75" customHeight="1" x14ac:dyDescent="0.3">
      <c r="C25" s="90">
        <v>451.87</v>
      </c>
      <c r="D25" s="83">
        <f t="shared" si="0"/>
        <v>-6.0785225901738337E-3</v>
      </c>
      <c r="E25" s="48"/>
    </row>
    <row r="26" spans="1:5" ht="15.75" customHeight="1" x14ac:dyDescent="0.3">
      <c r="C26" s="90">
        <v>453.11</v>
      </c>
      <c r="D26" s="83">
        <f t="shared" si="0"/>
        <v>-3.3510509014399205E-3</v>
      </c>
      <c r="E26" s="48"/>
    </row>
    <row r="27" spans="1:5" ht="15.75" customHeight="1" x14ac:dyDescent="0.3">
      <c r="C27" s="90">
        <v>455.03</v>
      </c>
      <c r="D27" s="83">
        <f t="shared" si="0"/>
        <v>8.721310682124698E-4</v>
      </c>
      <c r="E27" s="48"/>
    </row>
    <row r="28" spans="1:5" ht="15.75" customHeight="1" x14ac:dyDescent="0.3">
      <c r="C28" s="90">
        <v>451.65</v>
      </c>
      <c r="D28" s="83">
        <f t="shared" si="0"/>
        <v>-6.5624288575299068E-3</v>
      </c>
      <c r="E28" s="48"/>
    </row>
    <row r="29" spans="1:5" ht="15.75" customHeight="1" x14ac:dyDescent="0.3">
      <c r="C29" s="90">
        <v>457.27</v>
      </c>
      <c r="D29" s="83">
        <f t="shared" si="0"/>
        <v>5.7991766994737164E-3</v>
      </c>
      <c r="E29" s="48"/>
    </row>
    <row r="30" spans="1:5" ht="15.75" customHeight="1" x14ac:dyDescent="0.3">
      <c r="C30" s="90">
        <v>452.07</v>
      </c>
      <c r="D30" s="83">
        <f t="shared" si="0"/>
        <v>-5.6386078016683917E-3</v>
      </c>
      <c r="E30" s="48"/>
    </row>
    <row r="31" spans="1:5" ht="15.75" customHeight="1" x14ac:dyDescent="0.3">
      <c r="C31" s="90">
        <v>449.28</v>
      </c>
      <c r="D31" s="83">
        <f t="shared" si="0"/>
        <v>-1.1775419101319698E-2</v>
      </c>
      <c r="E31" s="48"/>
    </row>
    <row r="32" spans="1:5" ht="15.75" customHeight="1" x14ac:dyDescent="0.3">
      <c r="C32" s="90">
        <v>450.67</v>
      </c>
      <c r="D32" s="83">
        <f t="shared" si="0"/>
        <v>-8.7180113212066094E-3</v>
      </c>
      <c r="E32" s="48"/>
    </row>
    <row r="33" spans="1:7" ht="15.75" customHeight="1" x14ac:dyDescent="0.3">
      <c r="C33" s="90">
        <v>453.82</v>
      </c>
      <c r="D33" s="83">
        <f t="shared" si="0"/>
        <v>-1.7893534022455587E-3</v>
      </c>
      <c r="E33" s="48"/>
    </row>
    <row r="34" spans="1:7" ht="15.75" customHeight="1" x14ac:dyDescent="0.3">
      <c r="C34" s="90">
        <v>452.2</v>
      </c>
      <c r="D34" s="83">
        <f t="shared" si="0"/>
        <v>-5.3526631891398484E-3</v>
      </c>
      <c r="E34" s="48"/>
    </row>
    <row r="35" spans="1:7" ht="15.75" customHeight="1" x14ac:dyDescent="0.3">
      <c r="C35" s="90">
        <v>455.62</v>
      </c>
      <c r="D35" s="83">
        <f t="shared" si="0"/>
        <v>2.1698796943036666E-3</v>
      </c>
      <c r="E35" s="48"/>
    </row>
    <row r="36" spans="1:7" ht="15.75" customHeight="1" x14ac:dyDescent="0.3">
      <c r="C36" s="90">
        <v>457.24</v>
      </c>
      <c r="D36" s="83">
        <f t="shared" si="0"/>
        <v>5.733189481197957E-3</v>
      </c>
      <c r="E36" s="48"/>
    </row>
    <row r="37" spans="1:7" ht="15.75" customHeight="1" x14ac:dyDescent="0.3">
      <c r="C37" s="90">
        <v>454.44</v>
      </c>
      <c r="D37" s="83">
        <f t="shared" si="0"/>
        <v>-4.2561755787860192E-4</v>
      </c>
      <c r="E37" s="48"/>
    </row>
    <row r="38" spans="1:7" ht="15.75" customHeight="1" x14ac:dyDescent="0.3">
      <c r="C38" s="90">
        <v>460.4</v>
      </c>
      <c r="D38" s="83">
        <f t="shared" si="0"/>
        <v>1.2683843139584261E-2</v>
      </c>
      <c r="E38" s="48"/>
    </row>
    <row r="39" spans="1:7" ht="15.75" customHeight="1" x14ac:dyDescent="0.3">
      <c r="C39" s="90">
        <v>455.32</v>
      </c>
      <c r="D39" s="83">
        <f t="shared" si="0"/>
        <v>1.5100075115454415E-3</v>
      </c>
      <c r="E39" s="48"/>
    </row>
    <row r="40" spans="1:7" ht="15.75" customHeight="1" x14ac:dyDescent="0.3">
      <c r="C40" s="90">
        <v>455.75</v>
      </c>
      <c r="D40" s="83">
        <f t="shared" si="0"/>
        <v>2.4558243068322099E-3</v>
      </c>
      <c r="E40" s="48"/>
    </row>
    <row r="41" spans="1:7" ht="15.75" customHeight="1" x14ac:dyDescent="0.3">
      <c r="C41" s="90">
        <v>456.11</v>
      </c>
      <c r="D41" s="83">
        <f t="shared" si="0"/>
        <v>3.2476709261420799E-3</v>
      </c>
      <c r="E41" s="48"/>
    </row>
    <row r="42" spans="1:7" ht="15.75" customHeight="1" x14ac:dyDescent="0.3">
      <c r="C42" s="90">
        <v>461.92</v>
      </c>
      <c r="D42" s="83">
        <f t="shared" si="0"/>
        <v>1.6027195532225893E-2</v>
      </c>
      <c r="E42" s="48"/>
    </row>
    <row r="43" spans="1:7" ht="16.5" customHeight="1" x14ac:dyDescent="0.3">
      <c r="C43" s="91">
        <v>455.4</v>
      </c>
      <c r="D43" s="84">
        <f t="shared" si="0"/>
        <v>1.6859734269475931E-3</v>
      </c>
      <c r="E43" s="48"/>
    </row>
    <row r="44" spans="1:7" ht="16.5" customHeight="1" x14ac:dyDescent="0.3">
      <c r="C44" s="49"/>
      <c r="D44" s="48"/>
      <c r="E44" s="50"/>
    </row>
    <row r="45" spans="1:7" ht="16.5" customHeight="1" x14ac:dyDescent="0.3">
      <c r="B45" s="77" t="s">
        <v>40</v>
      </c>
      <c r="C45" s="78">
        <f>SUM(C24:C44)</f>
        <v>9092.6699999999964</v>
      </c>
      <c r="D45" s="73"/>
      <c r="E45" s="49"/>
    </row>
    <row r="46" spans="1:7" ht="17.25" customHeight="1" x14ac:dyDescent="0.3">
      <c r="B46" s="77" t="s">
        <v>41</v>
      </c>
      <c r="C46" s="79">
        <f>AVERAGE(C24:C44)</f>
        <v>454.6334999999998</v>
      </c>
      <c r="E46" s="51"/>
    </row>
    <row r="47" spans="1:7" ht="17.25" customHeight="1" x14ac:dyDescent="0.3">
      <c r="A47" s="55"/>
      <c r="B47" s="74"/>
      <c r="D47" s="53"/>
      <c r="E47" s="51"/>
    </row>
    <row r="48" spans="1:7" ht="33.75" customHeight="1" x14ac:dyDescent="0.3">
      <c r="B48" s="87" t="s">
        <v>41</v>
      </c>
      <c r="C48" s="80" t="s">
        <v>42</v>
      </c>
      <c r="D48" s="75"/>
      <c r="G48" s="53"/>
    </row>
    <row r="49" spans="1:6" ht="17.25" customHeight="1" x14ac:dyDescent="0.3">
      <c r="B49" s="295">
        <f>C46</f>
        <v>454.6334999999998</v>
      </c>
      <c r="C49" s="88">
        <f>-IF(C46&lt;=80,10%,IF(C46&lt;250,7.5%,5%))</f>
        <v>-0.05</v>
      </c>
      <c r="D49" s="76">
        <f>IF(C46&lt;=80,C46*0.9,IF(C46&lt;250,C46*0.925,C46*0.95))</f>
        <v>431.9018249999998</v>
      </c>
    </row>
    <row r="50" spans="1:6" ht="17.25" customHeight="1" x14ac:dyDescent="0.3">
      <c r="B50" s="296"/>
      <c r="C50" s="89">
        <f>IF(C46&lt;=80, 10%, IF(C46&lt;250, 7.5%, 5%))</f>
        <v>0.05</v>
      </c>
      <c r="D50" s="76">
        <f>IF(C46&lt;=80, C46*1.1, IF(C46&lt;250, C46*1.075, C46*1.05))</f>
        <v>477.36517499999979</v>
      </c>
    </row>
    <row r="51" spans="1:6" ht="16.5" customHeight="1" x14ac:dyDescent="0.3">
      <c r="A51" s="58"/>
      <c r="B51" s="59"/>
      <c r="C51" s="55"/>
      <c r="D51" s="60"/>
      <c r="E51" s="55"/>
      <c r="F51" s="61"/>
    </row>
    <row r="52" spans="1:6" ht="16.5" customHeight="1" x14ac:dyDescent="0.3">
      <c r="A52" s="55"/>
      <c r="B52" s="62" t="s">
        <v>24</v>
      </c>
      <c r="C52" s="62"/>
      <c r="D52" s="63" t="s">
        <v>25</v>
      </c>
      <c r="E52" s="64"/>
      <c r="F52" s="63" t="s">
        <v>26</v>
      </c>
    </row>
    <row r="53" spans="1:6" ht="34.5" customHeight="1" x14ac:dyDescent="0.3">
      <c r="A53" s="65" t="s">
        <v>27</v>
      </c>
      <c r="B53" s="292" t="s">
        <v>122</v>
      </c>
      <c r="C53" s="67"/>
      <c r="D53" s="66"/>
      <c r="E53" s="56"/>
      <c r="F53" s="68"/>
    </row>
    <row r="54" spans="1:6" ht="34.5" customHeight="1" x14ac:dyDescent="0.3">
      <c r="A54" s="65" t="s">
        <v>28</v>
      </c>
      <c r="B54" s="69"/>
      <c r="C54" s="70"/>
      <c r="D54" s="69"/>
      <c r="E54" s="56"/>
      <c r="F54" s="71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7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0"/>
  <sheetViews>
    <sheetView tabSelected="1" topLeftCell="A142" zoomScale="60" zoomScaleNormal="60" zoomScalePageLayoutView="55" workbookViewId="0">
      <selection activeCell="D135" sqref="D135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6" style="2" customWidth="1"/>
    <col min="6" max="6" width="30.7109375" style="2" customWidth="1"/>
    <col min="7" max="7" width="39.85546875" style="2" customWidth="1"/>
    <col min="8" max="8" width="41.140625" style="2" customWidth="1"/>
    <col min="9" max="9" width="30.42578125" style="2" customWidth="1"/>
    <col min="10" max="10" width="21.28515625" style="2" customWidth="1"/>
    <col min="11" max="11" width="9.140625" style="2" customWidth="1"/>
  </cols>
  <sheetData>
    <row r="1" spans="1:8" x14ac:dyDescent="0.25">
      <c r="A1" s="303" t="s">
        <v>43</v>
      </c>
      <c r="B1" s="303"/>
      <c r="C1" s="303"/>
      <c r="D1" s="303"/>
      <c r="E1" s="303"/>
      <c r="F1" s="303"/>
      <c r="G1" s="303"/>
      <c r="H1" s="303"/>
    </row>
    <row r="2" spans="1:8" x14ac:dyDescent="0.25">
      <c r="A2" s="303"/>
      <c r="B2" s="303"/>
      <c r="C2" s="303"/>
      <c r="D2" s="303"/>
      <c r="E2" s="303"/>
      <c r="F2" s="303"/>
      <c r="G2" s="303"/>
      <c r="H2" s="303"/>
    </row>
    <row r="3" spans="1:8" x14ac:dyDescent="0.25">
      <c r="A3" s="303"/>
      <c r="B3" s="303"/>
      <c r="C3" s="303"/>
      <c r="D3" s="303"/>
      <c r="E3" s="303"/>
      <c r="F3" s="303"/>
      <c r="G3" s="303"/>
      <c r="H3" s="303"/>
    </row>
    <row r="4" spans="1:8" x14ac:dyDescent="0.25">
      <c r="A4" s="303"/>
      <c r="B4" s="303"/>
      <c r="C4" s="303"/>
      <c r="D4" s="303"/>
      <c r="E4" s="303"/>
      <c r="F4" s="303"/>
      <c r="G4" s="303"/>
      <c r="H4" s="303"/>
    </row>
    <row r="5" spans="1:8" x14ac:dyDescent="0.25">
      <c r="A5" s="303"/>
      <c r="B5" s="303"/>
      <c r="C5" s="303"/>
      <c r="D5" s="303"/>
      <c r="E5" s="303"/>
      <c r="F5" s="303"/>
      <c r="G5" s="303"/>
      <c r="H5" s="303"/>
    </row>
    <row r="6" spans="1:8" x14ac:dyDescent="0.25">
      <c r="A6" s="303"/>
      <c r="B6" s="303"/>
      <c r="C6" s="303"/>
      <c r="D6" s="303"/>
      <c r="E6" s="303"/>
      <c r="F6" s="303"/>
      <c r="G6" s="303"/>
      <c r="H6" s="303"/>
    </row>
    <row r="7" spans="1:8" x14ac:dyDescent="0.25">
      <c r="A7" s="303"/>
      <c r="B7" s="303"/>
      <c r="C7" s="303"/>
      <c r="D7" s="303"/>
      <c r="E7" s="303"/>
      <c r="F7" s="303"/>
      <c r="G7" s="303"/>
      <c r="H7" s="303"/>
    </row>
    <row r="8" spans="1:8" x14ac:dyDescent="0.25">
      <c r="A8" s="304" t="s">
        <v>44</v>
      </c>
      <c r="B8" s="304"/>
      <c r="C8" s="304"/>
      <c r="D8" s="304"/>
      <c r="E8" s="304"/>
      <c r="F8" s="304"/>
      <c r="G8" s="304"/>
      <c r="H8" s="304"/>
    </row>
    <row r="9" spans="1:8" x14ac:dyDescent="0.25">
      <c r="A9" s="304"/>
      <c r="B9" s="304"/>
      <c r="C9" s="304"/>
      <c r="D9" s="304"/>
      <c r="E9" s="304"/>
      <c r="F9" s="304"/>
      <c r="G9" s="304"/>
      <c r="H9" s="304"/>
    </row>
    <row r="10" spans="1:8" x14ac:dyDescent="0.25">
      <c r="A10" s="304"/>
      <c r="B10" s="304"/>
      <c r="C10" s="304"/>
      <c r="D10" s="304"/>
      <c r="E10" s="304"/>
      <c r="F10" s="304"/>
      <c r="G10" s="304"/>
      <c r="H10" s="304"/>
    </row>
    <row r="11" spans="1:8" x14ac:dyDescent="0.25">
      <c r="A11" s="304"/>
      <c r="B11" s="304"/>
      <c r="C11" s="304"/>
      <c r="D11" s="304"/>
      <c r="E11" s="304"/>
      <c r="F11" s="304"/>
      <c r="G11" s="304"/>
      <c r="H11" s="304"/>
    </row>
    <row r="12" spans="1:8" x14ac:dyDescent="0.25">
      <c r="A12" s="304"/>
      <c r="B12" s="304"/>
      <c r="C12" s="304"/>
      <c r="D12" s="304"/>
      <c r="E12" s="304"/>
      <c r="F12" s="304"/>
      <c r="G12" s="304"/>
      <c r="H12" s="304"/>
    </row>
    <row r="13" spans="1:8" x14ac:dyDescent="0.25">
      <c r="A13" s="304"/>
      <c r="B13" s="304"/>
      <c r="C13" s="304"/>
      <c r="D13" s="304"/>
      <c r="E13" s="304"/>
      <c r="F13" s="304"/>
      <c r="G13" s="304"/>
      <c r="H13" s="304"/>
    </row>
    <row r="14" spans="1:8" x14ac:dyDescent="0.25">
      <c r="A14" s="304"/>
      <c r="B14" s="304"/>
      <c r="C14" s="304"/>
      <c r="D14" s="304"/>
      <c r="E14" s="304"/>
      <c r="F14" s="304"/>
      <c r="G14" s="304"/>
      <c r="H14" s="304"/>
    </row>
    <row r="15" spans="1:8" ht="19.5" customHeight="1" x14ac:dyDescent="0.25"/>
    <row r="16" spans="1:8" ht="19.5" customHeight="1" x14ac:dyDescent="0.25">
      <c r="A16" s="305" t="s">
        <v>29</v>
      </c>
      <c r="B16" s="306"/>
      <c r="C16" s="306"/>
      <c r="D16" s="306"/>
      <c r="E16" s="306"/>
      <c r="F16" s="306"/>
      <c r="G16" s="306"/>
      <c r="H16" s="307"/>
    </row>
    <row r="17" spans="1:13" ht="18.75" x14ac:dyDescent="0.3">
      <c r="A17" s="93" t="s">
        <v>45</v>
      </c>
      <c r="B17" s="93"/>
    </row>
    <row r="18" spans="1:13" ht="18.75" x14ac:dyDescent="0.3">
      <c r="A18" s="95" t="s">
        <v>31</v>
      </c>
      <c r="B18" s="313" t="s">
        <v>5</v>
      </c>
      <c r="C18" s="313"/>
      <c r="D18" s="183"/>
      <c r="E18" s="183"/>
    </row>
    <row r="19" spans="1:13" ht="18.75" x14ac:dyDescent="0.3">
      <c r="A19" s="95" t="s">
        <v>32</v>
      </c>
      <c r="B19" s="184" t="s">
        <v>7</v>
      </c>
      <c r="C19" s="259">
        <v>35</v>
      </c>
    </row>
    <row r="20" spans="1:13" ht="18.75" x14ac:dyDescent="0.3">
      <c r="A20" s="95" t="s">
        <v>33</v>
      </c>
      <c r="B20" s="184" t="s">
        <v>9</v>
      </c>
    </row>
    <row r="21" spans="1:13" ht="18.75" x14ac:dyDescent="0.3">
      <c r="A21" s="95" t="s">
        <v>34</v>
      </c>
      <c r="B21" s="209" t="s">
        <v>11</v>
      </c>
      <c r="C21" s="209"/>
      <c r="D21" s="209"/>
      <c r="E21" s="209"/>
      <c r="F21" s="209"/>
      <c r="G21" s="209"/>
      <c r="H21" s="209"/>
    </row>
    <row r="22" spans="1:13" ht="18.75" x14ac:dyDescent="0.3">
      <c r="A22" s="95" t="s">
        <v>35</v>
      </c>
      <c r="B22" s="185" t="s">
        <v>119</v>
      </c>
    </row>
    <row r="23" spans="1:13" ht="18.75" x14ac:dyDescent="0.3">
      <c r="A23" s="95" t="s">
        <v>36</v>
      </c>
      <c r="B23" s="185" t="s">
        <v>120</v>
      </c>
    </row>
    <row r="24" spans="1:13" ht="18.75" x14ac:dyDescent="0.3">
      <c r="A24" s="95"/>
      <c r="B24" s="98"/>
    </row>
    <row r="25" spans="1:13" ht="18.75" x14ac:dyDescent="0.3">
      <c r="A25" s="99" t="s">
        <v>1</v>
      </c>
      <c r="B25" s="98"/>
    </row>
    <row r="26" spans="1:13" ht="26.25" customHeight="1" x14ac:dyDescent="0.3">
      <c r="A26" s="100" t="s">
        <v>4</v>
      </c>
      <c r="B26" s="312" t="s">
        <v>115</v>
      </c>
      <c r="C26" s="312"/>
    </row>
    <row r="27" spans="1:13" ht="26.25" customHeight="1" x14ac:dyDescent="0.35">
      <c r="A27" s="102" t="s">
        <v>46</v>
      </c>
      <c r="B27" s="261" t="s">
        <v>116</v>
      </c>
      <c r="C27" s="262"/>
    </row>
    <row r="28" spans="1:13" ht="27" customHeight="1" x14ac:dyDescent="0.35">
      <c r="A28" s="102" t="s">
        <v>6</v>
      </c>
      <c r="B28" s="261">
        <v>96.5</v>
      </c>
      <c r="C28" s="262"/>
    </row>
    <row r="29" spans="1:13" s="11" customFormat="1" ht="27" customHeight="1" x14ac:dyDescent="0.4">
      <c r="A29" s="102" t="s">
        <v>47</v>
      </c>
      <c r="B29" s="236">
        <v>0</v>
      </c>
      <c r="C29" s="322" t="s">
        <v>48</v>
      </c>
      <c r="D29" s="323"/>
      <c r="E29" s="323"/>
      <c r="F29" s="323"/>
      <c r="G29" s="324"/>
      <c r="I29" s="104"/>
      <c r="J29" s="104"/>
      <c r="K29" s="104"/>
    </row>
    <row r="30" spans="1:13" s="11" customFormat="1" ht="19.5" customHeight="1" x14ac:dyDescent="0.3">
      <c r="A30" s="102" t="s">
        <v>49</v>
      </c>
      <c r="B30" s="101">
        <f>B28-B29</f>
        <v>96.5</v>
      </c>
      <c r="C30" s="105"/>
      <c r="D30" s="105"/>
      <c r="E30" s="105"/>
      <c r="F30" s="105"/>
      <c r="G30" s="106"/>
      <c r="I30" s="104"/>
      <c r="J30" s="104"/>
      <c r="K30" s="104"/>
    </row>
    <row r="31" spans="1:13" s="11" customFormat="1" ht="27" customHeight="1" x14ac:dyDescent="0.4">
      <c r="A31" s="102" t="s">
        <v>50</v>
      </c>
      <c r="B31" s="272">
        <v>424.38600000000002</v>
      </c>
      <c r="C31" s="308" t="s">
        <v>51</v>
      </c>
      <c r="D31" s="309"/>
      <c r="E31" s="309"/>
      <c r="F31" s="309"/>
      <c r="G31" s="309"/>
      <c r="H31" s="310"/>
      <c r="I31" s="104"/>
      <c r="J31" s="104"/>
      <c r="K31" s="104"/>
    </row>
    <row r="32" spans="1:13" s="11" customFormat="1" ht="27" customHeight="1" x14ac:dyDescent="0.4">
      <c r="A32" s="102" t="s">
        <v>52</v>
      </c>
      <c r="B32" s="272">
        <v>510.47</v>
      </c>
      <c r="C32" s="308" t="s">
        <v>53</v>
      </c>
      <c r="D32" s="309"/>
      <c r="E32" s="309"/>
      <c r="F32" s="309"/>
      <c r="G32" s="309"/>
      <c r="H32" s="310"/>
      <c r="I32" s="104"/>
      <c r="J32" s="104"/>
      <c r="K32" s="108"/>
      <c r="L32" s="108"/>
      <c r="M32" s="109"/>
    </row>
    <row r="33" spans="1:13" s="11" customFormat="1" ht="17.25" customHeight="1" x14ac:dyDescent="0.3">
      <c r="A33" s="102"/>
      <c r="B33" s="107"/>
      <c r="C33" s="110"/>
      <c r="D33" s="110"/>
      <c r="E33" s="110"/>
      <c r="F33" s="110"/>
      <c r="G33" s="110"/>
      <c r="H33" s="110"/>
      <c r="I33" s="104"/>
      <c r="J33" s="104"/>
      <c r="K33" s="108"/>
      <c r="L33" s="108"/>
      <c r="M33" s="109"/>
    </row>
    <row r="34" spans="1:13" s="11" customFormat="1" ht="18.75" x14ac:dyDescent="0.3">
      <c r="A34" s="102" t="s">
        <v>54</v>
      </c>
      <c r="B34" s="111">
        <f>B31/B32</f>
        <v>0.83136325347229023</v>
      </c>
      <c r="C34" s="94" t="s">
        <v>55</v>
      </c>
      <c r="D34" s="94"/>
      <c r="E34" s="94"/>
      <c r="F34" s="94"/>
      <c r="G34" s="94"/>
      <c r="I34" s="104"/>
      <c r="J34" s="104"/>
      <c r="K34" s="108"/>
      <c r="L34" s="108"/>
      <c r="M34" s="109"/>
    </row>
    <row r="35" spans="1:13" s="11" customFormat="1" ht="19.5" customHeight="1" x14ac:dyDescent="0.3">
      <c r="A35" s="102"/>
      <c r="B35" s="101"/>
      <c r="G35" s="94"/>
      <c r="I35" s="104"/>
      <c r="J35" s="104"/>
      <c r="K35" s="108"/>
      <c r="L35" s="108"/>
      <c r="M35" s="109"/>
    </row>
    <row r="36" spans="1:13" s="11" customFormat="1" ht="27" customHeight="1" x14ac:dyDescent="0.4">
      <c r="A36" s="112" t="s">
        <v>56</v>
      </c>
      <c r="B36" s="238">
        <v>100</v>
      </c>
      <c r="C36" s="94"/>
      <c r="D36" s="314" t="s">
        <v>57</v>
      </c>
      <c r="E36" s="338"/>
      <c r="F36" s="314" t="s">
        <v>58</v>
      </c>
      <c r="G36" s="315"/>
      <c r="I36" s="104"/>
      <c r="J36" s="104"/>
      <c r="K36" s="108"/>
      <c r="L36" s="108"/>
      <c r="M36" s="109"/>
    </row>
    <row r="37" spans="1:13" s="11" customFormat="1" ht="26.25" customHeight="1" x14ac:dyDescent="0.4">
      <c r="A37" s="113" t="s">
        <v>59</v>
      </c>
      <c r="B37" s="239">
        <v>1</v>
      </c>
      <c r="C37" s="115" t="s">
        <v>60</v>
      </c>
      <c r="D37" s="116" t="s">
        <v>61</v>
      </c>
      <c r="E37" s="170" t="s">
        <v>62</v>
      </c>
      <c r="F37" s="116" t="s">
        <v>61</v>
      </c>
      <c r="G37" s="117" t="s">
        <v>62</v>
      </c>
      <c r="I37" s="104"/>
      <c r="J37" s="104"/>
      <c r="K37" s="108"/>
      <c r="L37" s="108"/>
      <c r="M37" s="109"/>
    </row>
    <row r="38" spans="1:13" s="11" customFormat="1" ht="26.25" customHeight="1" x14ac:dyDescent="0.4">
      <c r="A38" s="113" t="s">
        <v>63</v>
      </c>
      <c r="B38" s="239">
        <v>1</v>
      </c>
      <c r="C38" s="118">
        <v>1</v>
      </c>
      <c r="D38" s="263">
        <f>32260073+34170049</f>
        <v>66430122</v>
      </c>
      <c r="E38" s="264">
        <f>IF(ISBLANK(D38),"-",$D$48/$D$45*D38)</f>
        <v>70172169.662600219</v>
      </c>
      <c r="F38" s="263">
        <f>31230487+33080956</f>
        <v>64311443</v>
      </c>
      <c r="G38" s="264">
        <f>IF(ISBLANK(F38),"-",$D$48/$F$45*F38)</f>
        <v>69130253.852395877</v>
      </c>
      <c r="I38" s="104"/>
      <c r="J38" s="104"/>
      <c r="K38" s="108"/>
      <c r="L38" s="108"/>
      <c r="M38" s="109"/>
    </row>
    <row r="39" spans="1:13" s="11" customFormat="1" ht="26.25" customHeight="1" x14ac:dyDescent="0.4">
      <c r="A39" s="113" t="s">
        <v>64</v>
      </c>
      <c r="B39" s="239">
        <v>1</v>
      </c>
      <c r="C39" s="114">
        <v>2</v>
      </c>
      <c r="D39" s="265">
        <f>31987472+33872252</f>
        <v>65859724</v>
      </c>
      <c r="E39" s="264">
        <f t="shared" ref="E39:E40" si="0">IF(ISBLANK(D39),"-",$D$48/$D$45*D39)</f>
        <v>69569640.809330791</v>
      </c>
      <c r="F39" s="265">
        <f>31212867+33055970</f>
        <v>64268837</v>
      </c>
      <c r="G39" s="264">
        <f t="shared" ref="G39:G40" si="1">IF(ISBLANK(F39),"-",$D$48/$F$45*F39)</f>
        <v>69084455.415006816</v>
      </c>
      <c r="I39" s="104"/>
      <c r="J39" s="104"/>
      <c r="K39" s="108"/>
      <c r="L39" s="108"/>
      <c r="M39" s="109"/>
    </row>
    <row r="40" spans="1:13" ht="26.25" customHeight="1" x14ac:dyDescent="0.4">
      <c r="A40" s="113" t="s">
        <v>65</v>
      </c>
      <c r="B40" s="239">
        <v>1</v>
      </c>
      <c r="C40" s="114">
        <v>3</v>
      </c>
      <c r="D40" s="265">
        <f>32134405+34043838</f>
        <v>66178243</v>
      </c>
      <c r="E40" s="264">
        <f t="shared" si="0"/>
        <v>69906102.171072111</v>
      </c>
      <c r="F40" s="265">
        <f>31214456+33066286</f>
        <v>64280742</v>
      </c>
      <c r="G40" s="264">
        <f t="shared" si="1"/>
        <v>69097252.448220849</v>
      </c>
      <c r="K40" s="108"/>
      <c r="L40" s="108"/>
      <c r="M40" s="120"/>
    </row>
    <row r="41" spans="1:13" ht="26.25" customHeight="1" x14ac:dyDescent="0.4">
      <c r="A41" s="113" t="s">
        <v>66</v>
      </c>
      <c r="B41" s="239">
        <v>1</v>
      </c>
      <c r="C41" s="121">
        <v>4</v>
      </c>
      <c r="D41" s="266"/>
      <c r="E41" s="267" t="str">
        <f>IF(ISBLANK(D41),"-",$D$103/$D$100*D41)</f>
        <v>-</v>
      </c>
      <c r="F41" s="266"/>
      <c r="G41" s="267" t="str">
        <f>IF(ISBLANK(F41),"-",$D$103/$F$100*F41)</f>
        <v>-</v>
      </c>
      <c r="K41" s="108"/>
      <c r="L41" s="108"/>
      <c r="M41" s="120"/>
    </row>
    <row r="42" spans="1:13" ht="27" customHeight="1" thickBot="1" x14ac:dyDescent="0.45">
      <c r="A42" s="113" t="s">
        <v>67</v>
      </c>
      <c r="B42" s="239">
        <v>1</v>
      </c>
      <c r="C42" s="123" t="s">
        <v>68</v>
      </c>
      <c r="D42" s="268">
        <f>AVERAGE(D38:D41)</f>
        <v>66156029.666666664</v>
      </c>
      <c r="E42" s="269">
        <f>AVERAGE(E38:E41)</f>
        <v>69882637.547667697</v>
      </c>
      <c r="F42" s="268">
        <f>AVERAGE(F38:F41)</f>
        <v>64287007.333333336</v>
      </c>
      <c r="G42" s="269">
        <f>AVERAGE(G38:G41)</f>
        <v>69103987.238541186</v>
      </c>
      <c r="H42" s="206"/>
    </row>
    <row r="43" spans="1:13" ht="26.25" customHeight="1" x14ac:dyDescent="0.4">
      <c r="A43" s="113" t="s">
        <v>69</v>
      </c>
      <c r="B43" s="237">
        <v>1</v>
      </c>
      <c r="C43" s="220" t="s">
        <v>70</v>
      </c>
      <c r="D43" s="282">
        <v>28.32</v>
      </c>
      <c r="E43" s="270"/>
      <c r="F43" s="271">
        <v>27.83</v>
      </c>
      <c r="G43" s="283"/>
      <c r="H43" s="206"/>
    </row>
    <row r="44" spans="1:13" ht="26.25" customHeight="1" x14ac:dyDescent="0.4">
      <c r="A44" s="113" t="s">
        <v>71</v>
      </c>
      <c r="B44" s="237">
        <v>1</v>
      </c>
      <c r="C44" s="221" t="s">
        <v>72</v>
      </c>
      <c r="D44" s="222">
        <f>D43*$B$34</f>
        <v>23.544207338335259</v>
      </c>
      <c r="E44" s="125"/>
      <c r="F44" s="124">
        <f>F43*$B$34</f>
        <v>23.136839344133836</v>
      </c>
      <c r="H44" s="206"/>
    </row>
    <row r="45" spans="1:13" ht="19.5" customHeight="1" x14ac:dyDescent="0.3">
      <c r="A45" s="113" t="s">
        <v>73</v>
      </c>
      <c r="B45" s="219">
        <f>(B44/B43)*(B42/B41)*(B40/B39)*(B38/B37)*B36</f>
        <v>100</v>
      </c>
      <c r="C45" s="221" t="s">
        <v>74</v>
      </c>
      <c r="D45" s="223">
        <f>D44*$B$30/100</f>
        <v>22.720160081493521</v>
      </c>
      <c r="E45" s="127"/>
      <c r="F45" s="126">
        <f>F44*$B$30/100</f>
        <v>22.327049967089152</v>
      </c>
      <c r="H45" s="206"/>
    </row>
    <row r="46" spans="1:13" ht="19.5" customHeight="1" x14ac:dyDescent="0.3">
      <c r="A46" s="316" t="s">
        <v>75</v>
      </c>
      <c r="B46" s="317"/>
      <c r="C46" s="221" t="s">
        <v>76</v>
      </c>
      <c r="D46" s="222">
        <f>D45/$B$45</f>
        <v>0.22720160081493521</v>
      </c>
      <c r="E46" s="127"/>
      <c r="F46" s="128">
        <f>F45/$B$45</f>
        <v>0.22327049967089152</v>
      </c>
      <c r="H46" s="206"/>
    </row>
    <row r="47" spans="1:13" ht="27" customHeight="1" x14ac:dyDescent="0.4">
      <c r="A47" s="318"/>
      <c r="B47" s="319"/>
      <c r="C47" s="221" t="s">
        <v>77</v>
      </c>
      <c r="D47" s="245">
        <v>0.24</v>
      </c>
      <c r="F47" s="130"/>
      <c r="H47" s="206"/>
    </row>
    <row r="48" spans="1:13" ht="18.75" x14ac:dyDescent="0.3">
      <c r="C48" s="221" t="s">
        <v>78</v>
      </c>
      <c r="D48" s="222">
        <f>D47*$B$45</f>
        <v>24</v>
      </c>
      <c r="F48" s="130"/>
      <c r="H48" s="206"/>
    </row>
    <row r="49" spans="1:11" ht="19.5" customHeight="1" x14ac:dyDescent="0.3">
      <c r="C49" s="224" t="s">
        <v>79</v>
      </c>
      <c r="D49" s="225">
        <f>D48/B34</f>
        <v>28.868247303162686</v>
      </c>
      <c r="F49" s="133"/>
      <c r="H49" s="206"/>
    </row>
    <row r="50" spans="1:11" ht="18.75" x14ac:dyDescent="0.3">
      <c r="C50" s="226" t="s">
        <v>80</v>
      </c>
      <c r="D50" s="227">
        <f>AVERAGE(E38:E41,G38:G41)</f>
        <v>69493312.393104449</v>
      </c>
      <c r="F50" s="133"/>
      <c r="H50" s="206"/>
    </row>
    <row r="51" spans="1:11" ht="18.75" x14ac:dyDescent="0.3">
      <c r="C51" s="129" t="s">
        <v>81</v>
      </c>
      <c r="D51" s="134">
        <f>STDEV(E38:E41,G38:G41)/D50</f>
        <v>6.7276550340871722E-3</v>
      </c>
      <c r="F51" s="133"/>
    </row>
    <row r="52" spans="1:11" ht="19.5" customHeight="1" x14ac:dyDescent="0.3">
      <c r="C52" s="131" t="s">
        <v>19</v>
      </c>
      <c r="D52" s="135">
        <f>COUNT(E38:E41,G38:G41)</f>
        <v>6</v>
      </c>
      <c r="F52" s="133"/>
    </row>
    <row r="53" spans="1:11" ht="33.75" x14ac:dyDescent="0.5">
      <c r="F53" s="281"/>
    </row>
    <row r="54" spans="1:11" ht="18.75" x14ac:dyDescent="0.3">
      <c r="A54" s="93" t="s">
        <v>1</v>
      </c>
      <c r="B54" s="136" t="s">
        <v>82</v>
      </c>
    </row>
    <row r="55" spans="1:11" ht="18.75" x14ac:dyDescent="0.3">
      <c r="A55" s="94" t="s">
        <v>83</v>
      </c>
      <c r="B55" s="97" t="str">
        <f>B21</f>
        <v>Each tablet contains 250mg Cefuroxime as Cefuroxime axetil</v>
      </c>
    </row>
    <row r="56" spans="1:11" ht="26.25" customHeight="1" x14ac:dyDescent="0.4">
      <c r="A56" s="96" t="s">
        <v>84</v>
      </c>
      <c r="B56" s="236">
        <v>250</v>
      </c>
      <c r="C56" s="94" t="str">
        <f>B20</f>
        <v xml:space="preserve">Cefuroxime </v>
      </c>
      <c r="H56" s="103"/>
    </row>
    <row r="57" spans="1:11" ht="18.75" x14ac:dyDescent="0.3">
      <c r="A57" s="97" t="s">
        <v>85</v>
      </c>
      <c r="B57" s="260">
        <f>Uniformity!C46</f>
        <v>454.6334999999998</v>
      </c>
      <c r="H57" s="103"/>
    </row>
    <row r="58" spans="1:11" ht="19.5" customHeight="1" x14ac:dyDescent="0.3">
      <c r="H58" s="103"/>
    </row>
    <row r="59" spans="1:11" s="11" customFormat="1" ht="27" customHeight="1" x14ac:dyDescent="0.4">
      <c r="A59" s="112" t="s">
        <v>86</v>
      </c>
      <c r="B59" s="238">
        <v>50</v>
      </c>
      <c r="C59" s="94"/>
      <c r="D59" s="138" t="s">
        <v>87</v>
      </c>
      <c r="E59" s="137" t="s">
        <v>88</v>
      </c>
      <c r="F59" s="137" t="s">
        <v>61</v>
      </c>
      <c r="G59" s="137" t="s">
        <v>89</v>
      </c>
      <c r="H59" s="115" t="s">
        <v>90</v>
      </c>
      <c r="K59" s="104"/>
    </row>
    <row r="60" spans="1:11" s="11" customFormat="1" ht="22.5" customHeight="1" x14ac:dyDescent="0.4">
      <c r="A60" s="113" t="s">
        <v>91</v>
      </c>
      <c r="B60" s="239">
        <v>4</v>
      </c>
      <c r="C60" s="331" t="s">
        <v>92</v>
      </c>
      <c r="D60" s="335">
        <v>107.97</v>
      </c>
      <c r="E60" s="139">
        <v>1</v>
      </c>
      <c r="F60" s="247">
        <f>31745974+33331513</f>
        <v>65077487</v>
      </c>
      <c r="G60" s="174">
        <f>IF(ISBLANK(F60),"-",(F60/$D$50*$D$47*$B$68)*($B$57/$D$60))</f>
        <v>236.59052293778646</v>
      </c>
      <c r="H60" s="176">
        <f>IF(ISBLANK(F60),"-",G60/$B$56)</f>
        <v>0.94636209175114583</v>
      </c>
      <c r="K60" s="104"/>
    </row>
    <row r="61" spans="1:11" s="11" customFormat="1" ht="26.25" customHeight="1" x14ac:dyDescent="0.4">
      <c r="A61" s="113" t="s">
        <v>93</v>
      </c>
      <c r="B61" s="239">
        <v>20</v>
      </c>
      <c r="C61" s="332"/>
      <c r="D61" s="336"/>
      <c r="E61" s="140">
        <v>2</v>
      </c>
      <c r="F61" s="241">
        <f>31262483+33060524</f>
        <v>64323007</v>
      </c>
      <c r="G61" s="175">
        <f>IF(ISBLANK(F61),"-",(F61/$D$50*$D$47*$B$68)*($B$57/$D$60))</f>
        <v>233.8475956064637</v>
      </c>
      <c r="H61" s="177">
        <f>IF(ISBLANK(F61),"-",G61/$B$56)</f>
        <v>0.93539038242585482</v>
      </c>
      <c r="K61" s="104"/>
    </row>
    <row r="62" spans="1:11" s="11" customFormat="1" ht="26.25" customHeight="1" x14ac:dyDescent="0.4">
      <c r="A62" s="113" t="s">
        <v>94</v>
      </c>
      <c r="B62" s="239">
        <v>1</v>
      </c>
      <c r="C62" s="332"/>
      <c r="D62" s="336"/>
      <c r="E62" s="140">
        <v>3</v>
      </c>
      <c r="F62" s="241">
        <f>31348048+33052469</f>
        <v>64400517</v>
      </c>
      <c r="G62" s="175">
        <f>IF(ISBLANK(F62),"-",(F62/$D$50*$D$47*$B$68)*($B$57/$D$60))</f>
        <v>234.12938478238729</v>
      </c>
      <c r="H62" s="177">
        <f t="shared" ref="H62:H71" si="2">IF(ISBLANK(F62),"-",G62/$B$56)</f>
        <v>0.93651753912954916</v>
      </c>
      <c r="K62" s="104"/>
    </row>
    <row r="63" spans="1:11" ht="21" customHeight="1" x14ac:dyDescent="0.4">
      <c r="A63" s="113" t="s">
        <v>95</v>
      </c>
      <c r="B63" s="239">
        <v>1</v>
      </c>
      <c r="C63" s="333"/>
      <c r="D63" s="337"/>
      <c r="E63" s="141">
        <v>4</v>
      </c>
      <c r="F63" s="248"/>
      <c r="G63" s="175" t="str">
        <f>IF(ISBLANK(F63),"-",(F63/$D$50*$D$47*$B$68)*($B$57/$D$60))</f>
        <v>-</v>
      </c>
      <c r="H63" s="177" t="str">
        <f t="shared" si="2"/>
        <v>-</v>
      </c>
    </row>
    <row r="64" spans="1:11" ht="26.25" customHeight="1" x14ac:dyDescent="0.4">
      <c r="A64" s="113" t="s">
        <v>96</v>
      </c>
      <c r="B64" s="239">
        <v>1</v>
      </c>
      <c r="C64" s="331" t="s">
        <v>97</v>
      </c>
      <c r="D64" s="335">
        <v>109.88</v>
      </c>
      <c r="E64" s="139">
        <v>1</v>
      </c>
      <c r="F64" s="247">
        <f>32987723+34742562</f>
        <v>67730285</v>
      </c>
      <c r="G64" s="202">
        <f>IF(ISBLANK(F64),"-",(F64/$D$50*$D$47*$B$68)*($B$57/$D$64))</f>
        <v>241.95462258047664</v>
      </c>
      <c r="H64" s="199">
        <f>IF(ISBLANK(F64),"-",G64/$B$56)</f>
        <v>0.96781849032190659</v>
      </c>
    </row>
    <row r="65" spans="1:8" ht="26.25" customHeight="1" x14ac:dyDescent="0.4">
      <c r="A65" s="113" t="s">
        <v>98</v>
      </c>
      <c r="B65" s="239">
        <v>1</v>
      </c>
      <c r="C65" s="332"/>
      <c r="D65" s="336"/>
      <c r="E65" s="140">
        <v>2</v>
      </c>
      <c r="F65" s="241">
        <f>32834809+34556059</f>
        <v>67390868</v>
      </c>
      <c r="G65" s="203">
        <f>IF(ISBLANK(F65),"-",(F65/$D$50*$D$47*$B$68)*($B$57/$D$64))</f>
        <v>240.74211458449818</v>
      </c>
      <c r="H65" s="200">
        <f>IF(ISBLANK(F65),"-",G65/$B$56)</f>
        <v>0.96296845833799272</v>
      </c>
    </row>
    <row r="66" spans="1:8" ht="26.25" customHeight="1" x14ac:dyDescent="0.4">
      <c r="A66" s="113" t="s">
        <v>99</v>
      </c>
      <c r="B66" s="239">
        <v>1</v>
      </c>
      <c r="C66" s="332"/>
      <c r="D66" s="336"/>
      <c r="E66" s="140">
        <v>3</v>
      </c>
      <c r="F66" s="241">
        <f>32302378+34070913</f>
        <v>66373291</v>
      </c>
      <c r="G66" s="203">
        <f>IF(ISBLANK(F66),"-",(F66/$D$50*$D$47*$B$68)*($B$57/$D$64))</f>
        <v>237.10699834393353</v>
      </c>
      <c r="H66" s="200">
        <f t="shared" si="2"/>
        <v>0.94842799337573414</v>
      </c>
    </row>
    <row r="67" spans="1:8" ht="21" customHeight="1" x14ac:dyDescent="0.4">
      <c r="A67" s="113" t="s">
        <v>100</v>
      </c>
      <c r="B67" s="239">
        <v>1</v>
      </c>
      <c r="C67" s="333"/>
      <c r="D67" s="337"/>
      <c r="E67" s="141">
        <v>4</v>
      </c>
      <c r="F67" s="248"/>
      <c r="G67" s="204" t="str">
        <f>IF(ISBLANK(F67),"-",(F67/$D$50*$D$47*$B$68)*($B$57/$D$64))</f>
        <v>-</v>
      </c>
      <c r="H67" s="201" t="str">
        <f t="shared" si="2"/>
        <v>-</v>
      </c>
    </row>
    <row r="68" spans="1:8" ht="21.75" customHeight="1" x14ac:dyDescent="0.4">
      <c r="A68" s="113" t="s">
        <v>101</v>
      </c>
      <c r="B68" s="211">
        <f>(B67/B66)*(B65/B64)*(B63/B62)*(B61/B60)*B59</f>
        <v>250</v>
      </c>
      <c r="C68" s="331" t="s">
        <v>102</v>
      </c>
      <c r="D68" s="335">
        <v>108.37</v>
      </c>
      <c r="E68" s="139">
        <v>1</v>
      </c>
      <c r="F68" s="247">
        <f>32037151+34061146</f>
        <v>66098297</v>
      </c>
      <c r="G68" s="202">
        <f>IF(ISBLANK(F68),"-",(F68/$D$50*$D$47*$B$68)*($B$57/$D$68))</f>
        <v>239.41473077692694</v>
      </c>
      <c r="H68" s="177">
        <f>IF(ISBLANK(F68),"-",G68/$B$56)</f>
        <v>0.95765892310770773</v>
      </c>
    </row>
    <row r="69" spans="1:8" ht="21.75" customHeight="1" x14ac:dyDescent="0.4">
      <c r="A69" s="228" t="s">
        <v>103</v>
      </c>
      <c r="B69" s="246">
        <f>D47*B68/B56*B57</f>
        <v>109.11203999999995</v>
      </c>
      <c r="C69" s="332"/>
      <c r="D69" s="336"/>
      <c r="E69" s="140">
        <v>2</v>
      </c>
      <c r="F69" s="241">
        <f>31775204+33506764</f>
        <v>65281968</v>
      </c>
      <c r="G69" s="203">
        <f>IF(ISBLANK(F69),"-",(F69/$D$50*$D$47*$B$68)*($B$57/$D$68))</f>
        <v>236.45790440422329</v>
      </c>
      <c r="H69" s="177">
        <f>IF(ISBLANK(F69),"-",G69/$B$56)</f>
        <v>0.94583161761689316</v>
      </c>
    </row>
    <row r="70" spans="1:8" ht="22.5" customHeight="1" x14ac:dyDescent="0.4">
      <c r="A70" s="325" t="s">
        <v>75</v>
      </c>
      <c r="B70" s="326"/>
      <c r="C70" s="332"/>
      <c r="D70" s="336"/>
      <c r="E70" s="140">
        <v>3</v>
      </c>
      <c r="F70" s="241">
        <f>31515267+33224651</f>
        <v>64739918</v>
      </c>
      <c r="G70" s="203">
        <f>IF(ISBLANK(F70),"-",(F70/$D$50*$D$47*$B$68)*($B$57/$D$68))</f>
        <v>234.4945443676155</v>
      </c>
      <c r="H70" s="177">
        <f t="shared" si="2"/>
        <v>0.93797817747046197</v>
      </c>
    </row>
    <row r="71" spans="1:8" ht="21.75" customHeight="1" x14ac:dyDescent="0.4">
      <c r="A71" s="327"/>
      <c r="B71" s="328"/>
      <c r="C71" s="334"/>
      <c r="D71" s="337"/>
      <c r="E71" s="141">
        <v>4</v>
      </c>
      <c r="F71" s="248"/>
      <c r="G71" s="204" t="str">
        <f>IF(ISBLANK(F71),"-",(F71/$D$50*$D$47*$B$68)*($B$57/$D$68))</f>
        <v>-</v>
      </c>
      <c r="H71" s="178" t="str">
        <f t="shared" si="2"/>
        <v>-</v>
      </c>
    </row>
    <row r="72" spans="1:8" ht="26.25" customHeight="1" x14ac:dyDescent="0.4">
      <c r="A72" s="142"/>
      <c r="B72" s="142"/>
      <c r="C72" s="142"/>
      <c r="D72" s="142"/>
      <c r="E72" s="142"/>
      <c r="F72" s="143"/>
      <c r="G72" s="132" t="s">
        <v>68</v>
      </c>
      <c r="H72" s="249">
        <f>AVERAGE(H60:H71)</f>
        <v>0.94877263039302739</v>
      </c>
    </row>
    <row r="73" spans="1:8" ht="26.25" customHeight="1" x14ac:dyDescent="0.4">
      <c r="C73" s="142"/>
      <c r="D73" s="142"/>
      <c r="E73" s="142"/>
      <c r="F73" s="143"/>
      <c r="G73" s="129" t="s">
        <v>81</v>
      </c>
      <c r="H73" s="250">
        <f>STDEV(H60:H71)/H72</f>
        <v>1.2379394630180085E-2</v>
      </c>
    </row>
    <row r="74" spans="1:8" ht="27" customHeight="1" x14ac:dyDescent="0.4">
      <c r="A74" s="142"/>
      <c r="B74" s="142"/>
      <c r="C74" s="143"/>
      <c r="D74" s="143"/>
      <c r="E74" s="144"/>
      <c r="F74" s="143"/>
      <c r="G74" s="131" t="s">
        <v>19</v>
      </c>
      <c r="H74" s="251">
        <f>COUNT(H60:H71)</f>
        <v>9</v>
      </c>
    </row>
    <row r="75" spans="1:8" ht="18.75" x14ac:dyDescent="0.3">
      <c r="A75" s="142"/>
      <c r="B75" s="142"/>
      <c r="C75" s="143"/>
      <c r="D75" s="143"/>
      <c r="E75" s="144"/>
      <c r="F75" s="143"/>
      <c r="G75" s="164"/>
      <c r="H75" s="218"/>
    </row>
    <row r="76" spans="1:8" ht="18.75" x14ac:dyDescent="0.3">
      <c r="A76" s="100" t="s">
        <v>104</v>
      </c>
      <c r="B76" s="233" t="s">
        <v>105</v>
      </c>
      <c r="C76" s="329" t="str">
        <f>B20</f>
        <v xml:space="preserve">Cefuroxime </v>
      </c>
      <c r="D76" s="329"/>
      <c r="E76" s="234" t="s">
        <v>106</v>
      </c>
      <c r="F76" s="234"/>
      <c r="G76" s="235">
        <f>H72</f>
        <v>0.94877263039302739</v>
      </c>
      <c r="H76" s="218"/>
    </row>
    <row r="77" spans="1:8" ht="18.75" x14ac:dyDescent="0.3">
      <c r="A77" s="142"/>
      <c r="B77" s="142"/>
      <c r="C77" s="143"/>
      <c r="D77" s="143"/>
      <c r="E77" s="144"/>
      <c r="F77" s="143"/>
      <c r="G77" s="164"/>
      <c r="H77" s="218"/>
    </row>
    <row r="78" spans="1:8" ht="26.25" customHeight="1" x14ac:dyDescent="0.4">
      <c r="A78" s="99" t="s">
        <v>107</v>
      </c>
      <c r="B78" s="99" t="s">
        <v>108</v>
      </c>
      <c r="D78" s="253" t="s">
        <v>117</v>
      </c>
    </row>
    <row r="79" spans="1:8" ht="18.75" x14ac:dyDescent="0.3">
      <c r="A79" s="99"/>
      <c r="B79" s="99"/>
    </row>
    <row r="80" spans="1:8" ht="26.25" customHeight="1" x14ac:dyDescent="0.4">
      <c r="A80" s="100" t="s">
        <v>4</v>
      </c>
      <c r="B80" s="311" t="str">
        <f>B26</f>
        <v>Cefuroxime axetil</v>
      </c>
      <c r="C80" s="311"/>
    </row>
    <row r="81" spans="1:11" ht="26.25" customHeight="1" x14ac:dyDescent="0.4">
      <c r="A81" s="102" t="s">
        <v>46</v>
      </c>
      <c r="B81" s="236" t="str">
        <f>B27</f>
        <v>WRS/C66-1</v>
      </c>
    </row>
    <row r="82" spans="1:11" ht="27" customHeight="1" x14ac:dyDescent="0.4">
      <c r="A82" s="102" t="s">
        <v>6</v>
      </c>
      <c r="B82" s="236">
        <f>B28</f>
        <v>96.5</v>
      </c>
    </row>
    <row r="83" spans="1:11" s="11" customFormat="1" ht="27" customHeight="1" x14ac:dyDescent="0.4">
      <c r="A83" s="102" t="s">
        <v>47</v>
      </c>
      <c r="B83" s="236">
        <f>B29</f>
        <v>0</v>
      </c>
      <c r="C83" s="322" t="s">
        <v>48</v>
      </c>
      <c r="D83" s="323"/>
      <c r="E83" s="323"/>
      <c r="F83" s="323"/>
      <c r="G83" s="324"/>
      <c r="I83" s="104"/>
      <c r="J83" s="104"/>
      <c r="K83" s="104"/>
    </row>
    <row r="84" spans="1:11" s="11" customFormat="1" ht="19.5" customHeight="1" x14ac:dyDescent="0.3">
      <c r="A84" s="102" t="s">
        <v>49</v>
      </c>
      <c r="B84" s="101">
        <f>B82-B83</f>
        <v>96.5</v>
      </c>
      <c r="C84" s="105"/>
      <c r="D84" s="105"/>
      <c r="E84" s="105"/>
      <c r="F84" s="105"/>
      <c r="G84" s="106"/>
      <c r="I84" s="104"/>
      <c r="J84" s="104"/>
      <c r="K84" s="104"/>
    </row>
    <row r="85" spans="1:11" s="11" customFormat="1" ht="27" customHeight="1" x14ac:dyDescent="0.4">
      <c r="A85" s="102" t="s">
        <v>50</v>
      </c>
      <c r="B85" s="272">
        <v>424.38600000000002</v>
      </c>
      <c r="C85" s="308" t="s">
        <v>51</v>
      </c>
      <c r="D85" s="309"/>
      <c r="E85" s="309"/>
      <c r="F85" s="309"/>
      <c r="G85" s="309"/>
      <c r="H85" s="310"/>
      <c r="I85" s="104"/>
      <c r="J85" s="104"/>
      <c r="K85" s="104"/>
    </row>
    <row r="86" spans="1:11" s="11" customFormat="1" ht="27" customHeight="1" x14ac:dyDescent="0.4">
      <c r="A86" s="102" t="s">
        <v>52</v>
      </c>
      <c r="B86" s="272">
        <v>510.47</v>
      </c>
      <c r="C86" s="308" t="s">
        <v>53</v>
      </c>
      <c r="D86" s="309"/>
      <c r="E86" s="309"/>
      <c r="F86" s="309"/>
      <c r="G86" s="309"/>
      <c r="H86" s="310"/>
      <c r="I86" s="104"/>
      <c r="J86" s="104"/>
      <c r="K86" s="104"/>
    </row>
    <row r="87" spans="1:11" s="11" customFormat="1" ht="18.75" x14ac:dyDescent="0.3">
      <c r="A87" s="102"/>
      <c r="B87" s="101"/>
      <c r="C87" s="105"/>
      <c r="D87" s="105"/>
      <c r="E87" s="105"/>
      <c r="F87" s="105"/>
      <c r="G87" s="106"/>
      <c r="I87" s="104"/>
      <c r="J87" s="104"/>
      <c r="K87" s="104"/>
    </row>
    <row r="88" spans="1:11" s="11" customFormat="1" ht="18.75" x14ac:dyDescent="0.3">
      <c r="A88" s="102" t="s">
        <v>54</v>
      </c>
      <c r="B88" s="111">
        <f>B85/B86</f>
        <v>0.83136325347229023</v>
      </c>
      <c r="C88" s="94" t="s">
        <v>55</v>
      </c>
      <c r="D88" s="105"/>
      <c r="E88" s="105"/>
      <c r="F88" s="105"/>
      <c r="G88" s="106"/>
      <c r="I88" s="104"/>
      <c r="J88" s="104"/>
      <c r="K88" s="104"/>
    </row>
    <row r="89" spans="1:11" ht="19.5" customHeight="1" x14ac:dyDescent="0.3">
      <c r="A89" s="99"/>
      <c r="B89" s="99"/>
    </row>
    <row r="90" spans="1:11" ht="27" customHeight="1" x14ac:dyDescent="0.4">
      <c r="A90" s="112" t="s">
        <v>56</v>
      </c>
      <c r="B90" s="238">
        <v>100</v>
      </c>
      <c r="D90" s="172" t="s">
        <v>57</v>
      </c>
      <c r="E90" s="173"/>
      <c r="F90" s="314" t="s">
        <v>58</v>
      </c>
      <c r="G90" s="315"/>
    </row>
    <row r="91" spans="1:11" ht="26.25" customHeight="1" x14ac:dyDescent="0.4">
      <c r="A91" s="113" t="s">
        <v>59</v>
      </c>
      <c r="B91" s="239">
        <v>3</v>
      </c>
      <c r="C91" s="169" t="s">
        <v>60</v>
      </c>
      <c r="D91" s="116" t="s">
        <v>61</v>
      </c>
      <c r="E91" s="170" t="s">
        <v>62</v>
      </c>
      <c r="F91" s="116" t="s">
        <v>61</v>
      </c>
      <c r="G91" s="117" t="s">
        <v>62</v>
      </c>
    </row>
    <row r="92" spans="1:11" ht="26.25" customHeight="1" x14ac:dyDescent="0.4">
      <c r="A92" s="113" t="s">
        <v>63</v>
      </c>
      <c r="B92" s="239">
        <v>50</v>
      </c>
      <c r="C92" s="168">
        <v>1</v>
      </c>
      <c r="D92" s="240">
        <v>0.43380000000000002</v>
      </c>
      <c r="E92" s="186">
        <f>IF(ISBLANK(D92),"-",$D$102/$D$99*D92)</f>
        <v>0.50803194974673105</v>
      </c>
      <c r="F92" s="273">
        <v>0.49</v>
      </c>
      <c r="G92" s="189">
        <f>IF(ISBLANK(F92),"-",$D$102/$F$99*F92)</f>
        <v>0.50788333790431017</v>
      </c>
    </row>
    <row r="93" spans="1:11" ht="26.25" customHeight="1" x14ac:dyDescent="0.4">
      <c r="A93" s="113" t="s">
        <v>64</v>
      </c>
      <c r="B93" s="239">
        <v>1</v>
      </c>
      <c r="C93" s="143">
        <v>2</v>
      </c>
      <c r="D93" s="241">
        <v>0.43840000000000001</v>
      </c>
      <c r="E93" s="187">
        <f>IF(ISBLANK(D93),"-",$D$102/$D$99*D93)</f>
        <v>0.51341910274081815</v>
      </c>
      <c r="F93" s="274">
        <v>0.49049999999999999</v>
      </c>
      <c r="G93" s="190">
        <f>IF(ISBLANK(F93),"-",$D$102/$F$99*F93)</f>
        <v>0.50840158620829423</v>
      </c>
    </row>
    <row r="94" spans="1:11" ht="26.25" customHeight="1" x14ac:dyDescent="0.4">
      <c r="A94" s="113" t="s">
        <v>65</v>
      </c>
      <c r="B94" s="239">
        <v>1</v>
      </c>
      <c r="C94" s="143">
        <v>3</v>
      </c>
      <c r="D94" s="241">
        <v>0.43869999999999998</v>
      </c>
      <c r="E94" s="187">
        <f>IF(ISBLANK(D94),"-",$D$102/$D$99*D94)</f>
        <v>0.51377043880564988</v>
      </c>
      <c r="F94" s="274">
        <v>0.49099999999999999</v>
      </c>
      <c r="G94" s="190">
        <f>IF(ISBLANK(F94),"-",$D$102/$F$99*F94)</f>
        <v>0.50891983451227818</v>
      </c>
    </row>
    <row r="95" spans="1:11" ht="26.25" customHeight="1" x14ac:dyDescent="0.4">
      <c r="A95" s="113" t="s">
        <v>66</v>
      </c>
      <c r="B95" s="239">
        <v>1</v>
      </c>
      <c r="C95" s="171">
        <v>4</v>
      </c>
      <c r="D95" s="242"/>
      <c r="E95" s="188" t="str">
        <f>IF(ISBLANK(D95),"-",$D$102/$D$99*D95)</f>
        <v>-</v>
      </c>
      <c r="F95" s="252"/>
      <c r="G95" s="191" t="str">
        <f>IF(ISBLANK(F95),"-",$D$102/$F$99*F95)</f>
        <v>-</v>
      </c>
    </row>
    <row r="96" spans="1:11" ht="27" customHeight="1" x14ac:dyDescent="0.4">
      <c r="A96" s="113" t="s">
        <v>67</v>
      </c>
      <c r="B96" s="239">
        <v>1</v>
      </c>
      <c r="C96" s="164" t="s">
        <v>68</v>
      </c>
      <c r="D96" s="339">
        <f>AVERAGE(D92:D95)</f>
        <v>0.43696666666666673</v>
      </c>
      <c r="E96" s="146">
        <f>AVERAGE(E92:E95)</f>
        <v>0.51174049709773306</v>
      </c>
      <c r="F96" s="340">
        <f>AVERAGE(F92:F95)</f>
        <v>0.49049999999999994</v>
      </c>
      <c r="G96" s="192">
        <f>AVERAGE(G92:G95)</f>
        <v>0.50840158620829412</v>
      </c>
    </row>
    <row r="97" spans="1:9" ht="26.25" customHeight="1" x14ac:dyDescent="0.4">
      <c r="A97" s="113" t="s">
        <v>69</v>
      </c>
      <c r="B97" s="237">
        <v>1</v>
      </c>
      <c r="C97" s="220" t="s">
        <v>70</v>
      </c>
      <c r="D97" s="243">
        <v>19.71</v>
      </c>
      <c r="E97" s="234"/>
      <c r="F97" s="244">
        <v>22.27</v>
      </c>
      <c r="G97" s="205"/>
    </row>
    <row r="98" spans="1:9" ht="26.25" customHeight="1" x14ac:dyDescent="0.4">
      <c r="A98" s="113" t="s">
        <v>71</v>
      </c>
      <c r="B98" s="237">
        <v>1</v>
      </c>
      <c r="C98" s="221" t="s">
        <v>72</v>
      </c>
      <c r="D98" s="222">
        <f>D97*B88</f>
        <v>16.386169725938842</v>
      </c>
      <c r="E98" s="125"/>
      <c r="F98" s="124">
        <f>F97*B88</f>
        <v>18.514459654827903</v>
      </c>
    </row>
    <row r="99" spans="1:9" ht="19.5" customHeight="1" x14ac:dyDescent="0.3">
      <c r="A99" s="113" t="s">
        <v>73</v>
      </c>
      <c r="B99" s="219">
        <f>(B98/B97)*(B96/B95)*(B94/B93)*(B92/B91)*B90</f>
        <v>1666.6666666666667</v>
      </c>
      <c r="C99" s="221" t="s">
        <v>74</v>
      </c>
      <c r="D99" s="223">
        <f>D98*$B$84/100</f>
        <v>15.812653785530983</v>
      </c>
      <c r="E99" s="127"/>
      <c r="F99" s="126">
        <f>F98*$B$84/100</f>
        <v>17.866453566908927</v>
      </c>
    </row>
    <row r="100" spans="1:9" ht="19.5" customHeight="1" x14ac:dyDescent="0.3">
      <c r="A100" s="316" t="s">
        <v>75</v>
      </c>
      <c r="B100" s="317"/>
      <c r="C100" s="221" t="s">
        <v>76</v>
      </c>
      <c r="D100" s="222">
        <f>D99/$B$99</f>
        <v>9.4875922713185904E-3</v>
      </c>
      <c r="E100" s="127"/>
      <c r="F100" s="128">
        <f>F99/$B$99</f>
        <v>1.0719872140145355E-2</v>
      </c>
      <c r="G100" s="205"/>
      <c r="H100" s="206"/>
    </row>
    <row r="101" spans="1:9" ht="19.5" customHeight="1" x14ac:dyDescent="0.3">
      <c r="A101" s="318"/>
      <c r="B101" s="319"/>
      <c r="C101" s="221" t="s">
        <v>77</v>
      </c>
      <c r="D101" s="229">
        <f>$B$56/$B$117</f>
        <v>1.1111111111111112E-2</v>
      </c>
      <c r="F101" s="130"/>
      <c r="G101" s="207"/>
      <c r="H101" s="206"/>
    </row>
    <row r="102" spans="1:9" ht="18.75" x14ac:dyDescent="0.3">
      <c r="C102" s="221" t="s">
        <v>78</v>
      </c>
      <c r="D102" s="222">
        <f>D101*$B$99</f>
        <v>18.518518518518519</v>
      </c>
      <c r="F102" s="130"/>
      <c r="G102" s="205"/>
      <c r="H102" s="206"/>
    </row>
    <row r="103" spans="1:9" ht="19.5" customHeight="1" x14ac:dyDescent="0.3">
      <c r="C103" s="224" t="s">
        <v>79</v>
      </c>
      <c r="D103" s="230">
        <f>D102/B34</f>
        <v>22.274882178366273</v>
      </c>
      <c r="F103" s="133"/>
      <c r="G103" s="205"/>
      <c r="H103" s="206"/>
      <c r="I103" s="147"/>
    </row>
    <row r="104" spans="1:9" ht="18.75" x14ac:dyDescent="0.3">
      <c r="C104" s="226" t="s">
        <v>109</v>
      </c>
      <c r="D104" s="227">
        <f>AVERAGE(E92:E95,G92:G95)</f>
        <v>0.51007104165301365</v>
      </c>
      <c r="F104" s="133"/>
      <c r="G104" s="208"/>
      <c r="H104" s="206"/>
      <c r="I104" s="149"/>
    </row>
    <row r="105" spans="1:9" ht="18.75" x14ac:dyDescent="0.3">
      <c r="C105" s="129" t="s">
        <v>81</v>
      </c>
      <c r="D105" s="148">
        <f>STDEV(E92:E95,G92:G95)/D104</f>
        <v>5.4012959527861551E-3</v>
      </c>
      <c r="F105" s="133"/>
      <c r="G105" s="205"/>
      <c r="H105" s="206"/>
      <c r="I105" s="149"/>
    </row>
    <row r="106" spans="1:9" ht="19.5" customHeight="1" x14ac:dyDescent="0.3">
      <c r="C106" s="131" t="s">
        <v>19</v>
      </c>
      <c r="D106" s="150">
        <f>COUNT(E92:E95,G92:G95)</f>
        <v>6</v>
      </c>
      <c r="F106" s="133"/>
      <c r="G106" s="205"/>
      <c r="H106" s="206"/>
      <c r="I106" s="149"/>
    </row>
    <row r="107" spans="1:9" ht="19.5" customHeight="1" x14ac:dyDescent="0.3">
      <c r="A107" s="93"/>
      <c r="B107" s="93"/>
      <c r="C107" s="93"/>
      <c r="D107" s="93"/>
      <c r="E107" s="93"/>
    </row>
    <row r="108" spans="1:9" ht="26.25" customHeight="1" x14ac:dyDescent="0.4">
      <c r="A108" s="112" t="s">
        <v>110</v>
      </c>
      <c r="B108" s="238">
        <v>900</v>
      </c>
      <c r="C108" s="151" t="s">
        <v>111</v>
      </c>
      <c r="D108" s="152" t="s">
        <v>61</v>
      </c>
      <c r="E108" s="153" t="s">
        <v>112</v>
      </c>
      <c r="F108" s="154" t="s">
        <v>113</v>
      </c>
    </row>
    <row r="109" spans="1:9" ht="26.25" customHeight="1" x14ac:dyDescent="0.4">
      <c r="A109" s="113" t="s">
        <v>91</v>
      </c>
      <c r="B109" s="239">
        <v>2</v>
      </c>
      <c r="C109" s="119">
        <v>1</v>
      </c>
      <c r="D109" s="275">
        <v>0.41270000000000001</v>
      </c>
      <c r="E109" s="155">
        <f>IF(ISBLANK(D109),"-",D109/$D$104*$D$101*$B$117)</f>
        <v>202.27574509157674</v>
      </c>
      <c r="F109" s="156">
        <f t="shared" ref="F109:F114" si="3">IF(ISBLANK(D109), "-", E109/$B$56)</f>
        <v>0.8091029803663069</v>
      </c>
    </row>
    <row r="110" spans="1:9" ht="26.25" customHeight="1" x14ac:dyDescent="0.4">
      <c r="A110" s="113" t="s">
        <v>93</v>
      </c>
      <c r="B110" s="239">
        <v>50</v>
      </c>
      <c r="C110" s="119">
        <v>2</v>
      </c>
      <c r="D110" s="275">
        <v>0.42820000000000003</v>
      </c>
      <c r="E110" s="157">
        <f t="shared" ref="E110:E114" si="4">IF(ISBLANK(D110),"-",D110/$D$104*$D$101*$B$117)</f>
        <v>209.87272606787778</v>
      </c>
      <c r="F110" s="179">
        <f t="shared" si="3"/>
        <v>0.83949090427151107</v>
      </c>
    </row>
    <row r="111" spans="1:9" ht="26.25" customHeight="1" x14ac:dyDescent="0.4">
      <c r="A111" s="113" t="s">
        <v>94</v>
      </c>
      <c r="B111" s="239">
        <v>1</v>
      </c>
      <c r="C111" s="119">
        <v>3</v>
      </c>
      <c r="D111" s="275">
        <v>0.4657</v>
      </c>
      <c r="E111" s="157">
        <f t="shared" si="4"/>
        <v>228.25251875247704</v>
      </c>
      <c r="F111" s="179">
        <f t="shared" si="3"/>
        <v>0.91301007500990816</v>
      </c>
    </row>
    <row r="112" spans="1:9" ht="26.25" customHeight="1" x14ac:dyDescent="0.4">
      <c r="A112" s="113" t="s">
        <v>95</v>
      </c>
      <c r="B112" s="239">
        <v>1</v>
      </c>
      <c r="C112" s="119">
        <v>4</v>
      </c>
      <c r="D112" s="275">
        <v>0.46279999999999999</v>
      </c>
      <c r="E112" s="157">
        <f t="shared" si="4"/>
        <v>226.83114811820138</v>
      </c>
      <c r="F112" s="179">
        <f t="shared" si="3"/>
        <v>0.9073245924728055</v>
      </c>
    </row>
    <row r="113" spans="1:9" ht="26.25" customHeight="1" x14ac:dyDescent="0.4">
      <c r="A113" s="113" t="s">
        <v>96</v>
      </c>
      <c r="B113" s="239">
        <v>1</v>
      </c>
      <c r="C113" s="119">
        <v>5</v>
      </c>
      <c r="D113" s="275">
        <v>0.4738</v>
      </c>
      <c r="E113" s="157">
        <f t="shared" si="4"/>
        <v>232.22255397235051</v>
      </c>
      <c r="F113" s="179">
        <f t="shared" si="3"/>
        <v>0.92889021588940202</v>
      </c>
    </row>
    <row r="114" spans="1:9" ht="26.25" customHeight="1" x14ac:dyDescent="0.4">
      <c r="A114" s="113" t="s">
        <v>98</v>
      </c>
      <c r="B114" s="239">
        <v>1</v>
      </c>
      <c r="C114" s="122">
        <v>6</v>
      </c>
      <c r="D114" s="276">
        <v>0.46460000000000001</v>
      </c>
      <c r="E114" s="158">
        <f t="shared" si="4"/>
        <v>227.71337816706213</v>
      </c>
      <c r="F114" s="180">
        <f t="shared" si="3"/>
        <v>0.91085351266824854</v>
      </c>
    </row>
    <row r="115" spans="1:9" ht="26.25" customHeight="1" x14ac:dyDescent="0.4">
      <c r="A115" s="113" t="s">
        <v>99</v>
      </c>
      <c r="B115" s="239">
        <v>1</v>
      </c>
      <c r="C115" s="119"/>
      <c r="D115" s="143"/>
      <c r="E115" s="145"/>
      <c r="F115" s="159"/>
    </row>
    <row r="116" spans="1:9" ht="26.25" customHeight="1" x14ac:dyDescent="0.4">
      <c r="A116" s="113" t="s">
        <v>100</v>
      </c>
      <c r="B116" s="239">
        <v>1</v>
      </c>
      <c r="C116" s="119"/>
      <c r="D116" s="160"/>
      <c r="E116" s="161" t="s">
        <v>68</v>
      </c>
      <c r="F116" s="254">
        <f>AVERAGE(F109:F114)</f>
        <v>0.88477871344636372</v>
      </c>
    </row>
    <row r="117" spans="1:9" ht="27" customHeight="1" x14ac:dyDescent="0.4">
      <c r="A117" s="113" t="s">
        <v>101</v>
      </c>
      <c r="B117" s="210">
        <f>(B116/B115)*(B114/B113)*(B112/B111)*(B110/B109)*B108</f>
        <v>22500</v>
      </c>
      <c r="C117" s="162"/>
      <c r="D117" s="163"/>
      <c r="E117" s="164" t="s">
        <v>81</v>
      </c>
      <c r="F117" s="255">
        <f>STDEV(F109:F114)/F116</f>
        <v>5.4693715242359497E-2</v>
      </c>
    </row>
    <row r="118" spans="1:9" ht="27" customHeight="1" x14ac:dyDescent="0.4">
      <c r="A118" s="316" t="s">
        <v>75</v>
      </c>
      <c r="B118" s="320"/>
      <c r="C118" s="165"/>
      <c r="D118" s="166"/>
      <c r="E118" s="167" t="s">
        <v>19</v>
      </c>
      <c r="F118" s="256">
        <f>COUNT(F109:F114)</f>
        <v>6</v>
      </c>
      <c r="I118" s="149"/>
    </row>
    <row r="119" spans="1:9" ht="19.5" customHeight="1" x14ac:dyDescent="0.3">
      <c r="A119" s="318"/>
      <c r="B119" s="321"/>
      <c r="C119" s="145"/>
      <c r="D119" s="145"/>
      <c r="E119" s="145"/>
      <c r="F119" s="143"/>
      <c r="G119" s="145"/>
      <c r="H119" s="145"/>
    </row>
    <row r="120" spans="1:9" ht="18.75" x14ac:dyDescent="0.3">
      <c r="A120" s="110"/>
      <c r="B120" s="110"/>
      <c r="C120" s="145"/>
      <c r="D120" s="145"/>
      <c r="E120" s="145"/>
      <c r="F120" s="143"/>
      <c r="G120" s="145"/>
      <c r="H120" s="145"/>
    </row>
    <row r="121" spans="1:9" ht="26.25" customHeight="1" x14ac:dyDescent="0.4">
      <c r="A121" s="100" t="s">
        <v>104</v>
      </c>
      <c r="B121" s="233" t="s">
        <v>105</v>
      </c>
      <c r="C121" s="329" t="str">
        <f>B20</f>
        <v xml:space="preserve">Cefuroxime </v>
      </c>
      <c r="D121" s="329"/>
      <c r="E121" s="234" t="s">
        <v>114</v>
      </c>
      <c r="F121" s="234"/>
      <c r="G121" s="257">
        <f>F116</f>
        <v>0.88477871344636372</v>
      </c>
      <c r="H121" s="145"/>
    </row>
    <row r="122" spans="1:9" ht="18.75" x14ac:dyDescent="0.3">
      <c r="A122" s="110"/>
      <c r="B122" s="110"/>
      <c r="C122" s="145"/>
      <c r="D122" s="145"/>
      <c r="E122" s="145"/>
      <c r="F122" s="143"/>
      <c r="G122" s="145"/>
      <c r="H122" s="145"/>
    </row>
    <row r="123" spans="1:9" ht="26.25" customHeight="1" x14ac:dyDescent="0.4">
      <c r="A123" s="99" t="s">
        <v>107</v>
      </c>
      <c r="B123" s="99" t="s">
        <v>108</v>
      </c>
      <c r="D123" s="253" t="s">
        <v>118</v>
      </c>
    </row>
    <row r="124" spans="1:9" ht="19.5" customHeight="1" x14ac:dyDescent="0.3">
      <c r="A124" s="93"/>
      <c r="B124" s="93"/>
      <c r="C124" s="93"/>
      <c r="D124" s="93"/>
      <c r="E124" s="93"/>
    </row>
    <row r="125" spans="1:9" ht="26.25" customHeight="1" x14ac:dyDescent="0.4">
      <c r="A125" s="112" t="s">
        <v>110</v>
      </c>
      <c r="B125" s="279">
        <v>900</v>
      </c>
      <c r="C125" s="151" t="s">
        <v>111</v>
      </c>
      <c r="D125" s="152" t="s">
        <v>61</v>
      </c>
      <c r="E125" s="153" t="s">
        <v>112</v>
      </c>
      <c r="F125" s="154" t="s">
        <v>113</v>
      </c>
    </row>
    <row r="126" spans="1:9" ht="26.25" customHeight="1" x14ac:dyDescent="0.4">
      <c r="A126" s="113" t="s">
        <v>91</v>
      </c>
      <c r="B126" s="280">
        <v>2</v>
      </c>
      <c r="C126" s="119">
        <v>1</v>
      </c>
      <c r="D126" s="277">
        <v>0.50560000000000005</v>
      </c>
      <c r="E126" s="215">
        <f>IF(ISBLANK(D126),"-",D126/$D$104*$D$101*$B$134)</f>
        <v>247.80861816889072</v>
      </c>
      <c r="F126" s="212">
        <f t="shared" ref="F126:F130" si="5">IF(ISBLANK(D126), "-", E126/$B$56)</f>
        <v>0.99123447267556286</v>
      </c>
    </row>
    <row r="127" spans="1:9" ht="26.25" customHeight="1" x14ac:dyDescent="0.4">
      <c r="A127" s="113" t="s">
        <v>93</v>
      </c>
      <c r="B127" s="280">
        <v>50</v>
      </c>
      <c r="C127" s="119">
        <v>2</v>
      </c>
      <c r="D127" s="277">
        <v>0.49790000000000001</v>
      </c>
      <c r="E127" s="216">
        <f t="shared" ref="E127:E131" si="6">IF(ISBLANK(D127),"-",D127/$D$104*$D$101*$B$134)</f>
        <v>244.0346340709863</v>
      </c>
      <c r="F127" s="213">
        <f>IF(ISBLANK(D127), "-", E127/$B$56)</f>
        <v>0.9761385362839452</v>
      </c>
    </row>
    <row r="128" spans="1:9" ht="26.25" customHeight="1" x14ac:dyDescent="0.4">
      <c r="A128" s="113" t="s">
        <v>94</v>
      </c>
      <c r="B128" s="280">
        <v>1</v>
      </c>
      <c r="C128" s="119">
        <v>3</v>
      </c>
      <c r="D128" s="277">
        <v>0.48730000000000001</v>
      </c>
      <c r="E128" s="216">
        <f t="shared" si="6"/>
        <v>238.83927933880625</v>
      </c>
      <c r="F128" s="213">
        <f t="shared" si="5"/>
        <v>0.95535711735522499</v>
      </c>
    </row>
    <row r="129" spans="1:9" ht="26.25" customHeight="1" x14ac:dyDescent="0.4">
      <c r="A129" s="113" t="s">
        <v>95</v>
      </c>
      <c r="B129" s="280">
        <v>1</v>
      </c>
      <c r="C129" s="119">
        <v>4</v>
      </c>
      <c r="D129" s="277">
        <v>0.49790000000000001</v>
      </c>
      <c r="E129" s="216">
        <f t="shared" si="6"/>
        <v>244.0346340709863</v>
      </c>
      <c r="F129" s="213">
        <f>IF(ISBLANK(D129), "-", E129/$B$56)</f>
        <v>0.9761385362839452</v>
      </c>
    </row>
    <row r="130" spans="1:9" ht="26.25" customHeight="1" x14ac:dyDescent="0.4">
      <c r="A130" s="113" t="s">
        <v>96</v>
      </c>
      <c r="B130" s="280">
        <v>1</v>
      </c>
      <c r="C130" s="119">
        <v>5</v>
      </c>
      <c r="D130" s="277">
        <v>0.47339999999999999</v>
      </c>
      <c r="E130" s="216">
        <f t="shared" si="6"/>
        <v>232.02650285038146</v>
      </c>
      <c r="F130" s="213">
        <f t="shared" si="5"/>
        <v>0.92810601140152582</v>
      </c>
    </row>
    <row r="131" spans="1:9" ht="26.25" customHeight="1" x14ac:dyDescent="0.4">
      <c r="A131" s="113" t="s">
        <v>98</v>
      </c>
      <c r="B131" s="280">
        <v>1</v>
      </c>
      <c r="C131" s="122">
        <v>6</v>
      </c>
      <c r="D131" s="278">
        <v>0.5071</v>
      </c>
      <c r="E131" s="217">
        <f t="shared" si="6"/>
        <v>248.54380987627468</v>
      </c>
      <c r="F131" s="214">
        <f>IF(ISBLANK(D131), "-", E131/$B$56)</f>
        <v>0.99417523950509867</v>
      </c>
    </row>
    <row r="132" spans="1:9" ht="26.25" customHeight="1" x14ac:dyDescent="0.4">
      <c r="A132" s="113" t="s">
        <v>99</v>
      </c>
      <c r="B132" s="280">
        <v>1</v>
      </c>
      <c r="C132" s="119"/>
      <c r="D132" s="143"/>
      <c r="E132" s="145"/>
      <c r="F132" s="159"/>
    </row>
    <row r="133" spans="1:9" ht="26.25" customHeight="1" x14ac:dyDescent="0.4">
      <c r="A133" s="113" t="s">
        <v>100</v>
      </c>
      <c r="B133" s="280">
        <v>1</v>
      </c>
      <c r="C133" s="119"/>
      <c r="D133" s="160"/>
      <c r="E133" s="161" t="s">
        <v>68</v>
      </c>
      <c r="F133" s="254">
        <f>AVERAGE(F126:F131)</f>
        <v>0.97019165225088377</v>
      </c>
    </row>
    <row r="134" spans="1:9" ht="27" customHeight="1" x14ac:dyDescent="0.4">
      <c r="A134" s="113" t="s">
        <v>101</v>
      </c>
      <c r="B134" s="258">
        <f>(B133/B132)*(B131/B130)*(B129/B128)*(B127/B126)*B125</f>
        <v>22500</v>
      </c>
      <c r="C134" s="162"/>
      <c r="D134" s="163"/>
      <c r="E134" s="164" t="s">
        <v>81</v>
      </c>
      <c r="F134" s="255">
        <f>STDEV(F126:F131)/F133</f>
        <v>2.558193556071265E-2</v>
      </c>
    </row>
    <row r="135" spans="1:9" ht="27" customHeight="1" x14ac:dyDescent="0.4">
      <c r="A135" s="316" t="s">
        <v>75</v>
      </c>
      <c r="B135" s="320"/>
      <c r="C135" s="165"/>
      <c r="D135" s="166"/>
      <c r="E135" s="167" t="s">
        <v>19</v>
      </c>
      <c r="F135" s="256">
        <f>COUNT(F126:F131)</f>
        <v>6</v>
      </c>
      <c r="I135" s="149"/>
    </row>
    <row r="136" spans="1:9" ht="19.5" customHeight="1" x14ac:dyDescent="0.3">
      <c r="A136" s="318"/>
      <c r="B136" s="321"/>
      <c r="C136" s="145"/>
      <c r="D136" s="145"/>
      <c r="E136" s="145"/>
      <c r="F136" s="143"/>
      <c r="G136" s="145"/>
      <c r="H136" s="145"/>
    </row>
    <row r="137" spans="1:9" ht="18.75" x14ac:dyDescent="0.3">
      <c r="A137" s="110"/>
      <c r="B137" s="110"/>
      <c r="C137" s="145"/>
      <c r="D137" s="145"/>
      <c r="E137" s="145"/>
      <c r="F137" s="143"/>
      <c r="G137" s="145"/>
      <c r="H137" s="145"/>
    </row>
    <row r="138" spans="1:9" ht="26.25" customHeight="1" x14ac:dyDescent="0.4">
      <c r="A138" s="100" t="s">
        <v>104</v>
      </c>
      <c r="B138" s="233" t="s">
        <v>105</v>
      </c>
      <c r="C138" s="329" t="str">
        <f>B20</f>
        <v xml:space="preserve">Cefuroxime </v>
      </c>
      <c r="D138" s="329"/>
      <c r="E138" s="234" t="s">
        <v>114</v>
      </c>
      <c r="F138" s="234"/>
      <c r="G138" s="257">
        <f>F133</f>
        <v>0.97019165225088377</v>
      </c>
      <c r="H138" s="145"/>
    </row>
    <row r="139" spans="1:9" ht="19.5" customHeight="1" x14ac:dyDescent="0.3">
      <c r="A139" s="181"/>
      <c r="B139" s="181"/>
      <c r="C139" s="182"/>
      <c r="D139" s="182"/>
      <c r="E139" s="182"/>
      <c r="F139" s="182"/>
      <c r="G139" s="182"/>
      <c r="H139" s="182"/>
    </row>
    <row r="140" spans="1:9" ht="18.75" x14ac:dyDescent="0.3">
      <c r="B140" s="330" t="s">
        <v>24</v>
      </c>
      <c r="C140" s="330"/>
      <c r="E140" s="169" t="s">
        <v>25</v>
      </c>
      <c r="F140" s="197"/>
      <c r="G140" s="330" t="s">
        <v>26</v>
      </c>
      <c r="H140" s="330"/>
    </row>
    <row r="141" spans="1:9" ht="83.1" customHeight="1" x14ac:dyDescent="0.3">
      <c r="A141" s="198" t="s">
        <v>27</v>
      </c>
      <c r="B141" s="231"/>
      <c r="C141" s="231"/>
      <c r="E141" s="193"/>
      <c r="F141" s="145"/>
      <c r="G141" s="195"/>
      <c r="H141" s="195"/>
    </row>
    <row r="142" spans="1:9" ht="83.1" customHeight="1" x14ac:dyDescent="0.3">
      <c r="A142" s="198" t="s">
        <v>28</v>
      </c>
      <c r="B142" s="232"/>
      <c r="C142" s="232"/>
      <c r="E142" s="194"/>
      <c r="F142" s="145"/>
      <c r="G142" s="196"/>
      <c r="H142" s="196"/>
    </row>
    <row r="143" spans="1:9" ht="18.75" x14ac:dyDescent="0.3">
      <c r="A143" s="142"/>
      <c r="B143" s="142"/>
      <c r="C143" s="143"/>
      <c r="D143" s="143"/>
      <c r="E143" s="143"/>
      <c r="F143" s="144"/>
      <c r="G143" s="143"/>
      <c r="H143" s="143"/>
    </row>
    <row r="144" spans="1:9" ht="18.75" x14ac:dyDescent="0.3">
      <c r="A144" s="142"/>
      <c r="B144" s="142"/>
      <c r="C144" s="143"/>
      <c r="D144" s="143"/>
      <c r="E144" s="143"/>
      <c r="F144" s="144"/>
      <c r="G144" s="143"/>
      <c r="H144" s="143"/>
    </row>
    <row r="145" spans="1:8" ht="18.75" x14ac:dyDescent="0.3">
      <c r="A145" s="142"/>
      <c r="B145" s="142"/>
      <c r="C145" s="143"/>
      <c r="D145" s="143"/>
      <c r="E145" s="143"/>
      <c r="F145" s="144"/>
      <c r="G145" s="143"/>
      <c r="H145" s="143"/>
    </row>
    <row r="146" spans="1:8" ht="18.75" x14ac:dyDescent="0.3">
      <c r="A146" s="142"/>
      <c r="B146" s="142"/>
      <c r="C146" s="143"/>
      <c r="D146" s="143"/>
      <c r="E146" s="143"/>
      <c r="F146" s="144"/>
      <c r="G146" s="143"/>
      <c r="H146" s="143"/>
    </row>
    <row r="147" spans="1:8" ht="18.75" x14ac:dyDescent="0.3">
      <c r="A147" s="142"/>
      <c r="B147" s="142"/>
      <c r="C147" s="143"/>
      <c r="D147" s="143"/>
      <c r="E147" s="143"/>
      <c r="F147" s="144"/>
      <c r="G147" s="143"/>
      <c r="H147" s="143"/>
    </row>
    <row r="148" spans="1:8" ht="18.75" x14ac:dyDescent="0.3">
      <c r="A148" s="142"/>
      <c r="B148" s="142"/>
      <c r="C148" s="143"/>
      <c r="D148" s="143"/>
      <c r="E148" s="143"/>
      <c r="F148" s="144"/>
      <c r="G148" s="143"/>
      <c r="H148" s="143"/>
    </row>
    <row r="149" spans="1:8" ht="18.75" x14ac:dyDescent="0.3">
      <c r="A149" s="142"/>
      <c r="B149" s="142"/>
      <c r="C149" s="143"/>
      <c r="D149" s="143"/>
      <c r="E149" s="143"/>
      <c r="F149" s="144"/>
      <c r="G149" s="143"/>
      <c r="H149" s="143"/>
    </row>
    <row r="150" spans="1:8" ht="18.75" x14ac:dyDescent="0.3">
      <c r="A150" s="142"/>
      <c r="B150" s="142"/>
      <c r="C150" s="143"/>
      <c r="D150" s="143"/>
      <c r="E150" s="143"/>
      <c r="F150" s="144"/>
      <c r="G150" s="143"/>
      <c r="H150" s="143"/>
    </row>
    <row r="151" spans="1:8" ht="18.75" x14ac:dyDescent="0.3">
      <c r="A151" s="142"/>
      <c r="B151" s="142"/>
      <c r="C151" s="143"/>
      <c r="D151" s="143"/>
      <c r="E151" s="143"/>
      <c r="F151" s="144"/>
      <c r="G151" s="143"/>
      <c r="H151" s="143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1">
    <mergeCell ref="C138:D138"/>
    <mergeCell ref="B140:C140"/>
    <mergeCell ref="G140:H140"/>
    <mergeCell ref="C29:G29"/>
    <mergeCell ref="F36:G36"/>
    <mergeCell ref="C31:H31"/>
    <mergeCell ref="C32:H32"/>
    <mergeCell ref="C60:C63"/>
    <mergeCell ref="C68:C71"/>
    <mergeCell ref="C64:C67"/>
    <mergeCell ref="D68:D71"/>
    <mergeCell ref="D64:D67"/>
    <mergeCell ref="D60:D63"/>
    <mergeCell ref="D36:E36"/>
    <mergeCell ref="A135:B136"/>
    <mergeCell ref="C121:D121"/>
    <mergeCell ref="F90:G90"/>
    <mergeCell ref="A100:B101"/>
    <mergeCell ref="A118:B119"/>
    <mergeCell ref="A46:B47"/>
    <mergeCell ref="C83:G83"/>
    <mergeCell ref="A70:B71"/>
    <mergeCell ref="C76:D76"/>
    <mergeCell ref="A1:H7"/>
    <mergeCell ref="A8:H14"/>
    <mergeCell ref="A16:H16"/>
    <mergeCell ref="C85:H85"/>
    <mergeCell ref="C86:H86"/>
    <mergeCell ref="B80:C80"/>
    <mergeCell ref="B26:C26"/>
    <mergeCell ref="B18:C18"/>
  </mergeCells>
  <printOptions horizontalCentered="1" verticalCentered="1"/>
  <pageMargins left="0.7" right="0.7" top="0.75" bottom="0.75" header="0.3" footer="0.3"/>
  <pageSetup paperSize="9" scale="22" orientation="portrait" r:id="rId1"/>
  <headerFooter alignWithMargins="0">
    <oddFooter>&amp;LNQCL/ADDO/014&amp;C&amp;P of &amp;N&amp;R&amp;D &amp;T</oddFooter>
  </headerFooter>
  <rowBreaks count="1" manualBreakCount="1">
    <brk id="12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</vt:lpstr>
      <vt:lpstr>Uniformity</vt:lpstr>
      <vt:lpstr>Cefuroxime Axetil</vt:lpstr>
      <vt:lpstr>'Cefuroxime Axetil'!Print_Area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hp3500</cp:lastModifiedBy>
  <cp:lastPrinted>2016-04-04T06:01:42Z</cp:lastPrinted>
  <dcterms:created xsi:type="dcterms:W3CDTF">2005-07-05T10:19:27Z</dcterms:created>
  <dcterms:modified xsi:type="dcterms:W3CDTF">2016-04-04T06:05:58Z</dcterms:modified>
</cp:coreProperties>
</file>