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3" r:id="rId2"/>
    <sheet name="Cefuroxime Axetil" sheetId="2" r:id="rId3"/>
  </sheets>
  <definedNames>
    <definedName name="_xlnm.Print_Area" localSheetId="2">'Cefuroxime Axetil'!$A$1:$I$149</definedName>
    <definedName name="_xlnm.Print_Area" localSheetId="1">Uniformity!$A$1:$I$61</definedName>
  </definedNames>
  <calcPr calcId="144525"/>
</workbook>
</file>

<file path=xl/calcChain.xml><?xml version="1.0" encoding="utf-8"?>
<calcChain xmlns="http://schemas.openxmlformats.org/spreadsheetml/2006/main">
  <c r="F40" i="2" l="1"/>
  <c r="F39" i="2"/>
  <c r="F38" i="2"/>
  <c r="D40" i="2"/>
  <c r="D39" i="2"/>
  <c r="D38" i="2"/>
  <c r="F66" i="2" l="1"/>
  <c r="G138" i="2" l="1"/>
  <c r="F126" i="2"/>
  <c r="F109" i="2"/>
  <c r="B134" i="2"/>
  <c r="E109" i="2"/>
  <c r="B117" i="2"/>
  <c r="B99" i="2"/>
  <c r="F96" i="2"/>
  <c r="D96" i="2"/>
  <c r="G95" i="2"/>
  <c r="E95" i="2"/>
  <c r="B30" i="2" l="1"/>
  <c r="B41" i="1"/>
  <c r="B40" i="1"/>
  <c r="B39" i="1"/>
  <c r="B20" i="1"/>
  <c r="B19" i="1"/>
  <c r="B18" i="1"/>
  <c r="F65" i="2" l="1"/>
  <c r="F64" i="2"/>
  <c r="F62" i="2"/>
  <c r="F61" i="2"/>
  <c r="B34" i="2"/>
  <c r="F60" i="2"/>
  <c r="B68" i="2"/>
  <c r="F42" i="2"/>
  <c r="G41" i="2"/>
  <c r="E41" i="2"/>
  <c r="D42" i="2"/>
  <c r="D50" i="3"/>
  <c r="D49" i="3"/>
  <c r="C49" i="3"/>
  <c r="B49" i="3"/>
  <c r="C46" i="3"/>
  <c r="C50" i="3" s="1"/>
  <c r="C45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C19" i="3"/>
  <c r="C138" i="2"/>
  <c r="C121" i="2"/>
  <c r="D101" i="2"/>
  <c r="B88" i="2"/>
  <c r="F98" i="2" s="1"/>
  <c r="B83" i="2"/>
  <c r="B82" i="2"/>
  <c r="B84" i="2" s="1"/>
  <c r="B81" i="2"/>
  <c r="B80" i="2"/>
  <c r="C76" i="2"/>
  <c r="H71" i="2"/>
  <c r="G71" i="2"/>
  <c r="H67" i="2"/>
  <c r="G67" i="2"/>
  <c r="H63" i="2"/>
  <c r="G63" i="2"/>
  <c r="B57" i="2"/>
  <c r="B69" i="2" s="1"/>
  <c r="C56" i="2"/>
  <c r="B55" i="2"/>
  <c r="B45" i="2"/>
  <c r="D48" i="2" s="1"/>
  <c r="F4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2" i="2" l="1"/>
  <c r="D98" i="2"/>
  <c r="D44" i="2"/>
  <c r="D45" i="2" s="1"/>
  <c r="D46" i="2" s="1"/>
  <c r="F45" i="2"/>
  <c r="G39" i="2" s="1"/>
  <c r="D99" i="2"/>
  <c r="D49" i="2"/>
  <c r="F99" i="2"/>
  <c r="D103" i="2" l="1"/>
  <c r="G92" i="2"/>
  <c r="E92" i="2"/>
  <c r="F100" i="2"/>
  <c r="G94" i="2"/>
  <c r="G93" i="2"/>
  <c r="D100" i="2"/>
  <c r="E93" i="2"/>
  <c r="E94" i="2"/>
  <c r="E40" i="2"/>
  <c r="B42" i="1"/>
  <c r="B21" i="1"/>
  <c r="E39" i="2"/>
  <c r="E42" i="2" s="1"/>
  <c r="E38" i="2"/>
  <c r="F46" i="2"/>
  <c r="G40" i="2"/>
  <c r="G38" i="2"/>
  <c r="E96" i="2" l="1"/>
  <c r="G96" i="2"/>
  <c r="D52" i="2"/>
  <c r="G42" i="2"/>
  <c r="D104" i="2"/>
  <c r="E130" i="2" s="1"/>
  <c r="F130" i="2" s="1"/>
  <c r="D50" i="2"/>
  <c r="D106" i="2"/>
  <c r="D105" i="2" l="1"/>
  <c r="E111" i="2"/>
  <c r="F111" i="2" s="1"/>
  <c r="E131" i="2"/>
  <c r="F131" i="2" s="1"/>
  <c r="E114" i="2"/>
  <c r="F114" i="2" s="1"/>
  <c r="E113" i="2"/>
  <c r="F113" i="2" s="1"/>
  <c r="E126" i="2"/>
  <c r="G64" i="2"/>
  <c r="H64" i="2" s="1"/>
  <c r="G60" i="2"/>
  <c r="H60" i="2" s="1"/>
  <c r="G68" i="2"/>
  <c r="H68" i="2" s="1"/>
  <c r="D51" i="2"/>
  <c r="G66" i="2"/>
  <c r="H66" i="2" s="1"/>
  <c r="G69" i="2"/>
  <c r="H69" i="2" s="1"/>
  <c r="E127" i="2"/>
  <c r="F127" i="2" s="1"/>
  <c r="E110" i="2"/>
  <c r="F110" i="2" s="1"/>
  <c r="E128" i="2"/>
  <c r="F128" i="2" s="1"/>
  <c r="G65" i="2"/>
  <c r="H65" i="2" s="1"/>
  <c r="G62" i="2"/>
  <c r="H62" i="2" s="1"/>
  <c r="G61" i="2"/>
  <c r="H61" i="2" s="1"/>
  <c r="E129" i="2"/>
  <c r="F129" i="2" s="1"/>
  <c r="E112" i="2"/>
  <c r="F112" i="2" s="1"/>
  <c r="G70" i="2"/>
  <c r="H70" i="2" s="1"/>
  <c r="F135" i="2" l="1"/>
  <c r="F133" i="2"/>
  <c r="F116" i="2"/>
  <c r="G121" i="2" s="1"/>
  <c r="H72" i="2"/>
  <c r="H74" i="2"/>
  <c r="F118" i="2"/>
  <c r="F117" i="2" l="1"/>
  <c r="F134" i="2"/>
  <c r="H73" i="2"/>
  <c r="G76" i="2"/>
</calcChain>
</file>

<file path=xl/sharedStrings.xml><?xml version="1.0" encoding="utf-8"?>
<sst xmlns="http://schemas.openxmlformats.org/spreadsheetml/2006/main" count="260" uniqueCount="126">
  <si>
    <t>HPLC System Suitability Report</t>
  </si>
  <si>
    <t>Analysis Data</t>
  </si>
  <si>
    <t>Assay</t>
  </si>
  <si>
    <t>Sample(s)</t>
  </si>
  <si>
    <t>Reference Substance:</t>
  </si>
  <si>
    <t>KEFUROX 250</t>
  </si>
  <si>
    <t>% age Purity:</t>
  </si>
  <si>
    <t>NDQA201509332</t>
  </si>
  <si>
    <t>Weight (mg):</t>
  </si>
  <si>
    <t xml:space="preserve">Cefuroxime Axetil </t>
  </si>
  <si>
    <t>Standard Conc (mg/mL):</t>
  </si>
  <si>
    <t>Each film coated tablet contains: Cefuroxime axetil USP equivalent to Cefuroxime 250mg</t>
  </si>
  <si>
    <t>2015-10-01 12:00:15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</si>
  <si>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</si>
  <si>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</si>
  <si>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</si>
  <si>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</si>
  <si>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</si>
  <si>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</si>
  <si>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</si>
  <si>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</si>
  <si>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</si>
  <si>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</si>
  <si>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</si>
  <si>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</si>
  <si>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</si>
  <si>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</si>
  <si>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</si>
  <si>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</si>
  <si>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</si>
  <si>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</si>
  <si>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</si>
  <si>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</si>
  <si>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</si>
  <si>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</si>
  <si>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</si>
  <si>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</si>
  <si>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</si>
  <si>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</si>
  <si>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</si>
  <si>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</si>
  <si>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</si>
  <si>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</si>
  <si>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</si>
  <si>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</si>
  <si>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</si>
  <si>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</si>
  <si>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</si>
  <si>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</si>
  <si>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</si>
  <si>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</si>
  <si>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</si>
  <si>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</si>
  <si>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</si>
  <si>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</si>
  <si>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</si>
  <si>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</si>
  <si>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</si>
  <si>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</si>
  <si>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</si>
  <si>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</si>
  <si>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</si>
  <si>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</si>
  <si>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</si>
  <si>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</si>
  <si>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</si>
  <si>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</si>
  <si>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</si>
  <si>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</si>
  <si>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</si>
  <si>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</si>
  <si>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</si>
  <si>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</si>
  <si>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</si>
  <si>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</si>
  <si>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</si>
  <si>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</si>
  <si>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</si>
  <si>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</si>
  <si>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</si>
  <si>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</si>
  <si>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</si>
  <si>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</si>
  <si>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</si>
  <si>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</si>
  <si>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</si>
  <si>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</si>
  <si>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</si>
  <si>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</si>
  <si>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</si>
  <si>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</si>
  <si>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</si>
  <si>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</si>
  <si>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</si>
  <si>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</si>
  <si>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</si>
  <si>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</si>
  <si>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</si>
  <si>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</si>
  <si>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</t>
  </si>
  <si>
    <t xml:space="preserve">The amount  of </t>
  </si>
  <si>
    <t xml:space="preserve">in the sample as a percentage of the stated  label claim is </t>
  </si>
  <si>
    <t>Analysis Data:</t>
  </si>
  <si>
    <t>Determination of Active Ingredient Dissolved after</t>
  </si>
  <si>
    <t>1hr</t>
  </si>
  <si>
    <t>Average Normalised Peak Area: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</si>
  <si>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</si>
  <si>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</si>
  <si>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</si>
  <si>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</si>
  <si>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</si>
  <si>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3hrs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</si>
  <si>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</si>
  <si>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</si>
  <si>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</si>
  <si>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</si>
  <si>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</si>
  <si>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</si>
  <si>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</si>
  <si>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Cefuroxime axetil</t>
  </si>
  <si>
    <t>WRS/C66-1</t>
  </si>
  <si>
    <t>ISOMER A</t>
  </si>
  <si>
    <t>ISOMER B</t>
  </si>
  <si>
    <t>18th Jan 2016</t>
  </si>
  <si>
    <t>9th Feb 2016</t>
  </si>
  <si>
    <t>Joyfrida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</si>
</sst>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000"/>
    <numFmt numFmtId="170" formatCode="[$-409]d/mmm/yy;@"/>
  </numFmts>
  <fonts count="3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16"/>
      <color rgb="FF000000"/>
      <name val="Book Antiqua"/>
      <family val="1"/>
    </font>
    <font>
      <sz val="16"/>
      <color rgb="FF000000"/>
      <name val="Book Antiqua"/>
      <family val="1"/>
    </font>
    <font>
      <b/>
      <sz val="11"/>
      <color rgb="FF000000"/>
      <name val="Book Antiqua"/>
      <family val="1"/>
    </font>
    <font>
      <b/>
      <sz val="2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0"/>
      <color rgb="FF000000"/>
      <name val="Book Antiqua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2" fontId="8" fillId="6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3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4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24" xfId="0" applyFont="1" applyFill="1" applyBorder="1" applyAlignment="1">
      <alignment horizontal="right"/>
    </xf>
    <xf numFmtId="0" fontId="8" fillId="2" borderId="25" xfId="0" applyFont="1" applyFill="1" applyBorder="1" applyAlignment="1">
      <alignment horizontal="right"/>
    </xf>
    <xf numFmtId="168" fontId="8" fillId="2" borderId="0" xfId="0" applyNumberFormat="1" applyFont="1" applyFill="1" applyAlignment="1">
      <alignment horizontal="center"/>
    </xf>
    <xf numFmtId="10" fontId="8" fillId="6" borderId="23" xfId="0" applyNumberFormat="1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6" xfId="0" applyFont="1" applyFill="1" applyBorder="1" applyAlignment="1">
      <alignment horizontal="center"/>
    </xf>
    <xf numFmtId="2" fontId="9" fillId="2" borderId="26" xfId="0" applyNumberFormat="1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10" fontId="9" fillId="6" borderId="23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32" xfId="0" applyFont="1" applyFill="1" applyBorder="1"/>
    <xf numFmtId="0" fontId="9" fillId="2" borderId="15" xfId="0" applyFont="1" applyFill="1" applyBorder="1" applyAlignment="1">
      <alignment horizontal="center" wrapText="1"/>
    </xf>
    <xf numFmtId="2" fontId="8" fillId="2" borderId="33" xfId="0" applyNumberFormat="1" applyFont="1" applyFill="1" applyBorder="1" applyAlignment="1">
      <alignment horizontal="center"/>
    </xf>
    <xf numFmtId="10" fontId="8" fillId="2" borderId="17" xfId="0" applyNumberFormat="1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center"/>
    </xf>
    <xf numFmtId="2" fontId="8" fillId="2" borderId="35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68" fontId="9" fillId="2" borderId="0" xfId="0" applyNumberFormat="1" applyFont="1" applyFill="1" applyAlignment="1">
      <alignment horizontal="center"/>
    </xf>
    <xf numFmtId="168" fontId="8" fillId="2" borderId="2" xfId="0" applyNumberFormat="1" applyFont="1" applyFill="1" applyBorder="1" applyAlignment="1">
      <alignment horizontal="right"/>
    </xf>
    <xf numFmtId="0" fontId="8" fillId="2" borderId="13" xfId="0" applyFont="1" applyFill="1" applyBorder="1"/>
    <xf numFmtId="0" fontId="8" fillId="2" borderId="6" xfId="0" applyFont="1" applyFill="1" applyBorder="1"/>
    <xf numFmtId="0" fontId="8" fillId="2" borderId="0" xfId="0" applyFont="1" applyFill="1" applyAlignment="1">
      <alignment horizontal="right"/>
    </xf>
    <xf numFmtId="0" fontId="8" fillId="2" borderId="36" xfId="0" applyFont="1" applyFill="1" applyBorder="1"/>
    <xf numFmtId="0" fontId="8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0" fontId="8" fillId="2" borderId="3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10" fontId="8" fillId="2" borderId="26" xfId="0" applyNumberFormat="1" applyFont="1" applyFill="1" applyBorder="1" applyAlignment="1">
      <alignment horizontal="center" vertical="center"/>
    </xf>
    <xf numFmtId="10" fontId="8" fillId="2" borderId="27" xfId="0" applyNumberFormat="1" applyFont="1" applyFill="1" applyBorder="1" applyAlignment="1">
      <alignment horizontal="center" vertical="center"/>
    </xf>
    <xf numFmtId="10" fontId="8" fillId="2" borderId="28" xfId="0" applyNumberFormat="1" applyFont="1" applyFill="1" applyBorder="1" applyAlignment="1">
      <alignment horizontal="center" vertical="center"/>
    </xf>
    <xf numFmtId="10" fontId="8" fillId="2" borderId="42" xfId="0" applyNumberFormat="1" applyFont="1" applyFill="1" applyBorder="1" applyAlignment="1">
      <alignment horizontal="center"/>
    </xf>
    <xf numFmtId="10" fontId="8" fillId="2" borderId="43" xfId="0" applyNumberFormat="1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9" fillId="3" borderId="0" xfId="0" applyFont="1" applyFill="1" applyAlignment="1" applyProtection="1">
      <alignment horizontal="left"/>
      <protection locked="0"/>
    </xf>
    <xf numFmtId="0" fontId="8" fillId="2" borderId="7" xfId="0" applyFont="1" applyFill="1" applyBorder="1"/>
    <xf numFmtId="0" fontId="9" fillId="2" borderId="11" xfId="0" applyFont="1" applyFill="1" applyBorder="1"/>
    <xf numFmtId="0" fontId="8" fillId="2" borderId="7" xfId="0" applyFont="1" applyFill="1" applyBorder="1"/>
    <xf numFmtId="0" fontId="8" fillId="2" borderId="11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44" xfId="0" applyNumberFormat="1" applyFont="1" applyFill="1" applyBorder="1" applyAlignment="1">
      <alignment horizontal="center" vertic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2" fontId="8" fillId="2" borderId="28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8" fillId="3" borderId="0" xfId="0" applyFont="1" applyFill="1" applyProtection="1">
      <protection locked="0"/>
    </xf>
    <xf numFmtId="0" fontId="9" fillId="2" borderId="14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10" fontId="8" fillId="2" borderId="18" xfId="0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10" fontId="8" fillId="2" borderId="19" xfId="0" applyNumberFormat="1" applyFont="1" applyFill="1" applyBorder="1" applyAlignment="1">
      <alignment horizontal="center"/>
    </xf>
    <xf numFmtId="2" fontId="8" fillId="2" borderId="4" xfId="0" applyNumberFormat="1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2" fontId="8" fillId="2" borderId="5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46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7" xfId="0" applyNumberFormat="1" applyFont="1" applyFill="1" applyBorder="1" applyAlignment="1">
      <alignment horizontal="center"/>
    </xf>
    <xf numFmtId="2" fontId="8" fillId="7" borderId="47" xfId="0" applyNumberFormat="1" applyFont="1" applyFill="1" applyBorder="1" applyAlignment="1">
      <alignment horizontal="center"/>
    </xf>
    <xf numFmtId="0" fontId="8" fillId="2" borderId="45" xfId="0" applyFont="1" applyFill="1" applyBorder="1" applyAlignment="1">
      <alignment horizontal="right"/>
    </xf>
    <xf numFmtId="2" fontId="8" fillId="7" borderId="17" xfId="0" applyNumberFormat="1" applyFont="1" applyFill="1" applyBorder="1" applyAlignment="1">
      <alignment horizontal="center"/>
    </xf>
    <xf numFmtId="0" fontId="8" fillId="2" borderId="48" xfId="0" applyFont="1" applyFill="1" applyBorder="1" applyAlignment="1">
      <alignment horizontal="right"/>
    </xf>
    <xf numFmtId="168" fontId="9" fillId="7" borderId="48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8" fillId="7" borderId="47" xfId="0" applyNumberFormat="1" applyFont="1" applyFill="1" applyBorder="1" applyAlignment="1">
      <alignment horizontal="center"/>
    </xf>
    <xf numFmtId="2" fontId="8" fillId="7" borderId="17" xfId="0" applyNumberFormat="1" applyFont="1" applyFill="1" applyBorder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9" fillId="2" borderId="0" xfId="0" applyNumberFormat="1" applyFont="1" applyFill="1" applyAlignment="1">
      <alignment horizontal="center"/>
    </xf>
    <xf numFmtId="0" fontId="15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5" fillId="3" borderId="15" xfId="0" applyFont="1" applyFill="1" applyBorder="1" applyAlignment="1" applyProtection="1">
      <alignment horizontal="center"/>
      <protection locked="0"/>
    </xf>
    <xf numFmtId="0" fontId="15" fillId="3" borderId="14" xfId="0" applyFont="1" applyFill="1" applyBorder="1" applyAlignment="1" applyProtection="1">
      <alignment horizontal="center"/>
      <protection locked="0"/>
    </xf>
    <xf numFmtId="0" fontId="15" fillId="3" borderId="13" xfId="0" applyFont="1" applyFill="1" applyBorder="1" applyAlignment="1" applyProtection="1">
      <alignment horizontal="center"/>
      <protection locked="0"/>
    </xf>
    <xf numFmtId="0" fontId="15" fillId="3" borderId="47" xfId="0" applyFont="1" applyFill="1" applyBorder="1" applyAlignment="1" applyProtection="1">
      <alignment horizontal="center"/>
      <protection locked="0"/>
    </xf>
    <xf numFmtId="2" fontId="16" fillId="2" borderId="44" xfId="0" applyNumberFormat="1" applyFont="1" applyFill="1" applyBorder="1" applyAlignment="1">
      <alignment horizontal="center"/>
    </xf>
    <xf numFmtId="0" fontId="15" fillId="3" borderId="12" xfId="0" applyFont="1" applyFill="1" applyBorder="1" applyAlignment="1" applyProtection="1">
      <alignment horizontal="center"/>
      <protection locked="0"/>
    </xf>
    <xf numFmtId="0" fontId="15" fillId="3" borderId="36" xfId="0" applyFont="1" applyFill="1" applyBorder="1" applyAlignment="1" applyProtection="1">
      <alignment horizontal="center"/>
      <protection locked="0"/>
    </xf>
    <xf numFmtId="10" fontId="15" fillId="7" borderId="19" xfId="0" applyNumberFormat="1" applyFont="1" applyFill="1" applyBorder="1" applyAlignment="1">
      <alignment horizontal="center"/>
    </xf>
    <xf numFmtId="10" fontId="15" fillId="6" borderId="52" xfId="0" applyNumberFormat="1" applyFont="1" applyFill="1" applyBorder="1" applyAlignment="1">
      <alignment horizontal="center"/>
    </xf>
    <xf numFmtId="0" fontId="15" fillId="7" borderId="53" xfId="0" applyFont="1" applyFill="1" applyBorder="1" applyAlignment="1">
      <alignment horizontal="center"/>
    </xf>
    <xf numFmtId="0" fontId="17" fillId="3" borderId="0" xfId="0" applyFont="1" applyFill="1" applyAlignment="1" applyProtection="1">
      <alignment horizontal="center"/>
      <protection locked="0"/>
    </xf>
    <xf numFmtId="10" fontId="15" fillId="7" borderId="47" xfId="0" applyNumberFormat="1" applyFont="1" applyFill="1" applyBorder="1" applyAlignment="1">
      <alignment horizontal="center"/>
    </xf>
    <xf numFmtId="10" fontId="15" fillId="6" borderId="47" xfId="0" applyNumberFormat="1" applyFont="1" applyFill="1" applyBorder="1" applyAlignment="1">
      <alignment horizontal="center"/>
    </xf>
    <xf numFmtId="0" fontId="15" fillId="7" borderId="24" xfId="0" applyFont="1" applyFill="1" applyBorder="1" applyAlignment="1">
      <alignment horizontal="center"/>
    </xf>
    <xf numFmtId="165" fontId="15" fillId="2" borderId="0" xfId="0" applyNumberFormat="1" applyFont="1" applyFill="1" applyAlignment="1">
      <alignment horizontal="center"/>
    </xf>
    <xf numFmtId="0" fontId="8" fillId="2" borderId="14" xfId="0" applyFont="1" applyFill="1" applyBorder="1" applyAlignment="1" applyProtection="1">
      <alignment horizontal="center"/>
      <protection locked="0"/>
    </xf>
    <xf numFmtId="169" fontId="9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2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21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2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0" fontId="6" fillId="2" borderId="0" xfId="0" applyNumberFormat="1" applyFont="1" applyFill="1"/>
    <xf numFmtId="169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58" xfId="0" applyNumberFormat="1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right" vertical="center"/>
    </xf>
    <xf numFmtId="169" fontId="6" fillId="2" borderId="58" xfId="0" applyNumberFormat="1" applyFont="1" applyFill="1" applyBorder="1" applyAlignment="1">
      <alignment horizontal="center" vertical="center"/>
    </xf>
    <xf numFmtId="164" fontId="5" fillId="2" borderId="58" xfId="0" applyNumberFormat="1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wrapText="1"/>
    </xf>
    <xf numFmtId="164" fontId="5" fillId="2" borderId="58" xfId="0" applyNumberFormat="1" applyFont="1" applyFill="1" applyBorder="1" applyAlignment="1">
      <alignment horizontal="center" wrapText="1"/>
    </xf>
    <xf numFmtId="10" fontId="6" fillId="2" borderId="26" xfId="0" applyNumberFormat="1" applyFont="1" applyFill="1" applyBorder="1" applyAlignment="1">
      <alignment horizontal="center"/>
    </xf>
    <xf numFmtId="10" fontId="6" fillId="2" borderId="27" xfId="0" applyNumberFormat="1" applyFont="1" applyFill="1" applyBorder="1" applyAlignment="1">
      <alignment horizontal="center"/>
    </xf>
    <xf numFmtId="10" fontId="6" fillId="2" borderId="28" xfId="0" applyNumberFormat="1" applyFont="1" applyFill="1" applyBorder="1" applyAlignment="1">
      <alignment horizontal="center"/>
    </xf>
    <xf numFmtId="0" fontId="4" fillId="2" borderId="0" xfId="0" applyFont="1" applyFill="1"/>
    <xf numFmtId="0" fontId="23" fillId="2" borderId="0" xfId="0" applyFont="1" applyFill="1" applyAlignment="1">
      <alignment wrapText="1"/>
    </xf>
    <xf numFmtId="0" fontId="5" fillId="2" borderId="58" xfId="0" applyFont="1" applyFill="1" applyBorder="1" applyAlignment="1">
      <alignment horizontal="center" vertical="center"/>
    </xf>
    <xf numFmtId="165" fontId="5" fillId="2" borderId="48" xfId="0" applyNumberFormat="1" applyFont="1" applyFill="1" applyBorder="1" applyAlignment="1">
      <alignment horizontal="center"/>
    </xf>
    <xf numFmtId="165" fontId="5" fillId="2" borderId="24" xfId="0" applyNumberFormat="1" applyFont="1" applyFill="1" applyBorder="1" applyAlignment="1">
      <alignment horizontal="center"/>
    </xf>
    <xf numFmtId="2" fontId="6" fillId="3" borderId="27" xfId="0" applyNumberFormat="1" applyFont="1" applyFill="1" applyBorder="1" applyProtection="1">
      <protection locked="0"/>
    </xf>
    <xf numFmtId="2" fontId="6" fillId="3" borderId="28" xfId="0" applyNumberFormat="1" applyFont="1" applyFill="1" applyBorder="1" applyProtection="1">
      <protection locked="0"/>
    </xf>
    <xf numFmtId="170" fontId="6" fillId="2" borderId="0" xfId="0" applyNumberFormat="1" applyFont="1" applyFill="1" applyAlignment="1">
      <alignment horizontal="center"/>
    </xf>
    <xf numFmtId="1" fontId="9" fillId="6" borderId="21" xfId="0" applyNumberFormat="1" applyFont="1" applyFill="1" applyBorder="1" applyAlignment="1">
      <alignment horizontal="center"/>
    </xf>
    <xf numFmtId="168" fontId="9" fillId="6" borderId="22" xfId="0" applyNumberFormat="1" applyFont="1" applyFill="1" applyBorder="1" applyAlignment="1">
      <alignment horizontal="center"/>
    </xf>
    <xf numFmtId="168" fontId="9" fillId="6" borderId="29" xfId="0" applyNumberFormat="1" applyFont="1" applyFill="1" applyBorder="1" applyAlignment="1">
      <alignment horizontal="center"/>
    </xf>
    <xf numFmtId="168" fontId="8" fillId="2" borderId="33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42" xfId="0" applyNumberFormat="1" applyFont="1" applyFill="1" applyBorder="1" applyAlignment="1">
      <alignment horizontal="center"/>
    </xf>
    <xf numFmtId="168" fontId="8" fillId="2" borderId="43" xfId="0" applyNumberFormat="1" applyFont="1" applyFill="1" applyBorder="1" applyAlignment="1">
      <alignment horizontal="center"/>
    </xf>
    <xf numFmtId="0" fontId="2" fillId="2" borderId="0" xfId="0" applyFont="1" applyFill="1"/>
    <xf numFmtId="1" fontId="9" fillId="6" borderId="45" xfId="0" applyNumberFormat="1" applyFont="1" applyFill="1" applyBorder="1" applyAlignment="1">
      <alignment horizontal="center"/>
    </xf>
    <xf numFmtId="0" fontId="8" fillId="2" borderId="0" xfId="0" applyFont="1" applyFill="1"/>
    <xf numFmtId="2" fontId="15" fillId="3" borderId="0" xfId="0" applyNumberFormat="1" applyFont="1" applyFill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3" borderId="51" xfId="0" applyFont="1" applyFill="1" applyBorder="1" applyAlignment="1" applyProtection="1">
      <alignment horizontal="center"/>
      <protection locked="0"/>
    </xf>
    <xf numFmtId="0" fontId="15" fillId="3" borderId="48" xfId="0" applyFont="1" applyFill="1" applyBorder="1" applyAlignment="1" applyProtection="1">
      <alignment horizontal="center"/>
      <protection locked="0"/>
    </xf>
    <xf numFmtId="0" fontId="25" fillId="3" borderId="0" xfId="0" applyFont="1" applyFill="1" applyAlignment="1" applyProtection="1">
      <alignment horizontal="center"/>
      <protection locked="0"/>
    </xf>
    <xf numFmtId="0" fontId="26" fillId="2" borderId="0" xfId="0" applyFont="1" applyFill="1"/>
    <xf numFmtId="0" fontId="25" fillId="3" borderId="0" xfId="0" applyFont="1" applyFill="1" applyAlignment="1" applyProtection="1">
      <alignment horizontal="left"/>
      <protection locked="0"/>
    </xf>
    <xf numFmtId="0" fontId="27" fillId="2" borderId="0" xfId="0" applyFont="1" applyFill="1"/>
    <xf numFmtId="0" fontId="28" fillId="3" borderId="50" xfId="0" applyFont="1" applyFill="1" applyBorder="1" applyAlignment="1" applyProtection="1">
      <alignment horizontal="center"/>
      <protection locked="0"/>
    </xf>
    <xf numFmtId="168" fontId="29" fillId="2" borderId="33" xfId="0" applyNumberFormat="1" applyFont="1" applyFill="1" applyBorder="1" applyAlignment="1">
      <alignment horizontal="center"/>
    </xf>
    <xf numFmtId="168" fontId="28" fillId="3" borderId="50" xfId="0" applyNumberFormat="1" applyFont="1" applyFill="1" applyBorder="1" applyAlignment="1" applyProtection="1">
      <alignment horizontal="center"/>
      <protection locked="0"/>
    </xf>
    <xf numFmtId="168" fontId="29" fillId="2" borderId="17" xfId="0" applyNumberFormat="1" applyFont="1" applyFill="1" applyBorder="1" applyAlignment="1">
      <alignment horizontal="center"/>
    </xf>
    <xf numFmtId="0" fontId="28" fillId="3" borderId="13" xfId="0" applyFont="1" applyFill="1" applyBorder="1" applyAlignment="1" applyProtection="1">
      <alignment horizontal="center"/>
      <protection locked="0"/>
    </xf>
    <xf numFmtId="168" fontId="29" fillId="2" borderId="34" xfId="0" applyNumberFormat="1" applyFont="1" applyFill="1" applyBorder="1" applyAlignment="1">
      <alignment horizontal="center"/>
    </xf>
    <xf numFmtId="168" fontId="28" fillId="3" borderId="13" xfId="0" applyNumberFormat="1" applyFont="1" applyFill="1" applyBorder="1" applyAlignment="1" applyProtection="1">
      <alignment horizontal="center"/>
      <protection locked="0"/>
    </xf>
    <xf numFmtId="168" fontId="29" fillId="2" borderId="42" xfId="0" applyNumberFormat="1" applyFont="1" applyFill="1" applyBorder="1" applyAlignment="1">
      <alignment horizontal="center"/>
    </xf>
    <xf numFmtId="0" fontId="28" fillId="3" borderId="20" xfId="0" applyFont="1" applyFill="1" applyBorder="1" applyAlignment="1" applyProtection="1">
      <alignment horizontal="center"/>
      <protection locked="0"/>
    </xf>
    <xf numFmtId="168" fontId="29" fillId="2" borderId="35" xfId="0" applyNumberFormat="1" applyFont="1" applyFill="1" applyBorder="1" applyAlignment="1">
      <alignment horizontal="center"/>
    </xf>
    <xf numFmtId="168" fontId="28" fillId="3" borderId="20" xfId="0" applyNumberFormat="1" applyFont="1" applyFill="1" applyBorder="1" applyAlignment="1" applyProtection="1">
      <alignment horizontal="center"/>
      <protection locked="0"/>
    </xf>
    <xf numFmtId="168" fontId="29" fillId="2" borderId="43" xfId="0" applyNumberFormat="1" applyFont="1" applyFill="1" applyBorder="1" applyAlignment="1">
      <alignment horizontal="center"/>
    </xf>
    <xf numFmtId="1" fontId="30" fillId="6" borderId="49" xfId="0" applyNumberFormat="1" applyFont="1" applyFill="1" applyBorder="1" applyAlignment="1">
      <alignment horizontal="center"/>
    </xf>
    <xf numFmtId="168" fontId="30" fillId="6" borderId="29" xfId="0" applyNumberFormat="1" applyFont="1" applyFill="1" applyBorder="1" applyAlignment="1">
      <alignment horizontal="center"/>
    </xf>
    <xf numFmtId="1" fontId="30" fillId="6" borderId="40" xfId="0" applyNumberFormat="1" applyFont="1" applyFill="1" applyBorder="1" applyAlignment="1">
      <alignment horizontal="center"/>
    </xf>
    <xf numFmtId="1" fontId="30" fillId="6" borderId="28" xfId="0" applyNumberFormat="1" applyFont="1" applyFill="1" applyBorder="1" applyAlignment="1">
      <alignment horizontal="center"/>
    </xf>
    <xf numFmtId="0" fontId="28" fillId="3" borderId="51" xfId="0" applyFont="1" applyFill="1" applyBorder="1" applyAlignment="1" applyProtection="1">
      <alignment horizontal="center"/>
      <protection locked="0"/>
    </xf>
    <xf numFmtId="0" fontId="29" fillId="2" borderId="0" xfId="0" applyFont="1" applyFill="1"/>
    <xf numFmtId="0" fontId="28" fillId="3" borderId="48" xfId="0" applyFont="1" applyFill="1" applyBorder="1" applyAlignment="1" applyProtection="1">
      <alignment horizontal="center"/>
      <protection locked="0"/>
    </xf>
    <xf numFmtId="0" fontId="31" fillId="2" borderId="0" xfId="0" applyFont="1" applyFill="1"/>
    <xf numFmtId="169" fontId="15" fillId="3" borderId="34" xfId="0" applyNumberFormat="1" applyFont="1" applyFill="1" applyBorder="1" applyAlignment="1" applyProtection="1">
      <alignment horizontal="center"/>
      <protection locked="0"/>
    </xf>
    <xf numFmtId="169" fontId="15" fillId="3" borderId="35" xfId="0" applyNumberFormat="1" applyFont="1" applyFill="1" applyBorder="1" applyAlignment="1" applyProtection="1">
      <alignment horizontal="center"/>
      <protection locked="0"/>
    </xf>
    <xf numFmtId="0" fontId="26" fillId="3" borderId="0" xfId="0" applyFont="1" applyFill="1" applyAlignment="1" applyProtection="1">
      <alignment horizontal="left"/>
      <protection locked="0"/>
    </xf>
    <xf numFmtId="0" fontId="26" fillId="2" borderId="0" xfId="0" applyFont="1" applyFill="1" applyProtection="1">
      <protection locked="0"/>
    </xf>
    <xf numFmtId="0" fontId="26" fillId="3" borderId="0" xfId="0" applyFont="1" applyFill="1" applyProtection="1">
      <protection locked="0"/>
    </xf>
    <xf numFmtId="166" fontId="26" fillId="3" borderId="0" xfId="0" applyNumberFormat="1" applyFont="1" applyFill="1" applyAlignment="1" applyProtection="1">
      <alignment horizontal="left"/>
      <protection locked="0"/>
    </xf>
    <xf numFmtId="166" fontId="26" fillId="2" borderId="0" xfId="0" applyNumberFormat="1" applyFont="1" applyFill="1" applyAlignment="1">
      <alignment horizontal="left"/>
    </xf>
    <xf numFmtId="168" fontId="16" fillId="3" borderId="34" xfId="0" applyNumberFormat="1" applyFont="1" applyFill="1" applyBorder="1" applyAlignment="1" applyProtection="1">
      <alignment horizontal="center"/>
      <protection locked="0"/>
    </xf>
    <xf numFmtId="168" fontId="16" fillId="3" borderId="3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9" fontId="5" fillId="2" borderId="26" xfId="0" applyNumberFormat="1" applyFont="1" applyFill="1" applyBorder="1" applyAlignment="1">
      <alignment horizontal="center" vertical="center"/>
    </xf>
    <xf numFmtId="169" fontId="5" fillId="2" borderId="28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3" fillId="2" borderId="54" xfId="0" applyFont="1" applyFill="1" applyBorder="1" applyAlignment="1">
      <alignment horizontal="center" wrapText="1"/>
    </xf>
    <xf numFmtId="0" fontId="23" fillId="2" borderId="55" xfId="0" applyFont="1" applyFill="1" applyBorder="1" applyAlignment="1">
      <alignment horizontal="center" wrapText="1"/>
    </xf>
    <xf numFmtId="0" fontId="23" fillId="2" borderId="56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4" xfId="0" applyFont="1" applyFill="1" applyBorder="1" applyAlignment="1">
      <alignment horizontal="center"/>
    </xf>
    <xf numFmtId="0" fontId="20" fillId="2" borderId="55" xfId="0" applyFont="1" applyFill="1" applyBorder="1" applyAlignment="1">
      <alignment horizontal="center"/>
    </xf>
    <xf numFmtId="0" fontId="20" fillId="2" borderId="56" xfId="0" applyFont="1" applyFill="1" applyBorder="1" applyAlignment="1">
      <alignment horizontal="center"/>
    </xf>
    <xf numFmtId="0" fontId="14" fillId="2" borderId="54" xfId="0" applyFont="1" applyFill="1" applyBorder="1" applyAlignment="1">
      <alignment horizontal="left" vertical="center" wrapText="1"/>
    </xf>
    <xf numFmtId="0" fontId="14" fillId="2" borderId="55" xfId="0" applyFont="1" applyFill="1" applyBorder="1" applyAlignment="1">
      <alignment horizontal="left" vertical="center" wrapText="1"/>
    </xf>
    <xf numFmtId="0" fontId="14" fillId="2" borderId="56" xfId="0" applyFont="1" applyFill="1" applyBorder="1" applyAlignment="1">
      <alignment horizontal="left" vertical="center" wrapText="1"/>
    </xf>
    <xf numFmtId="0" fontId="15" fillId="3" borderId="0" xfId="0" applyFont="1" applyFill="1" applyAlignment="1" applyProtection="1">
      <alignment horizontal="left"/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9" fillId="2" borderId="30" xfId="0" applyFont="1" applyFill="1" applyBorder="1" applyAlignment="1">
      <alignment horizontal="center"/>
    </xf>
    <xf numFmtId="0" fontId="9" fillId="2" borderId="5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54" xfId="0" applyFont="1" applyFill="1" applyBorder="1" applyAlignment="1">
      <alignment horizontal="justify" vertical="center" wrapText="1"/>
    </xf>
    <xf numFmtId="0" fontId="14" fillId="2" borderId="55" xfId="0" applyFont="1" applyFill="1" applyBorder="1" applyAlignment="1">
      <alignment horizontal="justify" vertical="center" wrapText="1"/>
    </xf>
    <xf numFmtId="0" fontId="14" fillId="2" borderId="56" xfId="0" applyFont="1" applyFill="1" applyBorder="1" applyAlignment="1">
      <alignment horizontal="justify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2" fontId="15" fillId="3" borderId="26" xfId="0" applyNumberFormat="1" applyFont="1" applyFill="1" applyBorder="1" applyAlignment="1" applyProtection="1">
      <alignment horizontal="center" vertical="center"/>
      <protection locked="0"/>
    </xf>
    <xf numFmtId="2" fontId="15" fillId="3" borderId="27" xfId="0" applyNumberFormat="1" applyFont="1" applyFill="1" applyBorder="1" applyAlignment="1" applyProtection="1">
      <alignment horizontal="center" vertical="center"/>
      <protection locked="0"/>
    </xf>
    <xf numFmtId="2" fontId="15" fillId="3" borderId="28" xfId="0" applyNumberFormat="1" applyFont="1" applyFill="1" applyBorder="1" applyAlignment="1" applyProtection="1">
      <alignment horizontal="center" vertical="center"/>
      <protection locked="0"/>
    </xf>
    <xf numFmtId="0" fontId="9" fillId="2" borderId="41" xfId="0" applyFont="1" applyFill="1" applyBorder="1" applyAlignment="1">
      <alignment horizontal="center"/>
    </xf>
    <xf numFmtId="0" fontId="32" fillId="3" borderId="3" xfId="0" applyFont="1" applyFill="1" applyBorder="1" applyAlignment="1" applyProtection="1">
      <alignment horizontal="center"/>
      <protection locked="0"/>
    </xf>
    <xf numFmtId="0" fontId="32" fillId="3" borderId="5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2" workbookViewId="0">
      <selection activeCell="C19" sqref="C1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99" t="s">
        <v>0</v>
      </c>
      <c r="B15" s="299"/>
      <c r="C15" s="299"/>
      <c r="D15" s="299"/>
      <c r="E15" s="299"/>
    </row>
    <row r="16" spans="1:6" ht="16.5" customHeight="1" x14ac:dyDescent="0.3">
      <c r="A16" s="5" t="s">
        <v>1</v>
      </c>
      <c r="B16" s="6" t="s">
        <v>2</v>
      </c>
      <c r="C16" s="1" t="s">
        <v>121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69" t="str">
        <f>'Cefuroxime Axetil'!B26:C26</f>
        <v>Cefuroxime axetil</v>
      </c>
      <c r="C18" s="10"/>
      <c r="D18" s="10"/>
      <c r="E18" s="10"/>
    </row>
    <row r="19" spans="1:6" ht="16.5" customHeight="1" x14ac:dyDescent="0.3">
      <c r="A19" s="11" t="s">
        <v>6</v>
      </c>
      <c r="B19" s="12">
        <f>'Cefuroxime Axetil'!B28</f>
        <v>96.5</v>
      </c>
      <c r="C19" s="10"/>
      <c r="D19" s="10"/>
      <c r="E19" s="10"/>
    </row>
    <row r="20" spans="1:6" ht="16.5" customHeight="1" x14ac:dyDescent="0.3">
      <c r="A20" s="7" t="s">
        <v>8</v>
      </c>
      <c r="B20" s="12">
        <f>'Cefuroxime Axetil'!D43</f>
        <v>25.44</v>
      </c>
      <c r="C20" s="10"/>
      <c r="D20" s="10"/>
      <c r="E20" s="10"/>
    </row>
    <row r="21" spans="1:6" ht="16.5" customHeight="1" x14ac:dyDescent="0.3">
      <c r="A21" s="7" t="s">
        <v>10</v>
      </c>
      <c r="B21" s="13">
        <f>'Cefuroxime Axetil'!D46</f>
        <v>0.20409635327443337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344">
        <v>26320108</v>
      </c>
      <c r="C24" s="18">
        <v>3522.12</v>
      </c>
      <c r="D24" s="19">
        <v>0.99</v>
      </c>
      <c r="E24" s="20">
        <v>14.64</v>
      </c>
    </row>
    <row r="25" spans="1:6" ht="16.5" customHeight="1" x14ac:dyDescent="0.3">
      <c r="A25" s="17">
        <v>2</v>
      </c>
      <c r="B25" s="344">
        <v>26347217</v>
      </c>
      <c r="C25" s="18">
        <v>3538.34</v>
      </c>
      <c r="D25" s="19">
        <v>1</v>
      </c>
      <c r="E25" s="19">
        <v>14.63</v>
      </c>
    </row>
    <row r="26" spans="1:6" ht="16.5" customHeight="1" x14ac:dyDescent="0.3">
      <c r="A26" s="17">
        <v>3</v>
      </c>
      <c r="B26" s="344">
        <v>26320060</v>
      </c>
      <c r="C26" s="18">
        <v>3562.87</v>
      </c>
      <c r="D26" s="19">
        <v>1</v>
      </c>
      <c r="E26" s="19">
        <v>14.62</v>
      </c>
    </row>
    <row r="27" spans="1:6" ht="16.5" customHeight="1" x14ac:dyDescent="0.3">
      <c r="A27" s="17">
        <v>4</v>
      </c>
      <c r="B27" s="344">
        <v>26326579</v>
      </c>
      <c r="C27" s="18">
        <v>3617.02</v>
      </c>
      <c r="D27" s="19">
        <v>1.01</v>
      </c>
      <c r="E27" s="19">
        <v>14.62</v>
      </c>
    </row>
    <row r="28" spans="1:6" ht="16.5" customHeight="1" x14ac:dyDescent="0.3">
      <c r="A28" s="17">
        <v>5</v>
      </c>
      <c r="B28" s="344">
        <v>26254363</v>
      </c>
      <c r="C28" s="18">
        <v>3655.98</v>
      </c>
      <c r="D28" s="19">
        <v>1.01</v>
      </c>
      <c r="E28" s="19">
        <v>14.63</v>
      </c>
    </row>
    <row r="29" spans="1:6" ht="16.5" customHeight="1" x14ac:dyDescent="0.3">
      <c r="A29" s="17">
        <v>6</v>
      </c>
      <c r="B29" s="345">
        <v>26159365</v>
      </c>
      <c r="C29" s="21">
        <v>3683.29</v>
      </c>
      <c r="D29" s="22">
        <v>1.01</v>
      </c>
      <c r="E29" s="22">
        <v>14.63</v>
      </c>
    </row>
    <row r="30" spans="1:6" ht="16.5" customHeight="1" x14ac:dyDescent="0.3">
      <c r="A30" s="23" t="s">
        <v>18</v>
      </c>
      <c r="B30" s="24">
        <f>AVERAGE(B24:B29)</f>
        <v>26287948.666666668</v>
      </c>
      <c r="C30" s="25">
        <f>AVERAGE(C24:C29)</f>
        <v>3596.6033333333339</v>
      </c>
      <c r="D30" s="26">
        <f>AVERAGE(D24:D29)</f>
        <v>1.0033333333333332</v>
      </c>
      <c r="E30" s="26">
        <f>AVERAGE(E24:E29)</f>
        <v>14.628333333333332</v>
      </c>
    </row>
    <row r="31" spans="1:6" ht="16.5" customHeight="1" x14ac:dyDescent="0.3">
      <c r="A31" s="27" t="s">
        <v>19</v>
      </c>
      <c r="B31" s="28">
        <f>(STDEV(B24:B29)/B30)</f>
        <v>2.6754034185194121E-3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  <c r="C38" s="1" t="s">
        <v>122</v>
      </c>
    </row>
    <row r="39" spans="1:6" ht="16.5" customHeight="1" x14ac:dyDescent="0.3">
      <c r="A39" s="11" t="s">
        <v>4</v>
      </c>
      <c r="B39" s="8" t="str">
        <f>'Cefuroxime Axetil'!B26:C26</f>
        <v>Cefuroxime axetil</v>
      </c>
      <c r="C39" s="10"/>
      <c r="D39" s="10"/>
      <c r="E39" s="10"/>
    </row>
    <row r="40" spans="1:6" ht="16.5" customHeight="1" x14ac:dyDescent="0.3">
      <c r="A40" s="11" t="s">
        <v>6</v>
      </c>
      <c r="B40" s="12">
        <f>'Cefuroxime Axetil'!B28</f>
        <v>96.5</v>
      </c>
      <c r="C40" s="10"/>
      <c r="D40" s="10"/>
      <c r="E40" s="10"/>
    </row>
    <row r="41" spans="1:6" ht="16.5" customHeight="1" x14ac:dyDescent="0.3">
      <c r="A41" s="7" t="s">
        <v>8</v>
      </c>
      <c r="B41" s="12">
        <f>'Cefuroxime Axetil'!D43</f>
        <v>25.44</v>
      </c>
      <c r="C41" s="10"/>
      <c r="D41" s="10"/>
      <c r="E41" s="10"/>
    </row>
    <row r="42" spans="1:6" ht="16.5" customHeight="1" x14ac:dyDescent="0.3">
      <c r="A42" s="7" t="s">
        <v>10</v>
      </c>
      <c r="B42" s="13">
        <f>'Cefuroxime Axetil'!D46</f>
        <v>0.20409635327443337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27416073</v>
      </c>
      <c r="C45" s="18">
        <v>3898.27</v>
      </c>
      <c r="D45" s="19">
        <v>1.01</v>
      </c>
      <c r="E45" s="20">
        <v>17.010000000000002</v>
      </c>
    </row>
    <row r="46" spans="1:6" ht="16.5" customHeight="1" x14ac:dyDescent="0.3">
      <c r="A46" s="17">
        <v>2</v>
      </c>
      <c r="B46" s="18">
        <v>27424182</v>
      </c>
      <c r="C46" s="18">
        <v>3894.15</v>
      </c>
      <c r="D46" s="19">
        <v>1.02</v>
      </c>
      <c r="E46" s="19">
        <v>16.989999999999998</v>
      </c>
    </row>
    <row r="47" spans="1:6" ht="16.5" customHeight="1" x14ac:dyDescent="0.3">
      <c r="A47" s="17">
        <v>3</v>
      </c>
      <c r="B47" s="18">
        <v>27425703</v>
      </c>
      <c r="C47" s="18">
        <v>3929.56</v>
      </c>
      <c r="D47" s="19">
        <v>1.02</v>
      </c>
      <c r="E47" s="19">
        <v>16.989999999999998</v>
      </c>
    </row>
    <row r="48" spans="1:6" ht="16.5" customHeight="1" x14ac:dyDescent="0.3">
      <c r="A48" s="17">
        <v>4</v>
      </c>
      <c r="B48" s="18">
        <v>27514935</v>
      </c>
      <c r="C48" s="18">
        <v>3997.5</v>
      </c>
      <c r="D48" s="19">
        <v>1.02</v>
      </c>
      <c r="E48" s="19">
        <v>17</v>
      </c>
    </row>
    <row r="49" spans="1:7" ht="16.5" customHeight="1" x14ac:dyDescent="0.3">
      <c r="A49" s="17">
        <v>5</v>
      </c>
      <c r="B49" s="18">
        <v>27456609</v>
      </c>
      <c r="C49" s="18">
        <v>4030.16</v>
      </c>
      <c r="D49" s="19">
        <v>1.02</v>
      </c>
      <c r="E49" s="19">
        <v>17</v>
      </c>
    </row>
    <row r="50" spans="1:7" ht="16.5" customHeight="1" x14ac:dyDescent="0.3">
      <c r="A50" s="17">
        <v>6</v>
      </c>
      <c r="B50" s="21">
        <v>27330324</v>
      </c>
      <c r="C50" s="21">
        <v>4063.62</v>
      </c>
      <c r="D50" s="22">
        <v>1.03</v>
      </c>
      <c r="E50" s="22">
        <v>17</v>
      </c>
    </row>
    <row r="51" spans="1:7" ht="16.5" customHeight="1" x14ac:dyDescent="0.3">
      <c r="A51" s="23" t="s">
        <v>18</v>
      </c>
      <c r="B51" s="24">
        <f>AVERAGE(B45:B50)</f>
        <v>27427971</v>
      </c>
      <c r="C51" s="25">
        <f>AVERAGE(C45:C50)</f>
        <v>3968.8766666666666</v>
      </c>
      <c r="D51" s="26">
        <f>AVERAGE(D45:D50)</f>
        <v>1.02</v>
      </c>
      <c r="E51" s="26">
        <f>AVERAGE(E45:E50)</f>
        <v>16.998333333333331</v>
      </c>
    </row>
    <row r="52" spans="1:7" ht="16.5" customHeight="1" x14ac:dyDescent="0.3">
      <c r="A52" s="27" t="s">
        <v>19</v>
      </c>
      <c r="B52" s="28">
        <f>(STDEV(B45:B50)/B51)</f>
        <v>2.1923353042010174E-3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0" t="s">
        <v>26</v>
      </c>
      <c r="C59" s="300"/>
      <c r="E59" s="45" t="s">
        <v>27</v>
      </c>
      <c r="F59" s="46"/>
      <c r="G59" s="45" t="s">
        <v>28</v>
      </c>
    </row>
    <row r="60" spans="1:7" ht="24.75" customHeight="1" x14ac:dyDescent="0.3">
      <c r="A60" s="47" t="s">
        <v>29</v>
      </c>
      <c r="B60" s="48" t="s">
        <v>125</v>
      </c>
      <c r="C60" s="48"/>
      <c r="E60" s="48"/>
      <c r="F60" s="2"/>
      <c r="G60" s="49"/>
    </row>
    <row r="61" spans="1:7" ht="27.7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3" workbookViewId="0">
      <selection activeCell="B53" sqref="B5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4" t="s">
        <v>33</v>
      </c>
      <c r="B11" s="305"/>
      <c r="C11" s="305"/>
      <c r="D11" s="305"/>
      <c r="E11" s="305"/>
      <c r="F11" s="306"/>
      <c r="G11" s="243"/>
    </row>
    <row r="12" spans="1:7" ht="16.5" customHeight="1" x14ac:dyDescent="0.3">
      <c r="A12" s="303" t="s">
        <v>112</v>
      </c>
      <c r="B12" s="303"/>
      <c r="C12" s="303"/>
      <c r="D12" s="303"/>
      <c r="E12" s="303"/>
      <c r="F12" s="303"/>
      <c r="G12" s="242"/>
    </row>
    <row r="14" spans="1:7" ht="16.5" customHeight="1" x14ac:dyDescent="0.3">
      <c r="A14" s="308" t="s">
        <v>35</v>
      </c>
      <c r="B14" s="308"/>
      <c r="C14" s="212" t="s">
        <v>5</v>
      </c>
    </row>
    <row r="15" spans="1:7" ht="16.5" customHeight="1" x14ac:dyDescent="0.3">
      <c r="A15" s="308" t="s">
        <v>36</v>
      </c>
      <c r="B15" s="308"/>
      <c r="C15" s="212" t="s">
        <v>7</v>
      </c>
    </row>
    <row r="16" spans="1:7" ht="16.5" customHeight="1" x14ac:dyDescent="0.3">
      <c r="A16" s="308" t="s">
        <v>37</v>
      </c>
      <c r="B16" s="308"/>
      <c r="C16" s="212" t="s">
        <v>9</v>
      </c>
    </row>
    <row r="17" spans="1:5" ht="16.5" customHeight="1" x14ac:dyDescent="0.3">
      <c r="A17" s="308" t="s">
        <v>38</v>
      </c>
      <c r="B17" s="308"/>
      <c r="C17" s="212" t="s">
        <v>11</v>
      </c>
    </row>
    <row r="18" spans="1:5" ht="16.5" customHeight="1" x14ac:dyDescent="0.3">
      <c r="A18" s="308" t="s">
        <v>39</v>
      </c>
      <c r="B18" s="308"/>
      <c r="C18" s="249" t="s">
        <v>12</v>
      </c>
    </row>
    <row r="19" spans="1:5" ht="16.5" customHeight="1" x14ac:dyDescent="0.3">
      <c r="A19" s="308" t="s">
        <v>40</v>
      </c>
      <c r="B19" s="308"/>
      <c r="C19" s="249" t="e">
        <f>#REF!</f>
        <v>#REF!</v>
      </c>
    </row>
    <row r="20" spans="1:5" ht="16.5" customHeight="1" x14ac:dyDescent="0.3">
      <c r="A20" s="214"/>
      <c r="B20" s="214"/>
      <c r="C20" s="229"/>
    </row>
    <row r="21" spans="1:5" ht="16.5" customHeight="1" x14ac:dyDescent="0.3">
      <c r="A21" s="303" t="s">
        <v>1</v>
      </c>
      <c r="B21" s="303"/>
      <c r="C21" s="211" t="s">
        <v>113</v>
      </c>
      <c r="D21" s="218"/>
    </row>
    <row r="22" spans="1:5" ht="15.75" customHeight="1" x14ac:dyDescent="0.3">
      <c r="A22" s="307"/>
      <c r="B22" s="307"/>
      <c r="C22" s="209"/>
      <c r="D22" s="307"/>
      <c r="E22" s="307"/>
    </row>
    <row r="23" spans="1:5" ht="33.75" customHeight="1" x14ac:dyDescent="0.3">
      <c r="C23" s="238" t="s">
        <v>114</v>
      </c>
      <c r="D23" s="237" t="s">
        <v>115</v>
      </c>
      <c r="E23" s="204"/>
    </row>
    <row r="24" spans="1:5" ht="15.75" customHeight="1" x14ac:dyDescent="0.3">
      <c r="C24" s="247">
        <v>468.81</v>
      </c>
      <c r="D24" s="239">
        <f t="shared" ref="D24:D43" si="0">(C24-$C$46)/$C$46</f>
        <v>3.1926867785960775E-3</v>
      </c>
      <c r="E24" s="205"/>
    </row>
    <row r="25" spans="1:5" ht="15.75" customHeight="1" x14ac:dyDescent="0.3">
      <c r="C25" s="247">
        <v>473.25</v>
      </c>
      <c r="D25" s="240">
        <f t="shared" si="0"/>
        <v>1.2693711776563194E-2</v>
      </c>
      <c r="E25" s="205"/>
    </row>
    <row r="26" spans="1:5" ht="15.75" customHeight="1" x14ac:dyDescent="0.3">
      <c r="C26" s="247">
        <v>465.66</v>
      </c>
      <c r="D26" s="240">
        <f t="shared" si="0"/>
        <v>-3.5479052807724405E-3</v>
      </c>
      <c r="E26" s="205"/>
    </row>
    <row r="27" spans="1:5" ht="15.75" customHeight="1" x14ac:dyDescent="0.3">
      <c r="C27" s="247">
        <v>462.87</v>
      </c>
      <c r="D27" s="240">
        <f t="shared" si="0"/>
        <v>-9.5181439619275009E-3</v>
      </c>
      <c r="E27" s="205"/>
    </row>
    <row r="28" spans="1:5" ht="15.75" customHeight="1" x14ac:dyDescent="0.3">
      <c r="C28" s="247">
        <v>472.32</v>
      </c>
      <c r="D28" s="240">
        <f t="shared" si="0"/>
        <v>1.0703632216178175E-2</v>
      </c>
      <c r="E28" s="205"/>
    </row>
    <row r="29" spans="1:5" ht="15.75" customHeight="1" x14ac:dyDescent="0.3">
      <c r="C29" s="247">
        <v>467.13</v>
      </c>
      <c r="D29" s="240">
        <f t="shared" si="0"/>
        <v>-4.0229565306717266E-4</v>
      </c>
      <c r="E29" s="205"/>
    </row>
    <row r="30" spans="1:5" ht="15.75" customHeight="1" x14ac:dyDescent="0.3">
      <c r="C30" s="247">
        <v>467.1</v>
      </c>
      <c r="D30" s="240">
        <f t="shared" si="0"/>
        <v>-4.6649176791824351E-4</v>
      </c>
      <c r="E30" s="205"/>
    </row>
    <row r="31" spans="1:5" ht="15.75" customHeight="1" x14ac:dyDescent="0.3">
      <c r="C31" s="247">
        <v>464.16</v>
      </c>
      <c r="D31" s="240">
        <f t="shared" si="0"/>
        <v>-6.7577110233289009E-3</v>
      </c>
      <c r="E31" s="205"/>
    </row>
    <row r="32" spans="1:5" ht="15.75" customHeight="1" x14ac:dyDescent="0.3">
      <c r="C32" s="247">
        <v>467.27</v>
      </c>
      <c r="D32" s="240">
        <f t="shared" si="0"/>
        <v>-1.0271378376193226E-4</v>
      </c>
      <c r="E32" s="205"/>
    </row>
    <row r="33" spans="1:7" ht="15.75" customHeight="1" x14ac:dyDescent="0.3">
      <c r="C33" s="247">
        <v>466.05</v>
      </c>
      <c r="D33" s="240">
        <f t="shared" si="0"/>
        <v>-2.7133557877077898E-3</v>
      </c>
      <c r="E33" s="205"/>
    </row>
    <row r="34" spans="1:7" ht="15.75" customHeight="1" x14ac:dyDescent="0.3">
      <c r="C34" s="247">
        <v>469.21</v>
      </c>
      <c r="D34" s="240">
        <f t="shared" si="0"/>
        <v>4.0486349766110851E-3</v>
      </c>
      <c r="E34" s="205"/>
    </row>
    <row r="35" spans="1:7" ht="15.75" customHeight="1" x14ac:dyDescent="0.3">
      <c r="C35" s="247">
        <v>472.85</v>
      </c>
      <c r="D35" s="240">
        <f t="shared" si="0"/>
        <v>1.1837763578548188E-2</v>
      </c>
      <c r="E35" s="205"/>
    </row>
    <row r="36" spans="1:7" ht="15.75" customHeight="1" x14ac:dyDescent="0.3">
      <c r="C36" s="247">
        <v>471.7</v>
      </c>
      <c r="D36" s="240">
        <f t="shared" si="0"/>
        <v>9.3769125092548287E-3</v>
      </c>
      <c r="E36" s="205"/>
    </row>
    <row r="37" spans="1:7" ht="15.75" customHeight="1" x14ac:dyDescent="0.3">
      <c r="C37" s="247">
        <v>466.42</v>
      </c>
      <c r="D37" s="240">
        <f t="shared" si="0"/>
        <v>-1.9216037045438534E-3</v>
      </c>
      <c r="E37" s="205"/>
    </row>
    <row r="38" spans="1:7" ht="15.75" customHeight="1" x14ac:dyDescent="0.3">
      <c r="C38" s="247">
        <v>456.5</v>
      </c>
      <c r="D38" s="240">
        <f t="shared" si="0"/>
        <v>-2.3149119015317278E-2</v>
      </c>
      <c r="E38" s="205"/>
    </row>
    <row r="39" spans="1:7" ht="15.75" customHeight="1" x14ac:dyDescent="0.3">
      <c r="C39" s="247">
        <v>466.54</v>
      </c>
      <c r="D39" s="240">
        <f t="shared" si="0"/>
        <v>-1.6648192451393269E-3</v>
      </c>
      <c r="E39" s="205"/>
    </row>
    <row r="40" spans="1:7" ht="15.75" customHeight="1" x14ac:dyDescent="0.3">
      <c r="C40" s="247">
        <v>467.72</v>
      </c>
      <c r="D40" s="240">
        <f t="shared" si="0"/>
        <v>8.6022793900510314E-4</v>
      </c>
      <c r="E40" s="205"/>
    </row>
    <row r="41" spans="1:7" ht="15.75" customHeight="1" x14ac:dyDescent="0.3">
      <c r="C41" s="247">
        <v>470.88</v>
      </c>
      <c r="D41" s="240">
        <f t="shared" si="0"/>
        <v>7.6222187033239781E-3</v>
      </c>
      <c r="E41" s="205"/>
    </row>
    <row r="42" spans="1:7" ht="15.75" customHeight="1" x14ac:dyDescent="0.3">
      <c r="C42" s="247">
        <v>469.06</v>
      </c>
      <c r="D42" s="240">
        <f t="shared" si="0"/>
        <v>3.7276544023554874E-3</v>
      </c>
      <c r="E42" s="205"/>
    </row>
    <row r="43" spans="1:7" ht="16.5" customHeight="1" x14ac:dyDescent="0.3">
      <c r="C43" s="248">
        <v>460.86</v>
      </c>
      <c r="D43" s="241">
        <f t="shared" si="0"/>
        <v>-1.3819283656953138E-2</v>
      </c>
      <c r="E43" s="205"/>
    </row>
    <row r="44" spans="1:7" ht="16.5" customHeight="1" x14ac:dyDescent="0.3">
      <c r="C44" s="206"/>
      <c r="D44" s="205"/>
      <c r="E44" s="207"/>
    </row>
    <row r="45" spans="1:7" ht="16.5" customHeight="1" x14ac:dyDescent="0.3">
      <c r="B45" s="234" t="s">
        <v>116</v>
      </c>
      <c r="C45" s="235">
        <f>SUM(C24:C44)</f>
        <v>9346.36</v>
      </c>
      <c r="D45" s="230"/>
      <c r="E45" s="206"/>
    </row>
    <row r="46" spans="1:7" ht="17.25" customHeight="1" x14ac:dyDescent="0.3">
      <c r="B46" s="234" t="s">
        <v>117</v>
      </c>
      <c r="C46" s="236">
        <f>AVERAGE(C24:C44)</f>
        <v>467.31800000000004</v>
      </c>
      <c r="E46" s="208"/>
    </row>
    <row r="47" spans="1:7" ht="17.25" customHeight="1" x14ac:dyDescent="0.3">
      <c r="A47" s="212"/>
      <c r="B47" s="231"/>
      <c r="D47" s="210"/>
      <c r="E47" s="208"/>
    </row>
    <row r="48" spans="1:7" ht="33.75" customHeight="1" x14ac:dyDescent="0.3">
      <c r="B48" s="244" t="s">
        <v>117</v>
      </c>
      <c r="C48" s="237" t="s">
        <v>118</v>
      </c>
      <c r="D48" s="232"/>
      <c r="G48" s="210"/>
    </row>
    <row r="49" spans="1:6" ht="17.25" customHeight="1" x14ac:dyDescent="0.3">
      <c r="B49" s="301">
        <f>C46</f>
        <v>467.31800000000004</v>
      </c>
      <c r="C49" s="245">
        <f>-IF(C46&lt;=80,10%,IF(C46&lt;250,7.5%,5%))</f>
        <v>-0.05</v>
      </c>
      <c r="D49" s="233">
        <f>IF(C46&lt;=80,C46*0.9,IF(C46&lt;250,C46*0.925,C46*0.95))</f>
        <v>443.95210000000003</v>
      </c>
    </row>
    <row r="50" spans="1:6" ht="17.25" customHeight="1" x14ac:dyDescent="0.3">
      <c r="B50" s="302"/>
      <c r="C50" s="246">
        <f>IF(C46&lt;=80, 10%, IF(C46&lt;250, 7.5%, 5%))</f>
        <v>0.05</v>
      </c>
      <c r="D50" s="233">
        <f>IF(C46&lt;=80, C46*1.1, IF(C46&lt;250, C46*1.075, C46*1.05))</f>
        <v>490.68390000000005</v>
      </c>
    </row>
    <row r="51" spans="1:6" ht="16.5" customHeight="1" x14ac:dyDescent="0.3">
      <c r="A51" s="215"/>
      <c r="B51" s="216"/>
      <c r="C51" s="212"/>
      <c r="D51" s="217"/>
      <c r="E51" s="212"/>
      <c r="F51" s="218"/>
    </row>
    <row r="52" spans="1:6" ht="16.5" customHeight="1" x14ac:dyDescent="0.3">
      <c r="A52" s="212"/>
      <c r="B52" s="219" t="s">
        <v>26</v>
      </c>
      <c r="C52" s="219"/>
      <c r="D52" s="220" t="s">
        <v>27</v>
      </c>
      <c r="E52" s="221"/>
      <c r="F52" s="220" t="s">
        <v>28</v>
      </c>
    </row>
    <row r="53" spans="1:6" ht="23.25" customHeight="1" x14ac:dyDescent="0.3">
      <c r="A53" s="222" t="s">
        <v>29</v>
      </c>
      <c r="B53" s="223" t="s">
        <v>125</v>
      </c>
      <c r="C53" s="224"/>
      <c r="D53" s="223"/>
      <c r="E53" s="213"/>
      <c r="F53" s="225"/>
    </row>
    <row r="54" spans="1:6" ht="24.75" customHeight="1" x14ac:dyDescent="0.3">
      <c r="A54" s="222" t="s">
        <v>30</v>
      </c>
      <c r="B54" s="226"/>
      <c r="C54" s="227"/>
      <c r="D54" s="226"/>
      <c r="E54" s="213"/>
      <c r="F54" s="2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zoomScale="60" zoomScaleNormal="60" zoomScaleSheetLayoutView="50" zoomScalePageLayoutView="55" workbookViewId="0">
      <selection activeCell="G45" sqref="G45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42578125" style="2" customWidth="1"/>
    <col min="10" max="10" width="21.28515625" style="2" customWidth="1"/>
    <col min="11" max="11" width="9.140625" style="2" customWidth="1"/>
  </cols>
  <sheetData>
    <row r="1" spans="1:8" x14ac:dyDescent="0.25">
      <c r="A1" s="309" t="s">
        <v>31</v>
      </c>
      <c r="B1" s="309"/>
      <c r="C1" s="309"/>
      <c r="D1" s="309"/>
      <c r="E1" s="309"/>
      <c r="F1" s="309"/>
      <c r="G1" s="309"/>
      <c r="H1" s="309"/>
    </row>
    <row r="2" spans="1:8" x14ac:dyDescent="0.25">
      <c r="A2" s="309"/>
      <c r="B2" s="309"/>
      <c r="C2" s="309"/>
      <c r="D2" s="309"/>
      <c r="E2" s="309"/>
      <c r="F2" s="309"/>
      <c r="G2" s="309"/>
      <c r="H2" s="309"/>
    </row>
    <row r="3" spans="1:8" x14ac:dyDescent="0.25">
      <c r="A3" s="309"/>
      <c r="B3" s="309"/>
      <c r="C3" s="309"/>
      <c r="D3" s="309"/>
      <c r="E3" s="309"/>
      <c r="F3" s="309"/>
      <c r="G3" s="309"/>
      <c r="H3" s="309"/>
    </row>
    <row r="4" spans="1:8" x14ac:dyDescent="0.25">
      <c r="A4" s="309"/>
      <c r="B4" s="309"/>
      <c r="C4" s="309"/>
      <c r="D4" s="309"/>
      <c r="E4" s="309"/>
      <c r="F4" s="309"/>
      <c r="G4" s="309"/>
      <c r="H4" s="309"/>
    </row>
    <row r="5" spans="1:8" x14ac:dyDescent="0.25">
      <c r="A5" s="309"/>
      <c r="B5" s="309"/>
      <c r="C5" s="309"/>
      <c r="D5" s="309"/>
      <c r="E5" s="309"/>
      <c r="F5" s="309"/>
      <c r="G5" s="309"/>
      <c r="H5" s="309"/>
    </row>
    <row r="6" spans="1:8" x14ac:dyDescent="0.25">
      <c r="A6" s="309"/>
      <c r="B6" s="309"/>
      <c r="C6" s="309"/>
      <c r="D6" s="309"/>
      <c r="E6" s="309"/>
      <c r="F6" s="309"/>
      <c r="G6" s="309"/>
      <c r="H6" s="309"/>
    </row>
    <row r="7" spans="1:8" x14ac:dyDescent="0.25">
      <c r="A7" s="309"/>
      <c r="B7" s="309"/>
      <c r="C7" s="309"/>
      <c r="D7" s="309"/>
      <c r="E7" s="309"/>
      <c r="F7" s="309"/>
      <c r="G7" s="309"/>
      <c r="H7" s="309"/>
    </row>
    <row r="8" spans="1:8" x14ac:dyDescent="0.25">
      <c r="A8" s="310" t="s">
        <v>32</v>
      </c>
      <c r="B8" s="310"/>
      <c r="C8" s="310"/>
      <c r="D8" s="310"/>
      <c r="E8" s="310"/>
      <c r="F8" s="310"/>
      <c r="G8" s="310"/>
      <c r="H8" s="310"/>
    </row>
    <row r="9" spans="1:8" x14ac:dyDescent="0.25">
      <c r="A9" s="310"/>
      <c r="B9" s="310"/>
      <c r="C9" s="310"/>
      <c r="D9" s="310"/>
      <c r="E9" s="310"/>
      <c r="F9" s="310"/>
      <c r="G9" s="310"/>
      <c r="H9" s="310"/>
    </row>
    <row r="10" spans="1:8" x14ac:dyDescent="0.25">
      <c r="A10" s="310"/>
      <c r="B10" s="310"/>
      <c r="C10" s="310"/>
      <c r="D10" s="310"/>
      <c r="E10" s="310"/>
      <c r="F10" s="310"/>
      <c r="G10" s="310"/>
      <c r="H10" s="310"/>
    </row>
    <row r="11" spans="1:8" x14ac:dyDescent="0.25">
      <c r="A11" s="310"/>
      <c r="B11" s="310"/>
      <c r="C11" s="310"/>
      <c r="D11" s="310"/>
      <c r="E11" s="310"/>
      <c r="F11" s="310"/>
      <c r="G11" s="310"/>
      <c r="H11" s="310"/>
    </row>
    <row r="12" spans="1:8" x14ac:dyDescent="0.25">
      <c r="A12" s="310"/>
      <c r="B12" s="310"/>
      <c r="C12" s="310"/>
      <c r="D12" s="310"/>
      <c r="E12" s="310"/>
      <c r="F12" s="310"/>
      <c r="G12" s="310"/>
      <c r="H12" s="310"/>
    </row>
    <row r="13" spans="1:8" x14ac:dyDescent="0.25">
      <c r="A13" s="310"/>
      <c r="B13" s="310"/>
      <c r="C13" s="310"/>
      <c r="D13" s="310"/>
      <c r="E13" s="310"/>
      <c r="F13" s="310"/>
      <c r="G13" s="310"/>
      <c r="H13" s="310"/>
    </row>
    <row r="14" spans="1:8" x14ac:dyDescent="0.25">
      <c r="A14" s="310"/>
      <c r="B14" s="310"/>
      <c r="C14" s="310"/>
      <c r="D14" s="310"/>
      <c r="E14" s="310"/>
      <c r="F14" s="310"/>
      <c r="G14" s="310"/>
      <c r="H14" s="310"/>
    </row>
    <row r="15" spans="1:8" ht="19.5" customHeight="1" x14ac:dyDescent="0.25"/>
    <row r="16" spans="1:8" ht="19.5" customHeight="1" x14ac:dyDescent="0.25">
      <c r="A16" s="311" t="s">
        <v>33</v>
      </c>
      <c r="B16" s="312"/>
      <c r="C16" s="312"/>
      <c r="D16" s="312"/>
      <c r="E16" s="312"/>
      <c r="F16" s="312"/>
      <c r="G16" s="312"/>
      <c r="H16" s="313"/>
    </row>
    <row r="17" spans="1:13" ht="18.75" x14ac:dyDescent="0.3">
      <c r="A17" s="52" t="s">
        <v>34</v>
      </c>
      <c r="B17" s="52"/>
    </row>
    <row r="18" spans="1:13" ht="20.25" x14ac:dyDescent="0.3">
      <c r="A18" s="54" t="s">
        <v>35</v>
      </c>
      <c r="B18" s="318" t="s">
        <v>5</v>
      </c>
      <c r="C18" s="318"/>
      <c r="D18" s="268"/>
      <c r="E18" s="141"/>
    </row>
    <row r="19" spans="1:13" ht="21" x14ac:dyDescent="0.35">
      <c r="A19" s="54" t="s">
        <v>36</v>
      </c>
      <c r="B19" s="292" t="s">
        <v>7</v>
      </c>
      <c r="C19" s="293">
        <v>35</v>
      </c>
      <c r="D19" s="267"/>
    </row>
    <row r="20" spans="1:13" ht="21" x14ac:dyDescent="0.35">
      <c r="A20" s="54" t="s">
        <v>37</v>
      </c>
      <c r="B20" s="292" t="s">
        <v>9</v>
      </c>
      <c r="C20" s="267"/>
      <c r="D20" s="267"/>
    </row>
    <row r="21" spans="1:13" ht="21" x14ac:dyDescent="0.35">
      <c r="A21" s="54" t="s">
        <v>38</v>
      </c>
      <c r="B21" s="294" t="s">
        <v>11</v>
      </c>
      <c r="C21" s="294"/>
      <c r="D21" s="294"/>
      <c r="E21" s="158"/>
      <c r="F21" s="158"/>
      <c r="G21" s="158"/>
      <c r="H21" s="158"/>
    </row>
    <row r="22" spans="1:13" ht="21" x14ac:dyDescent="0.35">
      <c r="A22" s="54" t="s">
        <v>39</v>
      </c>
      <c r="B22" s="295" t="s">
        <v>123</v>
      </c>
      <c r="C22" s="267"/>
      <c r="D22" s="267"/>
    </row>
    <row r="23" spans="1:13" ht="21" x14ac:dyDescent="0.35">
      <c r="A23" s="54" t="s">
        <v>40</v>
      </c>
      <c r="B23" s="295" t="s">
        <v>124</v>
      </c>
      <c r="C23" s="267"/>
      <c r="D23" s="267"/>
    </row>
    <row r="24" spans="1:13" ht="21" x14ac:dyDescent="0.35">
      <c r="A24" s="54"/>
      <c r="B24" s="296"/>
      <c r="C24" s="267"/>
      <c r="D24" s="267"/>
    </row>
    <row r="25" spans="1:13" ht="18.75" x14ac:dyDescent="0.3">
      <c r="A25" s="58" t="s">
        <v>1</v>
      </c>
      <c r="B25" s="57"/>
    </row>
    <row r="26" spans="1:13" ht="26.25" customHeight="1" x14ac:dyDescent="0.3">
      <c r="A26" s="59" t="s">
        <v>4</v>
      </c>
      <c r="B26" s="318" t="s">
        <v>119</v>
      </c>
      <c r="C26" s="318"/>
    </row>
    <row r="27" spans="1:13" ht="26.25" customHeight="1" x14ac:dyDescent="0.35">
      <c r="A27" s="61" t="s">
        <v>41</v>
      </c>
      <c r="B27" s="266" t="s">
        <v>120</v>
      </c>
      <c r="C27" s="267"/>
    </row>
    <row r="28" spans="1:13" ht="27" customHeight="1" x14ac:dyDescent="0.35">
      <c r="A28" s="61" t="s">
        <v>6</v>
      </c>
      <c r="B28" s="266">
        <v>96.5</v>
      </c>
      <c r="C28" s="267"/>
    </row>
    <row r="29" spans="1:13" s="11" customFormat="1" ht="27" customHeight="1" x14ac:dyDescent="0.4">
      <c r="A29" s="61" t="s">
        <v>42</v>
      </c>
      <c r="B29" s="185">
        <v>0</v>
      </c>
      <c r="C29" s="327" t="s">
        <v>43</v>
      </c>
      <c r="D29" s="328"/>
      <c r="E29" s="328"/>
      <c r="F29" s="328"/>
      <c r="G29" s="329"/>
      <c r="I29" s="63"/>
      <c r="J29" s="63"/>
      <c r="K29" s="63"/>
    </row>
    <row r="30" spans="1:13" s="11" customFormat="1" ht="19.5" customHeight="1" x14ac:dyDescent="0.3">
      <c r="A30" s="61" t="s">
        <v>44</v>
      </c>
      <c r="B30" s="60">
        <f>B28-B29</f>
        <v>96.5</v>
      </c>
      <c r="C30" s="64"/>
      <c r="D30" s="64"/>
      <c r="E30" s="64"/>
      <c r="F30" s="64"/>
      <c r="G30" s="65"/>
      <c r="I30" s="63"/>
      <c r="J30" s="63"/>
      <c r="K30" s="63"/>
    </row>
    <row r="31" spans="1:13" s="11" customFormat="1" ht="27" customHeight="1" x14ac:dyDescent="0.4">
      <c r="A31" s="61" t="s">
        <v>45</v>
      </c>
      <c r="B31" s="262">
        <v>424.38600000000002</v>
      </c>
      <c r="C31" s="314" t="s">
        <v>46</v>
      </c>
      <c r="D31" s="315"/>
      <c r="E31" s="315"/>
      <c r="F31" s="315"/>
      <c r="G31" s="315"/>
      <c r="H31" s="316"/>
      <c r="I31" s="63"/>
      <c r="J31" s="63"/>
      <c r="K31" s="63"/>
    </row>
    <row r="32" spans="1:13" s="11" customFormat="1" ht="27" customHeight="1" x14ac:dyDescent="0.4">
      <c r="A32" s="61" t="s">
        <v>47</v>
      </c>
      <c r="B32" s="262">
        <v>510.47</v>
      </c>
      <c r="C32" s="314" t="s">
        <v>48</v>
      </c>
      <c r="D32" s="315"/>
      <c r="E32" s="315"/>
      <c r="F32" s="315"/>
      <c r="G32" s="315"/>
      <c r="H32" s="316"/>
      <c r="I32" s="63"/>
      <c r="J32" s="63"/>
      <c r="K32" s="67"/>
      <c r="L32" s="67"/>
      <c r="M32" s="68"/>
    </row>
    <row r="33" spans="1:13" s="11" customFormat="1" ht="17.25" customHeight="1" x14ac:dyDescent="0.3">
      <c r="A33" s="61"/>
      <c r="B33" s="66"/>
      <c r="C33" s="69"/>
      <c r="D33" s="69"/>
      <c r="E33" s="69"/>
      <c r="F33" s="69"/>
      <c r="G33" s="69"/>
      <c r="H33" s="69"/>
      <c r="I33" s="63"/>
      <c r="J33" s="63"/>
      <c r="K33" s="67"/>
      <c r="L33" s="67"/>
      <c r="M33" s="68"/>
    </row>
    <row r="34" spans="1:13" s="11" customFormat="1" ht="18.75" x14ac:dyDescent="0.3">
      <c r="A34" s="61" t="s">
        <v>49</v>
      </c>
      <c r="B34" s="70">
        <f>B31/B32</f>
        <v>0.83136325347229023</v>
      </c>
      <c r="C34" s="53" t="s">
        <v>50</v>
      </c>
      <c r="D34" s="53"/>
      <c r="E34" s="53"/>
      <c r="F34" s="53"/>
      <c r="G34" s="53"/>
      <c r="I34" s="63"/>
      <c r="J34" s="63"/>
      <c r="K34" s="67"/>
      <c r="L34" s="67"/>
      <c r="M34" s="68"/>
    </row>
    <row r="35" spans="1:13" s="11" customFormat="1" ht="19.5" customHeight="1" x14ac:dyDescent="0.3">
      <c r="A35" s="61"/>
      <c r="B35" s="60"/>
      <c r="G35" s="53"/>
      <c r="I35" s="63"/>
      <c r="J35" s="63"/>
      <c r="K35" s="67"/>
      <c r="L35" s="67"/>
      <c r="M35" s="68"/>
    </row>
    <row r="36" spans="1:13" s="11" customFormat="1" ht="27" customHeight="1" x14ac:dyDescent="0.4">
      <c r="A36" s="71" t="s">
        <v>51</v>
      </c>
      <c r="B36" s="187">
        <v>100</v>
      </c>
      <c r="C36" s="53"/>
      <c r="D36" s="319" t="s">
        <v>52</v>
      </c>
      <c r="E36" s="343"/>
      <c r="F36" s="319" t="s">
        <v>53</v>
      </c>
      <c r="G36" s="320"/>
      <c r="I36" s="63"/>
      <c r="J36" s="63"/>
      <c r="K36" s="67"/>
      <c r="L36" s="67"/>
      <c r="M36" s="68"/>
    </row>
    <row r="37" spans="1:13" s="11" customFormat="1" ht="26.25" customHeight="1" x14ac:dyDescent="0.4">
      <c r="A37" s="72" t="s">
        <v>54</v>
      </c>
      <c r="B37" s="188">
        <v>1</v>
      </c>
      <c r="C37" s="74" t="s">
        <v>55</v>
      </c>
      <c r="D37" s="75" t="s">
        <v>56</v>
      </c>
      <c r="E37" s="128" t="s">
        <v>57</v>
      </c>
      <c r="F37" s="75" t="s">
        <v>56</v>
      </c>
      <c r="G37" s="76" t="s">
        <v>57</v>
      </c>
      <c r="I37" s="63"/>
      <c r="J37" s="63"/>
      <c r="K37" s="67"/>
      <c r="L37" s="67"/>
      <c r="M37" s="68"/>
    </row>
    <row r="38" spans="1:13" s="11" customFormat="1" ht="26.25" customHeight="1" x14ac:dyDescent="0.4">
      <c r="A38" s="72" t="s">
        <v>58</v>
      </c>
      <c r="B38" s="188">
        <v>1</v>
      </c>
      <c r="C38" s="77">
        <v>1</v>
      </c>
      <c r="D38" s="270">
        <f>25975347+27020764</f>
        <v>52996111</v>
      </c>
      <c r="E38" s="253">
        <f>IF(ISBLANK(D38),"-",$D$48/$D$45*D38)</f>
        <v>62318931.406371608</v>
      </c>
      <c r="F38" s="270">
        <f>26164695+27108826</f>
        <v>53273521</v>
      </c>
      <c r="G38" s="256">
        <f>IF(ISBLANK(F38),"-",$D$48/$F$45*F38)</f>
        <v>62966906.890853144</v>
      </c>
      <c r="I38" s="63"/>
      <c r="J38" s="63"/>
      <c r="K38" s="67"/>
      <c r="L38" s="67"/>
      <c r="M38" s="68"/>
    </row>
    <row r="39" spans="1:13" s="11" customFormat="1" ht="26.25" customHeight="1" x14ac:dyDescent="0.4">
      <c r="A39" s="72" t="s">
        <v>59</v>
      </c>
      <c r="B39" s="188">
        <v>1</v>
      </c>
      <c r="C39" s="73">
        <v>2</v>
      </c>
      <c r="D39" s="274">
        <f>25917592+26860123</f>
        <v>52777715</v>
      </c>
      <c r="E39" s="254">
        <f>IF(ISBLANK(D39),"-",$D$48/$D$45*D39)</f>
        <v>62062116.234718241</v>
      </c>
      <c r="F39" s="274">
        <f>26024100+26828575</f>
        <v>52852675</v>
      </c>
      <c r="G39" s="257">
        <f>IF(ISBLANK(F39),"-",$D$48/$F$45*F39)</f>
        <v>62469485.838143148</v>
      </c>
      <c r="I39" s="63"/>
      <c r="J39" s="63"/>
      <c r="K39" s="67"/>
      <c r="L39" s="67"/>
      <c r="M39" s="68"/>
    </row>
    <row r="40" spans="1:13" ht="26.25" customHeight="1" x14ac:dyDescent="0.4">
      <c r="A40" s="72" t="s">
        <v>60</v>
      </c>
      <c r="B40" s="188">
        <v>1</v>
      </c>
      <c r="C40" s="73">
        <v>3</v>
      </c>
      <c r="D40" s="274">
        <f>25828556+26945910</f>
        <v>52774466</v>
      </c>
      <c r="E40" s="254">
        <f>IF(ISBLANK(D40),"-",$D$48/$D$45*D40)</f>
        <v>62058295.686298393</v>
      </c>
      <c r="F40" s="274">
        <f>25920297+27050035</f>
        <v>52970332</v>
      </c>
      <c r="G40" s="257">
        <f>IF(ISBLANK(F40),"-",$D$48/$F$45*F40)</f>
        <v>62608551.122828521</v>
      </c>
      <c r="K40" s="67"/>
      <c r="L40" s="67"/>
      <c r="M40" s="79"/>
    </row>
    <row r="41" spans="1:13" ht="26.25" customHeight="1" x14ac:dyDescent="0.4">
      <c r="A41" s="72" t="s">
        <v>61</v>
      </c>
      <c r="B41" s="188">
        <v>1</v>
      </c>
      <c r="C41" s="80">
        <v>4</v>
      </c>
      <c r="D41" s="263"/>
      <c r="E41" s="255" t="str">
        <f>IF(ISBLANK(D41),"-",$D$48/$D$45*D41)</f>
        <v>-</v>
      </c>
      <c r="F41" s="263"/>
      <c r="G41" s="258" t="str">
        <f>IF(ISBLANK(F41),"-",$D$48/$F$45*F41)</f>
        <v>-</v>
      </c>
      <c r="K41" s="67"/>
      <c r="L41" s="67"/>
      <c r="M41" s="79"/>
    </row>
    <row r="42" spans="1:13" ht="27" customHeight="1" x14ac:dyDescent="0.4">
      <c r="A42" s="72" t="s">
        <v>62</v>
      </c>
      <c r="B42" s="188">
        <v>1</v>
      </c>
      <c r="C42" s="82" t="s">
        <v>63</v>
      </c>
      <c r="D42" s="260">
        <f>AVERAGE(D38:D41)</f>
        <v>52849430.666666664</v>
      </c>
      <c r="E42" s="252">
        <f>AVERAGE(E38:E41)</f>
        <v>62146447.775796086</v>
      </c>
      <c r="F42" s="250">
        <f>AVERAGE(F38:F41)</f>
        <v>53032176</v>
      </c>
      <c r="G42" s="251">
        <f>AVERAGE(G38:G41)</f>
        <v>62681647.950608276</v>
      </c>
      <c r="H42" s="155"/>
    </row>
    <row r="43" spans="1:13" ht="26.25" customHeight="1" x14ac:dyDescent="0.4">
      <c r="A43" s="72" t="s">
        <v>64</v>
      </c>
      <c r="B43" s="186">
        <v>1</v>
      </c>
      <c r="C43" s="169" t="s">
        <v>65</v>
      </c>
      <c r="D43" s="264">
        <v>25.44</v>
      </c>
      <c r="E43" s="261"/>
      <c r="F43" s="265">
        <v>25.31</v>
      </c>
      <c r="G43" s="259"/>
      <c r="H43" s="155"/>
    </row>
    <row r="44" spans="1:13" ht="26.25" customHeight="1" x14ac:dyDescent="0.4">
      <c r="A44" s="72" t="s">
        <v>66</v>
      </c>
      <c r="B44" s="186">
        <v>1</v>
      </c>
      <c r="C44" s="170" t="s">
        <v>67</v>
      </c>
      <c r="D44" s="171">
        <f>D43*$B$34</f>
        <v>21.149881168335064</v>
      </c>
      <c r="E44" s="84"/>
      <c r="F44" s="83">
        <f>F43*$B$34</f>
        <v>21.041803945383666</v>
      </c>
      <c r="H44" s="155"/>
    </row>
    <row r="45" spans="1:13" ht="19.5" customHeight="1" x14ac:dyDescent="0.3">
      <c r="A45" s="72" t="s">
        <v>68</v>
      </c>
      <c r="B45" s="168">
        <f>(B44/B43)*(B42/B41)*(B40/B39)*(B38/B37)*B36</f>
        <v>100</v>
      </c>
      <c r="C45" s="170" t="s">
        <v>69</v>
      </c>
      <c r="D45" s="172">
        <f>D44*$B$30/100</f>
        <v>20.409635327443336</v>
      </c>
      <c r="E45" s="86"/>
      <c r="F45" s="85">
        <f>F44*$B$30/100</f>
        <v>20.305340807295238</v>
      </c>
      <c r="H45" s="155"/>
    </row>
    <row r="46" spans="1:13" ht="19.5" customHeight="1" x14ac:dyDescent="0.3">
      <c r="A46" s="321" t="s">
        <v>70</v>
      </c>
      <c r="B46" s="322"/>
      <c r="C46" s="170" t="s">
        <v>71</v>
      </c>
      <c r="D46" s="171">
        <f>D45/$B$45</f>
        <v>0.20409635327443337</v>
      </c>
      <c r="E46" s="86"/>
      <c r="F46" s="87">
        <f>F45/$B$45</f>
        <v>0.20305340807295238</v>
      </c>
      <c r="H46" s="155"/>
    </row>
    <row r="47" spans="1:13" ht="27" customHeight="1" x14ac:dyDescent="0.4">
      <c r="A47" s="323"/>
      <c r="B47" s="324"/>
      <c r="C47" s="170" t="s">
        <v>72</v>
      </c>
      <c r="D47" s="190">
        <v>0.24</v>
      </c>
      <c r="F47" s="89"/>
      <c r="H47" s="155"/>
    </row>
    <row r="48" spans="1:13" ht="18.75" x14ac:dyDescent="0.3">
      <c r="C48" s="170" t="s">
        <v>73</v>
      </c>
      <c r="D48" s="171">
        <f>D47*$B$45</f>
        <v>24</v>
      </c>
      <c r="F48" s="89"/>
      <c r="H48" s="155"/>
    </row>
    <row r="49" spans="1:11" ht="19.5" customHeight="1" x14ac:dyDescent="0.3">
      <c r="C49" s="173" t="s">
        <v>74</v>
      </c>
      <c r="D49" s="174">
        <f>D48/B34</f>
        <v>28.868247303162686</v>
      </c>
      <c r="F49" s="92"/>
      <c r="H49" s="155"/>
    </row>
    <row r="50" spans="1:11" ht="18.75" x14ac:dyDescent="0.3">
      <c r="C50" s="175" t="s">
        <v>75</v>
      </c>
      <c r="D50" s="176">
        <f>AVERAGE(E38:E41,G38:G41)</f>
        <v>62414047.863202184</v>
      </c>
      <c r="F50" s="92"/>
      <c r="H50" s="155"/>
    </row>
    <row r="51" spans="1:11" ht="18.75" x14ac:dyDescent="0.3">
      <c r="C51" s="88" t="s">
        <v>76</v>
      </c>
      <c r="D51" s="93">
        <f>STDEV(E38:E41,G38:G41)/D50</f>
        <v>5.5779722179003571E-3</v>
      </c>
      <c r="F51" s="92"/>
    </row>
    <row r="52" spans="1:11" ht="19.5" customHeight="1" x14ac:dyDescent="0.3">
      <c r="C52" s="90" t="s">
        <v>20</v>
      </c>
      <c r="D52" s="94">
        <f>COUNT(E38:E41,G38:G41)</f>
        <v>6</v>
      </c>
      <c r="F52" s="92"/>
    </row>
    <row r="54" spans="1:11" ht="18.75" x14ac:dyDescent="0.3">
      <c r="A54" s="52" t="s">
        <v>1</v>
      </c>
      <c r="B54" s="95" t="s">
        <v>77</v>
      </c>
    </row>
    <row r="55" spans="1:11" ht="18.75" x14ac:dyDescent="0.3">
      <c r="A55" s="53" t="s">
        <v>78</v>
      </c>
      <c r="B55" s="56" t="str">
        <f>B21</f>
        <v>Each film coated tablet contains: Cefuroxime axetil USP equivalent to Cefuroxime 250mg</v>
      </c>
    </row>
    <row r="56" spans="1:11" ht="26.25" customHeight="1" x14ac:dyDescent="0.4">
      <c r="A56" s="55" t="s">
        <v>79</v>
      </c>
      <c r="B56" s="185">
        <v>250</v>
      </c>
      <c r="C56" s="53" t="str">
        <f>B20</f>
        <v xml:space="preserve">Cefuroxime Axetil </v>
      </c>
      <c r="H56" s="62"/>
    </row>
    <row r="57" spans="1:11" ht="18.75" x14ac:dyDescent="0.3">
      <c r="A57" s="56" t="s">
        <v>80</v>
      </c>
      <c r="B57" s="203">
        <f>Uniformity!C46</f>
        <v>467.31800000000004</v>
      </c>
      <c r="H57" s="62"/>
    </row>
    <row r="58" spans="1:11" ht="19.5" customHeight="1" x14ac:dyDescent="0.3">
      <c r="H58" s="62"/>
    </row>
    <row r="59" spans="1:11" s="11" customFormat="1" ht="27" customHeight="1" x14ac:dyDescent="0.4">
      <c r="A59" s="71" t="s">
        <v>81</v>
      </c>
      <c r="B59" s="187">
        <v>100</v>
      </c>
      <c r="C59" s="53"/>
      <c r="D59" s="97" t="s">
        <v>82</v>
      </c>
      <c r="E59" s="96" t="s">
        <v>83</v>
      </c>
      <c r="F59" s="96" t="s">
        <v>56</v>
      </c>
      <c r="G59" s="96" t="s">
        <v>84</v>
      </c>
      <c r="H59" s="74" t="s">
        <v>85</v>
      </c>
      <c r="K59" s="63"/>
    </row>
    <row r="60" spans="1:11" s="11" customFormat="1" ht="22.5" customHeight="1" x14ac:dyDescent="0.4">
      <c r="A60" s="72" t="s">
        <v>86</v>
      </c>
      <c r="B60" s="188">
        <v>4</v>
      </c>
      <c r="C60" s="336" t="s">
        <v>87</v>
      </c>
      <c r="D60" s="340">
        <v>179.84</v>
      </c>
      <c r="E60" s="98">
        <v>1</v>
      </c>
      <c r="F60" s="192">
        <f>24506964+25380674</f>
        <v>49887638</v>
      </c>
      <c r="G60" s="132">
        <f>IF(ISBLANK(F60),"-",(F60/$D$50*$D$47*$B$68)*($B$57/$D$60))</f>
        <v>249.24017872051354</v>
      </c>
      <c r="H60" s="134">
        <f>IF(ISBLANK(F60),"-",G60/$B$56)</f>
        <v>0.99696071488205418</v>
      </c>
      <c r="K60" s="63"/>
    </row>
    <row r="61" spans="1:11" s="11" customFormat="1" ht="26.25" customHeight="1" x14ac:dyDescent="0.4">
      <c r="A61" s="72" t="s">
        <v>88</v>
      </c>
      <c r="B61" s="188">
        <v>20</v>
      </c>
      <c r="C61" s="337"/>
      <c r="D61" s="341"/>
      <c r="E61" s="99">
        <v>2</v>
      </c>
      <c r="F61" s="189">
        <f>24477091+25312214</f>
        <v>49789305</v>
      </c>
      <c r="G61" s="133">
        <f>IF(ISBLANK(F61),"-",(F61/$D$50*$D$47*$B$68)*($B$57/$D$60))</f>
        <v>248.74890401846963</v>
      </c>
      <c r="H61" s="135">
        <f>IF(ISBLANK(F61),"-",G61/$B$56)</f>
        <v>0.99499561607387854</v>
      </c>
      <c r="K61" s="63"/>
    </row>
    <row r="62" spans="1:11" s="11" customFormat="1" ht="26.25" customHeight="1" x14ac:dyDescent="0.4">
      <c r="A62" s="72" t="s">
        <v>89</v>
      </c>
      <c r="B62" s="188">
        <v>1</v>
      </c>
      <c r="C62" s="337"/>
      <c r="D62" s="341"/>
      <c r="E62" s="99">
        <v>3</v>
      </c>
      <c r="F62" s="189">
        <f>24400818+25237396</f>
        <v>49638214</v>
      </c>
      <c r="G62" s="133">
        <f>IF(ISBLANK(F62),"-",(F62/$D$50*$D$47*$B$68)*($B$57/$D$60))</f>
        <v>247.99404872058881</v>
      </c>
      <c r="H62" s="135">
        <f t="shared" ref="H62:H71" si="0">IF(ISBLANK(F62),"-",G62/$B$56)</f>
        <v>0.99197619488235522</v>
      </c>
      <c r="K62" s="63"/>
    </row>
    <row r="63" spans="1:11" ht="21" customHeight="1" x14ac:dyDescent="0.4">
      <c r="A63" s="72" t="s">
        <v>90</v>
      </c>
      <c r="B63" s="188">
        <v>1</v>
      </c>
      <c r="C63" s="338"/>
      <c r="D63" s="342"/>
      <c r="E63" s="100">
        <v>4</v>
      </c>
      <c r="F63" s="193"/>
      <c r="G63" s="133" t="str">
        <f>IF(ISBLANK(F63),"-",(F63/$D$50*$D$47*$B$68)*($B$57/$D$60))</f>
        <v>-</v>
      </c>
      <c r="H63" s="135" t="str">
        <f t="shared" si="0"/>
        <v>-</v>
      </c>
    </row>
    <row r="64" spans="1:11" ht="26.25" customHeight="1" x14ac:dyDescent="0.4">
      <c r="A64" s="72" t="s">
        <v>91</v>
      </c>
      <c r="B64" s="188">
        <v>1</v>
      </c>
      <c r="C64" s="336" t="s">
        <v>92</v>
      </c>
      <c r="D64" s="340">
        <v>185.29</v>
      </c>
      <c r="E64" s="98">
        <v>1</v>
      </c>
      <c r="F64" s="192">
        <f>25482421+26366725</f>
        <v>51849146</v>
      </c>
      <c r="G64" s="151">
        <f>IF(ISBLANK(F64),"-",(F64/$D$50*$D$47*$B$68)*($B$57/$D$64))</f>
        <v>251.42070046178065</v>
      </c>
      <c r="H64" s="148">
        <f>IF(ISBLANK(F64),"-",G64/$B$56)</f>
        <v>1.0056828018471227</v>
      </c>
    </row>
    <row r="65" spans="1:8" ht="26.25" customHeight="1" x14ac:dyDescent="0.4">
      <c r="A65" s="72" t="s">
        <v>93</v>
      </c>
      <c r="B65" s="188">
        <v>1</v>
      </c>
      <c r="C65" s="337"/>
      <c r="D65" s="341"/>
      <c r="E65" s="99">
        <v>2</v>
      </c>
      <c r="F65" s="189">
        <f>25508406+26382771</f>
        <v>51891177</v>
      </c>
      <c r="G65" s="152">
        <f>IF(ISBLANK(F65),"-",(F65/$D$50*$D$47*$B$68)*($B$57/$D$64))</f>
        <v>251.62451217858515</v>
      </c>
      <c r="H65" s="149">
        <f t="shared" si="0"/>
        <v>1.0064980487143407</v>
      </c>
    </row>
    <row r="66" spans="1:8" ht="26.25" customHeight="1" x14ac:dyDescent="0.4">
      <c r="A66" s="72" t="s">
        <v>94</v>
      </c>
      <c r="B66" s="188">
        <v>1</v>
      </c>
      <c r="C66" s="337"/>
      <c r="D66" s="341"/>
      <c r="E66" s="99">
        <v>3</v>
      </c>
      <c r="F66" s="189">
        <f>25438465+26286454</f>
        <v>51724919</v>
      </c>
      <c r="G66" s="152">
        <f>IF(ISBLANK(F66),"-",(F66/$D$50*$D$47*$B$68)*($B$57/$D$64))</f>
        <v>250.81831369621528</v>
      </c>
      <c r="H66" s="149">
        <f t="shared" si="0"/>
        <v>1.0032732547848611</v>
      </c>
    </row>
    <row r="67" spans="1:8" ht="21" customHeight="1" x14ac:dyDescent="0.4">
      <c r="A67" s="72" t="s">
        <v>95</v>
      </c>
      <c r="B67" s="188">
        <v>1</v>
      </c>
      <c r="C67" s="338"/>
      <c r="D67" s="342"/>
      <c r="E67" s="100">
        <v>4</v>
      </c>
      <c r="F67" s="193"/>
      <c r="G67" s="153" t="str">
        <f>IF(ISBLANK(F67),"-",(F67/$D$50*$D$47*$B$68)*($B$57/$D$64))</f>
        <v>-</v>
      </c>
      <c r="H67" s="150" t="str">
        <f t="shared" si="0"/>
        <v>-</v>
      </c>
    </row>
    <row r="68" spans="1:8" ht="21.75" customHeight="1" x14ac:dyDescent="0.4">
      <c r="A68" s="72" t="s">
        <v>96</v>
      </c>
      <c r="B68" s="160">
        <f>(B67/B66)*(B65/B64)*(B63/B62)*(B61/B60)*B59</f>
        <v>500</v>
      </c>
      <c r="C68" s="336" t="s">
        <v>97</v>
      </c>
      <c r="D68" s="340">
        <v>189.95</v>
      </c>
      <c r="E68" s="98">
        <v>1</v>
      </c>
      <c r="F68" s="192"/>
      <c r="G68" s="151" t="str">
        <f>IF(ISBLANK(F68),"-",(F68/$D$50*$D$47*$B$68)*($B$57/$D$68))</f>
        <v>-</v>
      </c>
      <c r="H68" s="135" t="str">
        <f>IF(ISBLANK(F68),"-",G68/$B$56)</f>
        <v>-</v>
      </c>
    </row>
    <row r="69" spans="1:8" ht="21.75" customHeight="1" x14ac:dyDescent="0.4">
      <c r="A69" s="177" t="s">
        <v>98</v>
      </c>
      <c r="B69" s="191">
        <f>D47*B68/B56*B57</f>
        <v>224.31264000000002</v>
      </c>
      <c r="C69" s="337"/>
      <c r="D69" s="341"/>
      <c r="E69" s="99">
        <v>2</v>
      </c>
      <c r="F69" s="189"/>
      <c r="G69" s="152" t="str">
        <f>IF(ISBLANK(F69),"-",(F69/$D$50*$D$47*$B$68)*($B$57/$D$68))</f>
        <v>-</v>
      </c>
      <c r="H69" s="135" t="str">
        <f>IF(ISBLANK(F69),"-",G69/$B$56)</f>
        <v>-</v>
      </c>
    </row>
    <row r="70" spans="1:8" ht="22.5" customHeight="1" x14ac:dyDescent="0.4">
      <c r="A70" s="330" t="s">
        <v>70</v>
      </c>
      <c r="B70" s="331"/>
      <c r="C70" s="337"/>
      <c r="D70" s="341"/>
      <c r="E70" s="99">
        <v>3</v>
      </c>
      <c r="F70" s="189"/>
      <c r="G70" s="152" t="str">
        <f>IF(ISBLANK(F70),"-",(F70/$D$50*$D$47*$B$68)*($B$57/$D$68))</f>
        <v>-</v>
      </c>
      <c r="H70" s="135" t="str">
        <f t="shared" si="0"/>
        <v>-</v>
      </c>
    </row>
    <row r="71" spans="1:8" ht="21.75" customHeight="1" x14ac:dyDescent="0.4">
      <c r="A71" s="332"/>
      <c r="B71" s="333"/>
      <c r="C71" s="339"/>
      <c r="D71" s="342"/>
      <c r="E71" s="100">
        <v>4</v>
      </c>
      <c r="F71" s="193"/>
      <c r="G71" s="153" t="str">
        <f>IF(ISBLANK(F71),"-",(F71/$D$50*$D$47*$B$68)*($B$57/$D$68))</f>
        <v>-</v>
      </c>
      <c r="H71" s="136" t="str">
        <f t="shared" si="0"/>
        <v>-</v>
      </c>
    </row>
    <row r="72" spans="1:8" ht="26.25" customHeight="1" x14ac:dyDescent="0.4">
      <c r="A72" s="101"/>
      <c r="B72" s="101"/>
      <c r="C72" s="101"/>
      <c r="D72" s="101"/>
      <c r="E72" s="101"/>
      <c r="F72" s="102"/>
      <c r="G72" s="91" t="s">
        <v>63</v>
      </c>
      <c r="H72" s="194">
        <f>AVERAGE(H60:H71)</f>
        <v>0.99989777186410211</v>
      </c>
    </row>
    <row r="73" spans="1:8" ht="26.25" customHeight="1" x14ac:dyDescent="0.4">
      <c r="C73" s="101"/>
      <c r="D73" s="101"/>
      <c r="E73" s="101"/>
      <c r="F73" s="102"/>
      <c r="G73" s="88" t="s">
        <v>76</v>
      </c>
      <c r="H73" s="195">
        <f>STDEV(H60:H71)/H72</f>
        <v>6.0641655633264834E-3</v>
      </c>
    </row>
    <row r="74" spans="1:8" ht="27" customHeight="1" x14ac:dyDescent="0.4">
      <c r="A74" s="101"/>
      <c r="B74" s="101"/>
      <c r="C74" s="102"/>
      <c r="D74" s="102"/>
      <c r="E74" s="103"/>
      <c r="F74" s="102"/>
      <c r="G74" s="90" t="s">
        <v>20</v>
      </c>
      <c r="H74" s="196">
        <f>COUNT(H60:H71)</f>
        <v>6</v>
      </c>
    </row>
    <row r="75" spans="1:8" ht="18.75" x14ac:dyDescent="0.3">
      <c r="A75" s="101"/>
      <c r="B75" s="101"/>
      <c r="C75" s="102"/>
      <c r="D75" s="102"/>
      <c r="E75" s="103"/>
      <c r="F75" s="102"/>
      <c r="G75" s="122"/>
      <c r="H75" s="167"/>
    </row>
    <row r="76" spans="1:8" ht="18.75" x14ac:dyDescent="0.3">
      <c r="A76" s="59" t="s">
        <v>99</v>
      </c>
      <c r="B76" s="182" t="s">
        <v>100</v>
      </c>
      <c r="C76" s="334" t="str">
        <f>B20</f>
        <v xml:space="preserve">Cefuroxime Axetil </v>
      </c>
      <c r="D76" s="334"/>
      <c r="E76" s="183" t="s">
        <v>101</v>
      </c>
      <c r="F76" s="183"/>
      <c r="G76" s="184">
        <f>H72</f>
        <v>0.99989777186410211</v>
      </c>
      <c r="H76" s="167"/>
    </row>
    <row r="77" spans="1:8" ht="18.75" x14ac:dyDescent="0.3">
      <c r="A77" s="101"/>
      <c r="B77" s="101"/>
      <c r="C77" s="102"/>
      <c r="D77" s="102"/>
      <c r="E77" s="103"/>
      <c r="F77" s="102"/>
      <c r="G77" s="122"/>
      <c r="H77" s="167"/>
    </row>
    <row r="78" spans="1:8" ht="26.25" customHeight="1" x14ac:dyDescent="0.4">
      <c r="A78" s="58" t="s">
        <v>102</v>
      </c>
      <c r="B78" s="58" t="s">
        <v>103</v>
      </c>
      <c r="D78" s="197" t="s">
        <v>104</v>
      </c>
    </row>
    <row r="79" spans="1:8" ht="18.75" x14ac:dyDescent="0.3">
      <c r="A79" s="58"/>
      <c r="B79" s="58"/>
    </row>
    <row r="80" spans="1:8" ht="26.25" customHeight="1" x14ac:dyDescent="0.4">
      <c r="A80" s="59" t="s">
        <v>4</v>
      </c>
      <c r="B80" s="317" t="str">
        <f>B26</f>
        <v>Cefuroxime axetil</v>
      </c>
      <c r="C80" s="317"/>
    </row>
    <row r="81" spans="1:11" ht="26.25" customHeight="1" x14ac:dyDescent="0.4">
      <c r="A81" s="61" t="s">
        <v>41</v>
      </c>
      <c r="B81" s="185" t="str">
        <f>B27</f>
        <v>WRS/C66-1</v>
      </c>
    </row>
    <row r="82" spans="1:11" ht="27" customHeight="1" x14ac:dyDescent="0.4">
      <c r="A82" s="61" t="s">
        <v>6</v>
      </c>
      <c r="B82" s="185">
        <f>B28</f>
        <v>96.5</v>
      </c>
    </row>
    <row r="83" spans="1:11" s="11" customFormat="1" ht="27" customHeight="1" x14ac:dyDescent="0.4">
      <c r="A83" s="61" t="s">
        <v>42</v>
      </c>
      <c r="B83" s="185">
        <f>B29</f>
        <v>0</v>
      </c>
      <c r="C83" s="327" t="s">
        <v>43</v>
      </c>
      <c r="D83" s="328"/>
      <c r="E83" s="328"/>
      <c r="F83" s="328"/>
      <c r="G83" s="329"/>
      <c r="I83" s="63"/>
      <c r="J83" s="63"/>
      <c r="K83" s="63"/>
    </row>
    <row r="84" spans="1:11" s="11" customFormat="1" ht="19.5" customHeight="1" x14ac:dyDescent="0.3">
      <c r="A84" s="61" t="s">
        <v>44</v>
      </c>
      <c r="B84" s="60">
        <f>B82-B83</f>
        <v>96.5</v>
      </c>
      <c r="C84" s="64"/>
      <c r="D84" s="64"/>
      <c r="E84" s="64"/>
      <c r="F84" s="64"/>
      <c r="G84" s="65"/>
      <c r="I84" s="63"/>
      <c r="J84" s="63"/>
      <c r="K84" s="63"/>
    </row>
    <row r="85" spans="1:11" s="11" customFormat="1" ht="27" customHeight="1" x14ac:dyDescent="0.4">
      <c r="A85" s="61" t="s">
        <v>45</v>
      </c>
      <c r="B85" s="262">
        <v>424.38600000000002</v>
      </c>
      <c r="C85" s="314" t="s">
        <v>46</v>
      </c>
      <c r="D85" s="315"/>
      <c r="E85" s="315"/>
      <c r="F85" s="315"/>
      <c r="G85" s="315"/>
      <c r="H85" s="316"/>
      <c r="I85" s="63"/>
      <c r="J85" s="63"/>
      <c r="K85" s="63"/>
    </row>
    <row r="86" spans="1:11" s="11" customFormat="1" ht="27" customHeight="1" x14ac:dyDescent="0.4">
      <c r="A86" s="61" t="s">
        <v>47</v>
      </c>
      <c r="B86" s="262">
        <v>510.47</v>
      </c>
      <c r="C86" s="314" t="s">
        <v>48</v>
      </c>
      <c r="D86" s="315"/>
      <c r="E86" s="315"/>
      <c r="F86" s="315"/>
      <c r="G86" s="315"/>
      <c r="H86" s="316"/>
      <c r="I86" s="63"/>
      <c r="J86" s="63"/>
      <c r="K86" s="63"/>
    </row>
    <row r="87" spans="1:11" s="11" customFormat="1" ht="18.75" x14ac:dyDescent="0.3">
      <c r="A87" s="61"/>
      <c r="B87" s="60"/>
      <c r="C87" s="64"/>
      <c r="D87" s="64"/>
      <c r="E87" s="64"/>
      <c r="F87" s="64"/>
      <c r="G87" s="65"/>
      <c r="I87" s="63"/>
      <c r="J87" s="63"/>
      <c r="K87" s="63"/>
    </row>
    <row r="88" spans="1:11" s="11" customFormat="1" ht="18.75" x14ac:dyDescent="0.3">
      <c r="A88" s="61" t="s">
        <v>49</v>
      </c>
      <c r="B88" s="70">
        <f>B85/B86</f>
        <v>0.83136325347229023</v>
      </c>
      <c r="C88" s="53" t="s">
        <v>50</v>
      </c>
      <c r="D88" s="64"/>
      <c r="E88" s="64"/>
      <c r="F88" s="64"/>
      <c r="G88" s="65"/>
      <c r="I88" s="63"/>
      <c r="J88" s="63"/>
      <c r="K88" s="63"/>
    </row>
    <row r="89" spans="1:11" ht="19.5" customHeight="1" x14ac:dyDescent="0.3">
      <c r="A89" s="58"/>
      <c r="B89" s="58"/>
    </row>
    <row r="90" spans="1:11" ht="27" customHeight="1" x14ac:dyDescent="0.4">
      <c r="A90" s="71" t="s">
        <v>51</v>
      </c>
      <c r="B90" s="187">
        <v>100</v>
      </c>
      <c r="D90" s="130" t="s">
        <v>52</v>
      </c>
      <c r="E90" s="131"/>
      <c r="F90" s="319" t="s">
        <v>53</v>
      </c>
      <c r="G90" s="320"/>
    </row>
    <row r="91" spans="1:11" ht="26.25" customHeight="1" x14ac:dyDescent="0.4">
      <c r="A91" s="72" t="s">
        <v>54</v>
      </c>
      <c r="B91" s="188">
        <v>2</v>
      </c>
      <c r="C91" s="127" t="s">
        <v>55</v>
      </c>
      <c r="D91" s="75" t="s">
        <v>56</v>
      </c>
      <c r="E91" s="128" t="s">
        <v>57</v>
      </c>
      <c r="F91" s="75" t="s">
        <v>56</v>
      </c>
      <c r="G91" s="76" t="s">
        <v>57</v>
      </c>
    </row>
    <row r="92" spans="1:11" ht="26.25" customHeight="1" x14ac:dyDescent="0.4">
      <c r="A92" s="72" t="s">
        <v>58</v>
      </c>
      <c r="B92" s="188">
        <v>50</v>
      </c>
      <c r="C92" s="126">
        <v>1</v>
      </c>
      <c r="D92" s="270">
        <v>0.31169999999999998</v>
      </c>
      <c r="E92" s="271">
        <f>IF(ISBLANK(D92),"-",$D$102/$D$99*D92)</f>
        <v>0.43640734073046517</v>
      </c>
      <c r="F92" s="272">
        <v>0.32869999999999999</v>
      </c>
      <c r="G92" s="273">
        <f>IF(ISBLANK(F92),"-",$D$102/$F$99*F92)</f>
        <v>0.42418801388297794</v>
      </c>
    </row>
    <row r="93" spans="1:11" ht="26.25" customHeight="1" x14ac:dyDescent="0.4">
      <c r="A93" s="72" t="s">
        <v>59</v>
      </c>
      <c r="B93" s="188">
        <v>1</v>
      </c>
      <c r="C93" s="102">
        <v>2</v>
      </c>
      <c r="D93" s="274">
        <v>0.31319999999999998</v>
      </c>
      <c r="E93" s="275">
        <f>IF(ISBLANK(D93),"-",$D$102/$D$99*D93)</f>
        <v>0.43850747230279657</v>
      </c>
      <c r="F93" s="276">
        <v>0.3286</v>
      </c>
      <c r="G93" s="277">
        <f>IF(ISBLANK(F93),"-",$D$102/$F$99*F93)</f>
        <v>0.42405896368100565</v>
      </c>
    </row>
    <row r="94" spans="1:11" ht="26.25" customHeight="1" x14ac:dyDescent="0.4">
      <c r="A94" s="72" t="s">
        <v>60</v>
      </c>
      <c r="B94" s="188">
        <v>1</v>
      </c>
      <c r="C94" s="102">
        <v>3</v>
      </c>
      <c r="D94" s="274">
        <v>0.31209999999999999</v>
      </c>
      <c r="E94" s="275">
        <f>IF(ISBLANK(D94),"-",$D$102/$D$99*D94)</f>
        <v>0.43696737581642026</v>
      </c>
      <c r="F94" s="276">
        <v>0.32879999999999998</v>
      </c>
      <c r="G94" s="277">
        <f>IF(ISBLANK(F94),"-",$D$102/$F$99*F94)</f>
        <v>0.42431706408495024</v>
      </c>
    </row>
    <row r="95" spans="1:11" ht="26.25" customHeight="1" x14ac:dyDescent="0.4">
      <c r="A95" s="72" t="s">
        <v>61</v>
      </c>
      <c r="B95" s="188">
        <v>1</v>
      </c>
      <c r="C95" s="129">
        <v>4</v>
      </c>
      <c r="D95" s="278"/>
      <c r="E95" s="279" t="str">
        <f>IF(ISBLANK(D95),"-",$D$102/$D$99*D95)</f>
        <v>-</v>
      </c>
      <c r="F95" s="280"/>
      <c r="G95" s="281" t="str">
        <f>IF(ISBLANK(F95),"-",$D$102/$F$99*F95)</f>
        <v>-</v>
      </c>
    </row>
    <row r="96" spans="1:11" ht="27" customHeight="1" x14ac:dyDescent="0.4">
      <c r="A96" s="72" t="s">
        <v>62</v>
      </c>
      <c r="B96" s="188">
        <v>1</v>
      </c>
      <c r="C96" s="122" t="s">
        <v>63</v>
      </c>
      <c r="D96" s="282">
        <f>AVERAGE(D92:D95)</f>
        <v>0.31233333333333335</v>
      </c>
      <c r="E96" s="283">
        <f>AVERAGE(E92:E95)</f>
        <v>0.43729406294989404</v>
      </c>
      <c r="F96" s="284">
        <f>AVERAGE(F92:F95)</f>
        <v>0.32869999999999999</v>
      </c>
      <c r="G96" s="285">
        <f>AVERAGE(G92:G95)</f>
        <v>0.42418801388297794</v>
      </c>
    </row>
    <row r="97" spans="1:9" ht="26.25" customHeight="1" x14ac:dyDescent="0.4">
      <c r="A97" s="72" t="s">
        <v>64</v>
      </c>
      <c r="B97" s="186">
        <v>1</v>
      </c>
      <c r="C97" s="169" t="s">
        <v>65</v>
      </c>
      <c r="D97" s="286">
        <v>24.73</v>
      </c>
      <c r="E97" s="287"/>
      <c r="F97" s="288">
        <v>26.83</v>
      </c>
      <c r="G97" s="289"/>
    </row>
    <row r="98" spans="1:9" ht="26.25" customHeight="1" x14ac:dyDescent="0.4">
      <c r="A98" s="72" t="s">
        <v>66</v>
      </c>
      <c r="B98" s="186">
        <v>1</v>
      </c>
      <c r="C98" s="170" t="s">
        <v>67</v>
      </c>
      <c r="D98" s="171">
        <f>D97*B88</f>
        <v>20.559613258369737</v>
      </c>
      <c r="E98" s="84"/>
      <c r="F98" s="83">
        <f>F97*B88</f>
        <v>22.305476090661546</v>
      </c>
    </row>
    <row r="99" spans="1:9" ht="19.5" customHeight="1" x14ac:dyDescent="0.3">
      <c r="A99" s="72" t="s">
        <v>68</v>
      </c>
      <c r="B99" s="168">
        <f>(B98/B97)*(B96/B95)*(B94/B93)*(B92/B91)*B90</f>
        <v>2500</v>
      </c>
      <c r="C99" s="170" t="s">
        <v>69</v>
      </c>
      <c r="D99" s="172">
        <f>D98*$B$84/100</f>
        <v>19.840026794326796</v>
      </c>
      <c r="E99" s="86"/>
      <c r="F99" s="85">
        <f>F98*$B$84/100</f>
        <v>21.524784427488395</v>
      </c>
    </row>
    <row r="100" spans="1:9" ht="19.5" customHeight="1" x14ac:dyDescent="0.3">
      <c r="A100" s="321" t="s">
        <v>70</v>
      </c>
      <c r="B100" s="322"/>
      <c r="C100" s="170" t="s">
        <v>71</v>
      </c>
      <c r="D100" s="171">
        <f>D99/$B$99</f>
        <v>7.9360107177307189E-3</v>
      </c>
      <c r="E100" s="86"/>
      <c r="F100" s="87">
        <f>F99/$B$99</f>
        <v>8.6099137709953581E-3</v>
      </c>
      <c r="G100" s="154"/>
      <c r="H100" s="155"/>
    </row>
    <row r="101" spans="1:9" ht="19.5" customHeight="1" x14ac:dyDescent="0.3">
      <c r="A101" s="323"/>
      <c r="B101" s="324"/>
      <c r="C101" s="170" t="s">
        <v>72</v>
      </c>
      <c r="D101" s="178">
        <f>$B$56/$B$117</f>
        <v>1.1111111111111112E-2</v>
      </c>
      <c r="F101" s="89"/>
      <c r="G101" s="156"/>
      <c r="H101" s="155"/>
    </row>
    <row r="102" spans="1:9" ht="18.75" x14ac:dyDescent="0.3">
      <c r="C102" s="170" t="s">
        <v>73</v>
      </c>
      <c r="D102" s="171">
        <f>D101*$B$99</f>
        <v>27.777777777777779</v>
      </c>
      <c r="F102" s="89"/>
      <c r="G102" s="154"/>
      <c r="H102" s="155"/>
    </row>
    <row r="103" spans="1:9" ht="19.5" customHeight="1" x14ac:dyDescent="0.3">
      <c r="C103" s="173" t="s">
        <v>74</v>
      </c>
      <c r="D103" s="179">
        <f>D102/B34</f>
        <v>33.412323267549411</v>
      </c>
      <c r="F103" s="92"/>
      <c r="G103" s="154"/>
      <c r="H103" s="155"/>
      <c r="I103" s="105"/>
    </row>
    <row r="104" spans="1:9" ht="18.75" x14ac:dyDescent="0.3">
      <c r="C104" s="175" t="s">
        <v>105</v>
      </c>
      <c r="D104" s="176">
        <f>AVERAGE(E92:E95,G92:G95)</f>
        <v>0.43074103841643591</v>
      </c>
      <c r="F104" s="92"/>
      <c r="G104" s="157"/>
      <c r="H104" s="155"/>
      <c r="I104" s="107"/>
    </row>
    <row r="105" spans="1:9" ht="18.75" x14ac:dyDescent="0.3">
      <c r="C105" s="88" t="s">
        <v>76</v>
      </c>
      <c r="D105" s="106">
        <f>STDEV(E92:E95,G92:G95)/D104</f>
        <v>1.6742811604334232E-2</v>
      </c>
      <c r="F105" s="92"/>
      <c r="G105" s="154"/>
      <c r="H105" s="155"/>
      <c r="I105" s="107"/>
    </row>
    <row r="106" spans="1:9" ht="19.5" customHeight="1" x14ac:dyDescent="0.3">
      <c r="C106" s="90" t="s">
        <v>20</v>
      </c>
      <c r="D106" s="108">
        <f>COUNT(E92:E95,G92:G95)</f>
        <v>6</v>
      </c>
      <c r="F106" s="92"/>
      <c r="G106" s="154"/>
      <c r="H106" s="155"/>
      <c r="I106" s="107"/>
    </row>
    <row r="107" spans="1:9" ht="19.5" customHeight="1" x14ac:dyDescent="0.3">
      <c r="A107" s="52"/>
      <c r="B107" s="52"/>
      <c r="C107" s="52"/>
      <c r="D107" s="52"/>
      <c r="E107" s="52"/>
    </row>
    <row r="108" spans="1:9" ht="26.25" customHeight="1" x14ac:dyDescent="0.4">
      <c r="A108" s="71" t="s">
        <v>106</v>
      </c>
      <c r="B108" s="187">
        <v>900</v>
      </c>
      <c r="C108" s="109" t="s">
        <v>107</v>
      </c>
      <c r="D108" s="110" t="s">
        <v>56</v>
      </c>
      <c r="E108" s="111" t="s">
        <v>108</v>
      </c>
      <c r="F108" s="112" t="s">
        <v>109</v>
      </c>
    </row>
    <row r="109" spans="1:9" ht="26.25" customHeight="1" x14ac:dyDescent="0.4">
      <c r="A109" s="72" t="s">
        <v>86</v>
      </c>
      <c r="B109" s="188">
        <v>2</v>
      </c>
      <c r="C109" s="78">
        <v>1</v>
      </c>
      <c r="D109" s="290">
        <v>0.3206</v>
      </c>
      <c r="E109" s="113">
        <f>IF(ISBLANK(D109),"-",D109/$D$104*$D$101*$B$117)</f>
        <v>186.0746779426014</v>
      </c>
      <c r="F109" s="114">
        <f>IF(ISBLANK(D109), "-", E109/$B$56)</f>
        <v>0.74429871177040563</v>
      </c>
    </row>
    <row r="110" spans="1:9" ht="26.25" customHeight="1" x14ac:dyDescent="0.4">
      <c r="A110" s="72" t="s">
        <v>88</v>
      </c>
      <c r="B110" s="188">
        <v>50</v>
      </c>
      <c r="C110" s="78">
        <v>2</v>
      </c>
      <c r="D110" s="290">
        <v>0.32240000000000002</v>
      </c>
      <c r="E110" s="115">
        <f t="shared" ref="E110:E114" si="1">IF(ISBLANK(D110),"-",D110/$D$104*$D$101*$B$117)</f>
        <v>187.11938917247252</v>
      </c>
      <c r="F110" s="137">
        <f>IF(ISBLANK(D110), "-", E110/$B$56)</f>
        <v>0.74847755668989013</v>
      </c>
    </row>
    <row r="111" spans="1:9" ht="26.25" customHeight="1" x14ac:dyDescent="0.4">
      <c r="A111" s="72" t="s">
        <v>89</v>
      </c>
      <c r="B111" s="188">
        <v>1</v>
      </c>
      <c r="C111" s="78">
        <v>3</v>
      </c>
      <c r="D111" s="290">
        <v>0.32269999999999999</v>
      </c>
      <c r="E111" s="115">
        <f t="shared" si="1"/>
        <v>187.29350771078438</v>
      </c>
      <c r="F111" s="137">
        <f t="shared" ref="F111:F114" si="2">IF(ISBLANK(D111), "-", E111/$B$56)</f>
        <v>0.7491740308431375</v>
      </c>
    </row>
    <row r="112" spans="1:9" ht="26.25" customHeight="1" x14ac:dyDescent="0.4">
      <c r="A112" s="72" t="s">
        <v>90</v>
      </c>
      <c r="B112" s="188">
        <v>1</v>
      </c>
      <c r="C112" s="78">
        <v>4</v>
      </c>
      <c r="D112" s="290">
        <v>0.32950000000000002</v>
      </c>
      <c r="E112" s="115">
        <f t="shared" si="1"/>
        <v>191.24019457918638</v>
      </c>
      <c r="F112" s="137">
        <f t="shared" si="2"/>
        <v>0.76496077831674547</v>
      </c>
    </row>
    <row r="113" spans="1:9" ht="26.25" customHeight="1" x14ac:dyDescent="0.4">
      <c r="A113" s="72" t="s">
        <v>91</v>
      </c>
      <c r="B113" s="188">
        <v>1</v>
      </c>
      <c r="C113" s="78">
        <v>5</v>
      </c>
      <c r="D113" s="290">
        <v>0.3493</v>
      </c>
      <c r="E113" s="115">
        <f t="shared" si="1"/>
        <v>202.73201810776877</v>
      </c>
      <c r="F113" s="137">
        <f t="shared" si="2"/>
        <v>0.81092807243107512</v>
      </c>
    </row>
    <row r="114" spans="1:9" ht="26.25" customHeight="1" x14ac:dyDescent="0.4">
      <c r="A114" s="72" t="s">
        <v>93</v>
      </c>
      <c r="B114" s="188">
        <v>1</v>
      </c>
      <c r="C114" s="81">
        <v>6</v>
      </c>
      <c r="D114" s="291">
        <v>0.33360000000000001</v>
      </c>
      <c r="E114" s="116">
        <f t="shared" si="1"/>
        <v>193.6198146027817</v>
      </c>
      <c r="F114" s="138">
        <f t="shared" si="2"/>
        <v>0.77447925841112686</v>
      </c>
    </row>
    <row r="115" spans="1:9" ht="26.25" customHeight="1" x14ac:dyDescent="0.4">
      <c r="A115" s="72" t="s">
        <v>94</v>
      </c>
      <c r="B115" s="188">
        <v>1</v>
      </c>
      <c r="C115" s="78"/>
      <c r="D115" s="102"/>
      <c r="E115" s="104"/>
      <c r="F115" s="117"/>
    </row>
    <row r="116" spans="1:9" ht="26.25" customHeight="1" x14ac:dyDescent="0.4">
      <c r="A116" s="72" t="s">
        <v>95</v>
      </c>
      <c r="B116" s="188">
        <v>1</v>
      </c>
      <c r="C116" s="78"/>
      <c r="D116" s="118"/>
      <c r="E116" s="119" t="s">
        <v>63</v>
      </c>
      <c r="F116" s="198">
        <f>AVERAGE(F109:F114)</f>
        <v>0.76538640141039682</v>
      </c>
    </row>
    <row r="117" spans="1:9" ht="27" customHeight="1" x14ac:dyDescent="0.4">
      <c r="A117" s="72" t="s">
        <v>96</v>
      </c>
      <c r="B117" s="159">
        <f>(B116/B115)*(B114/B113)*(B112/B111)*(B110/B109)*B108</f>
        <v>22500</v>
      </c>
      <c r="C117" s="120"/>
      <c r="D117" s="121"/>
      <c r="E117" s="122" t="s">
        <v>76</v>
      </c>
      <c r="F117" s="199">
        <f>STDEV(F109:F114)/F116</f>
        <v>3.2795432215715681E-2</v>
      </c>
    </row>
    <row r="118" spans="1:9" ht="27" customHeight="1" x14ac:dyDescent="0.4">
      <c r="A118" s="321" t="s">
        <v>70</v>
      </c>
      <c r="B118" s="325"/>
      <c r="C118" s="123"/>
      <c r="D118" s="124"/>
      <c r="E118" s="125" t="s">
        <v>20</v>
      </c>
      <c r="F118" s="200">
        <f>COUNT(F109:F114)</f>
        <v>6</v>
      </c>
      <c r="I118" s="107"/>
    </row>
    <row r="119" spans="1:9" ht="19.5" customHeight="1" x14ac:dyDescent="0.3">
      <c r="A119" s="323"/>
      <c r="B119" s="326"/>
      <c r="C119" s="104"/>
      <c r="D119" s="104"/>
      <c r="E119" s="104"/>
      <c r="F119" s="102"/>
      <c r="G119" s="104"/>
      <c r="H119" s="104"/>
    </row>
    <row r="120" spans="1:9" ht="18.75" x14ac:dyDescent="0.3">
      <c r="A120" s="69"/>
      <c r="B120" s="69"/>
      <c r="C120" s="104"/>
      <c r="D120" s="104"/>
      <c r="E120" s="104"/>
      <c r="F120" s="102"/>
      <c r="G120" s="104"/>
      <c r="H120" s="104"/>
    </row>
    <row r="121" spans="1:9" ht="26.25" customHeight="1" x14ac:dyDescent="0.4">
      <c r="A121" s="59" t="s">
        <v>99</v>
      </c>
      <c r="B121" s="182" t="s">
        <v>100</v>
      </c>
      <c r="C121" s="334" t="str">
        <f>B20</f>
        <v xml:space="preserve">Cefuroxime Axetil </v>
      </c>
      <c r="D121" s="334"/>
      <c r="E121" s="183" t="s">
        <v>110</v>
      </c>
      <c r="F121" s="183"/>
      <c r="G121" s="201">
        <f>F116</f>
        <v>0.76538640141039682</v>
      </c>
      <c r="H121" s="104"/>
    </row>
    <row r="122" spans="1:9" ht="18.75" x14ac:dyDescent="0.3">
      <c r="A122" s="69"/>
      <c r="B122" s="69"/>
      <c r="C122" s="104"/>
      <c r="D122" s="104"/>
      <c r="E122" s="104"/>
      <c r="F122" s="102"/>
      <c r="G122" s="104"/>
      <c r="H122" s="104"/>
    </row>
    <row r="123" spans="1:9" ht="26.25" customHeight="1" x14ac:dyDescent="0.4">
      <c r="A123" s="58" t="s">
        <v>102</v>
      </c>
      <c r="B123" s="58" t="s">
        <v>103</v>
      </c>
      <c r="D123" s="197" t="s">
        <v>111</v>
      </c>
    </row>
    <row r="124" spans="1:9" ht="19.5" customHeight="1" x14ac:dyDescent="0.3">
      <c r="A124" s="52"/>
      <c r="B124" s="52"/>
      <c r="C124" s="52"/>
      <c r="D124" s="52"/>
      <c r="E124" s="52"/>
    </row>
    <row r="125" spans="1:9" ht="26.25" customHeight="1" x14ac:dyDescent="0.4">
      <c r="A125" s="71" t="s">
        <v>106</v>
      </c>
      <c r="B125" s="187">
        <v>900</v>
      </c>
      <c r="C125" s="109" t="s">
        <v>107</v>
      </c>
      <c r="D125" s="110" t="s">
        <v>56</v>
      </c>
      <c r="E125" s="111" t="s">
        <v>108</v>
      </c>
      <c r="F125" s="112" t="s">
        <v>109</v>
      </c>
    </row>
    <row r="126" spans="1:9" ht="26.25" customHeight="1" x14ac:dyDescent="0.4">
      <c r="A126" s="72" t="s">
        <v>86</v>
      </c>
      <c r="B126" s="188">
        <v>2</v>
      </c>
      <c r="C126" s="78">
        <v>1</v>
      </c>
      <c r="D126" s="297">
        <v>0.41010000000000002</v>
      </c>
      <c r="E126" s="164">
        <f t="shared" ref="E126:E131" si="3">IF(ISBLANK(D126),"-",D126/$D$104*$D$101*$B$134)</f>
        <v>238.02004187230455</v>
      </c>
      <c r="F126" s="161">
        <f>IF(ISBLANK(D126), "-", E126/$B$56)</f>
        <v>0.9520801674892182</v>
      </c>
    </row>
    <row r="127" spans="1:9" ht="26.25" customHeight="1" x14ac:dyDescent="0.4">
      <c r="A127" s="72" t="s">
        <v>88</v>
      </c>
      <c r="B127" s="188">
        <v>50</v>
      </c>
      <c r="C127" s="78">
        <v>2</v>
      </c>
      <c r="D127" s="297">
        <v>0.40029999999999999</v>
      </c>
      <c r="E127" s="165">
        <f t="shared" si="3"/>
        <v>232.33216962078393</v>
      </c>
      <c r="F127" s="162">
        <f t="shared" ref="F127:F131" si="4">IF(ISBLANK(D127), "-", E127/$B$56)</f>
        <v>0.92932867848313572</v>
      </c>
    </row>
    <row r="128" spans="1:9" ht="26.25" customHeight="1" x14ac:dyDescent="0.4">
      <c r="A128" s="72" t="s">
        <v>89</v>
      </c>
      <c r="B128" s="188">
        <v>1</v>
      </c>
      <c r="C128" s="78">
        <v>3</v>
      </c>
      <c r="D128" s="297">
        <v>0.40439999999999998</v>
      </c>
      <c r="E128" s="165">
        <f t="shared" si="3"/>
        <v>234.71178964437928</v>
      </c>
      <c r="F128" s="162">
        <f t="shared" si="4"/>
        <v>0.9388471585775171</v>
      </c>
    </row>
    <row r="129" spans="1:9" ht="26.25" customHeight="1" x14ac:dyDescent="0.4">
      <c r="A129" s="72" t="s">
        <v>90</v>
      </c>
      <c r="B129" s="188">
        <v>1</v>
      </c>
      <c r="C129" s="78">
        <v>4</v>
      </c>
      <c r="D129" s="297">
        <v>0.4173</v>
      </c>
      <c r="E129" s="165">
        <f t="shared" si="3"/>
        <v>242.19888679178899</v>
      </c>
      <c r="F129" s="162">
        <f t="shared" si="4"/>
        <v>0.96879554716715599</v>
      </c>
    </row>
    <row r="130" spans="1:9" ht="26.25" customHeight="1" x14ac:dyDescent="0.4">
      <c r="A130" s="72" t="s">
        <v>91</v>
      </c>
      <c r="B130" s="188">
        <v>1</v>
      </c>
      <c r="C130" s="78">
        <v>5</v>
      </c>
      <c r="D130" s="297">
        <v>0.43490000000000001</v>
      </c>
      <c r="E130" s="165">
        <f t="shared" si="3"/>
        <v>252.4138410394178</v>
      </c>
      <c r="F130" s="162">
        <f t="shared" si="4"/>
        <v>1.0096553641576713</v>
      </c>
    </row>
    <row r="131" spans="1:9" ht="26.25" customHeight="1" x14ac:dyDescent="0.4">
      <c r="A131" s="72" t="s">
        <v>93</v>
      </c>
      <c r="B131" s="188">
        <v>1</v>
      </c>
      <c r="C131" s="81">
        <v>6</v>
      </c>
      <c r="D131" s="298">
        <v>0.46800000000000003</v>
      </c>
      <c r="E131" s="166">
        <f t="shared" si="3"/>
        <v>271.62491976649233</v>
      </c>
      <c r="F131" s="163">
        <f t="shared" si="4"/>
        <v>1.0864996790659693</v>
      </c>
    </row>
    <row r="132" spans="1:9" ht="26.25" customHeight="1" x14ac:dyDescent="0.4">
      <c r="A132" s="72" t="s">
        <v>94</v>
      </c>
      <c r="B132" s="188">
        <v>1</v>
      </c>
      <c r="C132" s="78"/>
      <c r="D132" s="102"/>
      <c r="E132" s="104"/>
      <c r="F132" s="117"/>
    </row>
    <row r="133" spans="1:9" ht="26.25" customHeight="1" x14ac:dyDescent="0.4">
      <c r="A133" s="72" t="s">
        <v>95</v>
      </c>
      <c r="B133" s="188">
        <v>1</v>
      </c>
      <c r="C133" s="78"/>
      <c r="D133" s="118"/>
      <c r="E133" s="119" t="s">
        <v>63</v>
      </c>
      <c r="F133" s="198">
        <f>AVERAGE(F126:F131)</f>
        <v>0.9808677658234447</v>
      </c>
    </row>
    <row r="134" spans="1:9" ht="27" customHeight="1" x14ac:dyDescent="0.4">
      <c r="A134" s="72" t="s">
        <v>96</v>
      </c>
      <c r="B134" s="202">
        <f>(B133/B132)*(B131/B130)*(B129/B128)*(B127/B126)*B125</f>
        <v>22500</v>
      </c>
      <c r="C134" s="120"/>
      <c r="D134" s="121"/>
      <c r="E134" s="122" t="s">
        <v>76</v>
      </c>
      <c r="F134" s="199">
        <f>STDEV(F126:F131)/F133</f>
        <v>6.0113311069273291E-2</v>
      </c>
    </row>
    <row r="135" spans="1:9" ht="27" customHeight="1" x14ac:dyDescent="0.4">
      <c r="A135" s="321" t="s">
        <v>70</v>
      </c>
      <c r="B135" s="325"/>
      <c r="C135" s="123"/>
      <c r="D135" s="124"/>
      <c r="E135" s="125" t="s">
        <v>20</v>
      </c>
      <c r="F135" s="200">
        <f>COUNT(F126:F131)</f>
        <v>6</v>
      </c>
      <c r="I135" s="107"/>
    </row>
    <row r="136" spans="1:9" ht="19.5" customHeight="1" x14ac:dyDescent="0.3">
      <c r="A136" s="323"/>
      <c r="B136" s="326"/>
      <c r="C136" s="104"/>
      <c r="D136" s="104"/>
      <c r="E136" s="104"/>
      <c r="F136" s="102"/>
      <c r="G136" s="104"/>
      <c r="H136" s="104"/>
    </row>
    <row r="137" spans="1:9" ht="18.75" x14ac:dyDescent="0.3">
      <c r="A137" s="69"/>
      <c r="B137" s="69"/>
      <c r="C137" s="104"/>
      <c r="D137" s="104"/>
      <c r="E137" s="104"/>
      <c r="F137" s="102"/>
      <c r="G137" s="104"/>
      <c r="H137" s="104"/>
    </row>
    <row r="138" spans="1:9" ht="26.25" customHeight="1" x14ac:dyDescent="0.4">
      <c r="A138" s="59" t="s">
        <v>99</v>
      </c>
      <c r="B138" s="182" t="s">
        <v>100</v>
      </c>
      <c r="C138" s="334" t="str">
        <f>B20</f>
        <v xml:space="preserve">Cefuroxime Axetil </v>
      </c>
      <c r="D138" s="334"/>
      <c r="E138" s="183" t="s">
        <v>110</v>
      </c>
      <c r="F138" s="183"/>
      <c r="G138" s="201">
        <f>F133</f>
        <v>0.9808677658234447</v>
      </c>
      <c r="H138" s="104"/>
    </row>
    <row r="139" spans="1:9" ht="19.5" customHeight="1" x14ac:dyDescent="0.3">
      <c r="A139" s="139"/>
      <c r="B139" s="139"/>
      <c r="C139" s="140"/>
      <c r="D139" s="140"/>
      <c r="E139" s="140"/>
      <c r="F139" s="140"/>
      <c r="G139" s="140"/>
      <c r="H139" s="140"/>
    </row>
    <row r="140" spans="1:9" ht="18.75" x14ac:dyDescent="0.3">
      <c r="B140" s="335" t="s">
        <v>26</v>
      </c>
      <c r="C140" s="335"/>
      <c r="E140" s="127" t="s">
        <v>27</v>
      </c>
      <c r="F140" s="146"/>
      <c r="G140" s="335" t="s">
        <v>28</v>
      </c>
      <c r="H140" s="335"/>
    </row>
    <row r="141" spans="1:9" ht="39.75" customHeight="1" x14ac:dyDescent="0.3">
      <c r="A141" s="147" t="s">
        <v>29</v>
      </c>
      <c r="B141" s="180" t="s">
        <v>125</v>
      </c>
      <c r="C141" s="180"/>
      <c r="E141" s="142"/>
      <c r="F141" s="104"/>
      <c r="G141" s="144"/>
      <c r="H141" s="144"/>
    </row>
    <row r="142" spans="1:9" ht="39" customHeight="1" x14ac:dyDescent="0.3">
      <c r="A142" s="147" t="s">
        <v>30</v>
      </c>
      <c r="B142" s="181"/>
      <c r="C142" s="181"/>
      <c r="E142" s="143"/>
      <c r="F142" s="104"/>
      <c r="G142" s="145"/>
      <c r="H142" s="145"/>
    </row>
    <row r="143" spans="1:9" ht="18.75" x14ac:dyDescent="0.3">
      <c r="A143" s="101"/>
      <c r="B143" s="101"/>
      <c r="C143" s="102"/>
      <c r="D143" s="102"/>
      <c r="E143" s="102"/>
      <c r="F143" s="103"/>
      <c r="G143" s="102"/>
      <c r="H143" s="102"/>
    </row>
    <row r="144" spans="1:9" ht="18.75" x14ac:dyDescent="0.3">
      <c r="A144" s="101"/>
      <c r="B144" s="101"/>
      <c r="C144" s="102"/>
      <c r="D144" s="102"/>
      <c r="E144" s="102"/>
      <c r="F144" s="103"/>
      <c r="G144" s="102"/>
      <c r="H144" s="102"/>
    </row>
    <row r="145" spans="1:8" ht="18.75" x14ac:dyDescent="0.3">
      <c r="A145" s="101"/>
      <c r="B145" s="101"/>
      <c r="C145" s="102"/>
      <c r="D145" s="102"/>
      <c r="E145" s="102"/>
      <c r="F145" s="103"/>
      <c r="G145" s="102"/>
      <c r="H145" s="102"/>
    </row>
    <row r="146" spans="1:8" ht="18.75" x14ac:dyDescent="0.3">
      <c r="A146" s="101"/>
      <c r="B146" s="101"/>
      <c r="C146" s="102"/>
      <c r="D146" s="102"/>
      <c r="E146" s="102"/>
      <c r="F146" s="103"/>
      <c r="G146" s="102"/>
      <c r="H146" s="102"/>
    </row>
    <row r="147" spans="1:8" ht="18.75" x14ac:dyDescent="0.3">
      <c r="A147" s="101"/>
      <c r="B147" s="101"/>
      <c r="C147" s="102"/>
      <c r="D147" s="102"/>
      <c r="E147" s="102"/>
      <c r="F147" s="103"/>
      <c r="G147" s="102"/>
      <c r="H147" s="102"/>
    </row>
    <row r="148" spans="1:8" ht="18.75" x14ac:dyDescent="0.3">
      <c r="A148" s="101"/>
      <c r="B148" s="101"/>
      <c r="C148" s="102"/>
      <c r="D148" s="102"/>
      <c r="E148" s="102"/>
      <c r="F148" s="103"/>
      <c r="G148" s="102"/>
      <c r="H148" s="102"/>
    </row>
    <row r="149" spans="1:8" ht="18.75" x14ac:dyDescent="0.3">
      <c r="A149" s="101"/>
      <c r="B149" s="101"/>
      <c r="C149" s="102"/>
      <c r="D149" s="102"/>
      <c r="E149" s="102"/>
      <c r="F149" s="103"/>
      <c r="G149" s="102"/>
      <c r="H149" s="102"/>
    </row>
    <row r="150" spans="1:8" ht="18.75" x14ac:dyDescent="0.3">
      <c r="A150" s="101"/>
      <c r="B150" s="101"/>
      <c r="C150" s="102"/>
      <c r="D150" s="102"/>
      <c r="E150" s="102"/>
      <c r="F150" s="103"/>
      <c r="G150" s="102"/>
      <c r="H150" s="102"/>
    </row>
    <row r="151" spans="1:8" ht="18.75" x14ac:dyDescent="0.3">
      <c r="A151" s="101"/>
      <c r="B151" s="101"/>
      <c r="C151" s="102"/>
      <c r="D151" s="102"/>
      <c r="E151" s="102"/>
      <c r="F151" s="103"/>
      <c r="G151" s="102"/>
      <c r="H151" s="102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1">
    <mergeCell ref="C138:D138"/>
    <mergeCell ref="B140:C140"/>
    <mergeCell ref="G140:H140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A135:B136"/>
    <mergeCell ref="C121:D121"/>
    <mergeCell ref="F90:G90"/>
    <mergeCell ref="A100:B101"/>
    <mergeCell ref="A118:B119"/>
    <mergeCell ref="A46:B47"/>
    <mergeCell ref="C83:G83"/>
    <mergeCell ref="A70:B71"/>
    <mergeCell ref="C76:D76"/>
    <mergeCell ref="A1:H7"/>
    <mergeCell ref="A8:H14"/>
    <mergeCell ref="A16:H16"/>
    <mergeCell ref="C85:H85"/>
    <mergeCell ref="C86:H86"/>
    <mergeCell ref="B80:C80"/>
    <mergeCell ref="B26:C26"/>
    <mergeCell ref="B18:C18"/>
  </mergeCells>
  <printOptions horizontalCentered="1" verticalCentered="1"/>
  <pageMargins left="0.7" right="0.7" top="0.75" bottom="0.75" header="0.3" footer="0.3"/>
  <pageSetup paperSize="9" scale="22" fitToHeight="2" orientation="portrait" r:id="rId1"/>
  <headerFooter alignWithMargins="0"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Cefuroxime Axetil</vt:lpstr>
      <vt:lpstr>'Cefuroxime Axetil'!Print_Area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hp3500</cp:lastModifiedBy>
  <cp:lastPrinted>2016-04-01T05:20:39Z</cp:lastPrinted>
  <dcterms:created xsi:type="dcterms:W3CDTF">2005-07-05T10:19:27Z</dcterms:created>
  <dcterms:modified xsi:type="dcterms:W3CDTF">2016-04-01T05:23:42Z</dcterms:modified>
</cp:coreProperties>
</file>