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640" windowHeight="9405" activeTab="1"/>
  </bookViews>
  <sheets>
    <sheet name="SST" sheetId="1" r:id="rId1"/>
    <sheet name="SST (2)" sheetId="4" r:id="rId2"/>
    <sheet name="Relative Density" sheetId="2" r:id="rId3"/>
    <sheet name="Cefuroxime Axetil 1" sheetId="3" r:id="rId4"/>
  </sheets>
  <definedNames>
    <definedName name="_xlnm.Print_Area" localSheetId="3">'Cefuroxime Axetil 1'!$A$1:$I$142</definedName>
  </definedNames>
  <calcPr calcId="144525"/>
</workbook>
</file>

<file path=xl/calcChain.xml><?xml version="1.0" encoding="utf-8"?>
<calcChain xmlns="http://schemas.openxmlformats.org/spreadsheetml/2006/main">
  <c r="B53" i="4" l="1"/>
  <c r="E51" i="4"/>
  <c r="D51" i="4"/>
  <c r="C51" i="4"/>
  <c r="B51" i="4"/>
  <c r="B52" i="4" s="1"/>
  <c r="B40" i="4"/>
  <c r="B39" i="4"/>
  <c r="B32" i="4"/>
  <c r="E30" i="4"/>
  <c r="D30" i="4"/>
  <c r="C30" i="4"/>
  <c r="B30" i="4"/>
  <c r="B31" i="4" s="1"/>
  <c r="B19" i="4"/>
  <c r="B18" i="4"/>
  <c r="D93" i="3"/>
  <c r="D39" i="3"/>
  <c r="B42" i="1" l="1"/>
  <c r="B41" i="1"/>
  <c r="B40" i="1"/>
  <c r="B39" i="1"/>
  <c r="B21" i="1" l="1"/>
  <c r="B20" i="1"/>
  <c r="B19" i="1"/>
  <c r="B18" i="1"/>
  <c r="B25" i="2"/>
  <c r="B24" i="2"/>
  <c r="F63" i="3"/>
  <c r="F64" i="3"/>
  <c r="F62" i="3"/>
  <c r="F72" i="3"/>
  <c r="F71" i="3"/>
  <c r="F70" i="3"/>
  <c r="F67" i="3"/>
  <c r="F68" i="3"/>
  <c r="F66" i="3"/>
  <c r="B82" i="3"/>
  <c r="B81" i="3"/>
  <c r="G42" i="3"/>
  <c r="E42" i="3"/>
  <c r="F41" i="3"/>
  <c r="D41" i="3"/>
  <c r="F40" i="3"/>
  <c r="D40" i="3"/>
  <c r="F39" i="3"/>
  <c r="F43" i="3" s="1"/>
  <c r="D43" i="3"/>
  <c r="B85" i="3"/>
  <c r="F126" i="3"/>
  <c r="F125" i="3"/>
  <c r="F124" i="3"/>
  <c r="F122" i="3"/>
  <c r="F121" i="3"/>
  <c r="F120" i="3"/>
  <c r="F118" i="3"/>
  <c r="F117" i="3"/>
  <c r="F116" i="3"/>
  <c r="F95" i="3"/>
  <c r="D95" i="3"/>
  <c r="F94" i="3"/>
  <c r="D94" i="3"/>
  <c r="F93" i="3"/>
  <c r="B58" i="3" l="1"/>
  <c r="C132" i="3"/>
  <c r="H127" i="3"/>
  <c r="G127" i="3"/>
  <c r="B124" i="3"/>
  <c r="H123" i="3"/>
  <c r="G123" i="3"/>
  <c r="H119" i="3"/>
  <c r="G119" i="3"/>
  <c r="B113" i="3"/>
  <c r="E111" i="3"/>
  <c r="B110" i="3"/>
  <c r="B100" i="3"/>
  <c r="D103" i="3" s="1"/>
  <c r="F97" i="3"/>
  <c r="D97" i="3"/>
  <c r="G96" i="3"/>
  <c r="E96" i="3"/>
  <c r="B89" i="3"/>
  <c r="F99" i="3" s="1"/>
  <c r="F100" i="3" s="1"/>
  <c r="C78" i="3"/>
  <c r="H73" i="3"/>
  <c r="G73" i="3"/>
  <c r="B70" i="3"/>
  <c r="H69" i="3"/>
  <c r="G69" i="3"/>
  <c r="H65" i="3"/>
  <c r="G65" i="3"/>
  <c r="B59" i="3"/>
  <c r="B112" i="3"/>
  <c r="D113" i="3" s="1"/>
  <c r="E57" i="3"/>
  <c r="B56" i="3"/>
  <c r="B46" i="3"/>
  <c r="D49" i="3" s="1"/>
  <c r="B35" i="3"/>
  <c r="D45" i="3" s="1"/>
  <c r="B31" i="3"/>
  <c r="D33" i="2"/>
  <c r="C33" i="2"/>
  <c r="B33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101" i="3" l="1"/>
  <c r="D46" i="3"/>
  <c r="C35" i="2"/>
  <c r="C37" i="2"/>
  <c r="G95" i="3"/>
  <c r="G93" i="3"/>
  <c r="D104" i="3"/>
  <c r="G94" i="3"/>
  <c r="B125" i="3"/>
  <c r="D50" i="3"/>
  <c r="F45" i="3"/>
  <c r="D99" i="3"/>
  <c r="D100" i="3" s="1"/>
  <c r="D59" i="3"/>
  <c r="B71" i="3" s="1"/>
  <c r="D101" i="3" l="1"/>
  <c r="E93" i="3"/>
  <c r="E40" i="3"/>
  <c r="E41" i="3"/>
  <c r="E39" i="3"/>
  <c r="E43" i="3"/>
  <c r="D47" i="3"/>
  <c r="F46" i="3"/>
  <c r="C39" i="2"/>
  <c r="E95" i="3"/>
  <c r="E94" i="3"/>
  <c r="G97" i="3"/>
  <c r="G40" i="3" l="1"/>
  <c r="G41" i="3"/>
  <c r="G39" i="3"/>
  <c r="D51" i="3" s="1"/>
  <c r="F47" i="3"/>
  <c r="D105" i="3"/>
  <c r="E97" i="3"/>
  <c r="D107" i="3"/>
  <c r="G43" i="3" l="1"/>
  <c r="G62" i="3"/>
  <c r="H62" i="3" s="1"/>
  <c r="G63" i="3"/>
  <c r="H63" i="3" s="1"/>
  <c r="G117" i="3"/>
  <c r="H117" i="3" s="1"/>
  <c r="G116" i="3"/>
  <c r="H116" i="3" s="1"/>
  <c r="D53" i="3"/>
  <c r="G124" i="3"/>
  <c r="H124" i="3" s="1"/>
  <c r="D106" i="3"/>
  <c r="G125" i="3"/>
  <c r="H125" i="3" s="1"/>
  <c r="G122" i="3"/>
  <c r="H122" i="3" s="1"/>
  <c r="G120" i="3"/>
  <c r="H120" i="3" s="1"/>
  <c r="G118" i="3"/>
  <c r="H118" i="3" s="1"/>
  <c r="G126" i="3"/>
  <c r="H126" i="3" s="1"/>
  <c r="G121" i="3"/>
  <c r="H121" i="3" s="1"/>
  <c r="G72" i="3"/>
  <c r="H72" i="3" s="1"/>
  <c r="G67" i="3"/>
  <c r="H67" i="3" s="1"/>
  <c r="G70" i="3"/>
  <c r="H70" i="3" s="1"/>
  <c r="D52" i="3"/>
  <c r="G71" i="3"/>
  <c r="H71" i="3" s="1"/>
  <c r="G68" i="3"/>
  <c r="H68" i="3" s="1"/>
  <c r="G66" i="3"/>
  <c r="H66" i="3" s="1"/>
  <c r="G64" i="3"/>
  <c r="H64" i="3" s="1"/>
  <c r="H128" i="3" l="1"/>
  <c r="H130" i="3"/>
  <c r="H76" i="3"/>
  <c r="H74" i="3"/>
  <c r="H75" i="3" s="1"/>
  <c r="G78" i="3" l="1"/>
  <c r="H129" i="3"/>
  <c r="G132" i="3"/>
</calcChain>
</file>

<file path=xl/sharedStrings.xml><?xml version="1.0" encoding="utf-8"?>
<sst xmlns="http://schemas.openxmlformats.org/spreadsheetml/2006/main" count="292" uniqueCount="121">
  <si>
    <t>HPLC System Suitability Report</t>
  </si>
  <si>
    <t>Analysis Data</t>
  </si>
  <si>
    <t>Assay</t>
  </si>
  <si>
    <t>Sample(s)</t>
  </si>
  <si>
    <t>Reference Substance:</t>
  </si>
  <si>
    <t>Zinnat Suspension</t>
  </si>
  <si>
    <t>% age Purity:</t>
  </si>
  <si>
    <t>NDQA201509335</t>
  </si>
  <si>
    <t>Weight (mg):</t>
  </si>
  <si>
    <t xml:space="preserve">Cefuroxime </t>
  </si>
  <si>
    <t>Standard Conc (mg/mL):</t>
  </si>
  <si>
    <t>Contains 125mg Cefuroxime as Cefuroxime Axetil per 5ml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</si>
  <si>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</si>
  <si>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</si>
  <si>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</si>
  <si>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</si>
  <si>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</si>
  <si>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</si>
  <si>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</si>
  <si>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</si>
  <si>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</si>
  <si>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</si>
  <si>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</si>
  <si>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</si>
  <si>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</si>
  <si>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</si>
  <si>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</si>
  <si>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</si>
  <si>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</si>
  <si>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</si>
  <si>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</si>
  <si>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</si>
  <si>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</si>
  <si>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</si>
  <si>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</si>
  <si>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</si>
  <si>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</si>
  <si>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</si>
  <si>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</si>
  <si>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</si>
  <si>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</si>
  <si>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</si>
  <si>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</si>
  <si>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</si>
  <si>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</si>
  <si>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Day 1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</si>
  <si>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</si>
  <si>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</si>
  <si>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</si>
  <si>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</si>
  <si>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</si>
  <si>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</si>
  <si>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</si>
  <si>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</si>
  <si>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</si>
  <si>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</si>
  <si>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</si>
  <si>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</si>
  <si>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</si>
  <si>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</si>
  <si>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</si>
  <si>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</si>
  <si>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</si>
  <si>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</si>
  <si>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</si>
  <si>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</si>
  <si>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</si>
  <si>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</si>
  <si>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</si>
  <si>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</si>
  <si>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</si>
  <si>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</si>
  <si>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</si>
  <si>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</si>
  <si>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</si>
  <si>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</si>
  <si>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</si>
  <si>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</si>
  <si>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</si>
  <si>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</si>
  <si>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</si>
  <si>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</si>
  <si>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</si>
  <si>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</si>
  <si>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</si>
  <si>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</si>
  <si>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</si>
  <si>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</si>
  <si>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</si>
  <si>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</si>
  <si>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</si>
  <si>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</si>
  <si>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</si>
  <si>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</si>
  <si>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</si>
  <si>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</si>
  <si>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</si>
  <si>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</si>
  <si>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</si>
  <si>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</si>
  <si>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</si>
  <si>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</si>
  <si>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</si>
  <si>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</si>
  <si>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</si>
  <si>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</si>
  <si>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</si>
  <si>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</si>
  <si>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</si>
  <si>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</si>
  <si>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Day 7</t>
  </si>
  <si>
    <t>WRS/C66-1</t>
  </si>
  <si>
    <t xml:space="preserve">Cefuroxime Axetil </t>
  </si>
  <si>
    <t>ZINNAT SUSPENSION</t>
  </si>
  <si>
    <t>CEFUROXIME</t>
  </si>
  <si>
    <t>Each 5ml contains Cefuroxime 125mg</t>
  </si>
  <si>
    <t>18th Jan 2016</t>
  </si>
  <si>
    <t>8th Jan 2016</t>
  </si>
  <si>
    <t>ISOMER B</t>
  </si>
  <si>
    <t>ISOMER A</t>
  </si>
  <si>
    <t>JOYFRIDA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</si>
</sst>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  <numFmt numFmtId="175" formatCode="0.0"/>
  </numFmts>
  <fonts count="30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36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14"/>
      <color rgb="FF000000"/>
      <name val="Arial"/>
      <family val="2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10"/>
      <color rgb="FF000000"/>
      <name val="Book Antiqua"/>
      <family val="1"/>
    </font>
    <font>
      <sz val="20"/>
      <color rgb="FF000000"/>
      <name val="Book Antiqua"/>
      <family val="1"/>
    </font>
    <font>
      <b/>
      <u/>
      <sz val="20"/>
      <color rgb="FF000000"/>
      <name val="Book Antiqua"/>
      <family val="1"/>
    </font>
    <font>
      <b/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5" fillId="2" borderId="0" xfId="0" applyFont="1" applyFill="1"/>
    <xf numFmtId="0" fontId="16" fillId="2" borderId="0" xfId="0" applyFont="1" applyFill="1" applyAlignment="1">
      <alignment vertical="center" wrapText="1"/>
    </xf>
    <xf numFmtId="0" fontId="17" fillId="2" borderId="0" xfId="0" applyFont="1" applyFill="1"/>
    <xf numFmtId="0" fontId="18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0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/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1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43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4" xfId="0" applyNumberFormat="1" applyFont="1" applyFill="1" applyBorder="1" applyAlignment="1">
      <alignment horizontal="center"/>
    </xf>
    <xf numFmtId="2" fontId="13" fillId="7" borderId="44" xfId="0" applyNumberFormat="1" applyFont="1" applyFill="1" applyBorder="1" applyAlignment="1">
      <alignment horizontal="center"/>
    </xf>
    <xf numFmtId="0" fontId="13" fillId="2" borderId="42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0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2" borderId="0" xfId="0" applyFont="1" applyFill="1"/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4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0" xfId="0" applyFont="1" applyFill="1" applyBorder="1" applyAlignment="1" applyProtection="1">
      <alignment horizontal="center"/>
      <protection locked="0"/>
    </xf>
    <xf numFmtId="2" fontId="19" fillId="2" borderId="41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8" xfId="0" applyNumberFormat="1" applyFont="1" applyFill="1" applyBorder="1" applyAlignment="1">
      <alignment horizontal="center"/>
    </xf>
    <xf numFmtId="0" fontId="20" fillId="7" borderId="49" xfId="0" applyFont="1" applyFill="1" applyBorder="1" applyAlignment="1">
      <alignment horizontal="center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8" fillId="2" borderId="9" xfId="0" applyFont="1" applyFill="1" applyBorder="1" applyAlignment="1">
      <alignment horizontal="left" vertical="center" wrapText="1"/>
    </xf>
    <xf numFmtId="0" fontId="19" fillId="3" borderId="0" xfId="0" applyFont="1" applyFill="1" applyProtection="1">
      <protection locked="0"/>
    </xf>
    <xf numFmtId="10" fontId="13" fillId="2" borderId="30" xfId="0" applyNumberFormat="1" applyFont="1" applyFill="1" applyBorder="1" applyAlignment="1">
      <alignment horizontal="center" vertical="center"/>
    </xf>
    <xf numFmtId="10" fontId="13" fillId="2" borderId="31" xfId="0" applyNumberFormat="1" applyFont="1" applyFill="1" applyBorder="1" applyAlignment="1">
      <alignment horizontal="center" vertical="center"/>
    </xf>
    <xf numFmtId="10" fontId="13" fillId="2" borderId="32" xfId="0" applyNumberFormat="1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/>
    </xf>
    <xf numFmtId="2" fontId="23" fillId="3" borderId="0" xfId="0" applyNumberFormat="1" applyFont="1" applyFill="1" applyAlignment="1" applyProtection="1">
      <alignment horizontal="center"/>
      <protection locked="0"/>
    </xf>
    <xf numFmtId="0" fontId="23" fillId="3" borderId="45" xfId="0" applyFont="1" applyFill="1" applyBorder="1" applyAlignment="1" applyProtection="1">
      <alignment horizontal="center"/>
      <protection locked="0"/>
    </xf>
    <xf numFmtId="168" fontId="24" fillId="2" borderId="34" xfId="0" applyNumberFormat="1" applyFont="1" applyFill="1" applyBorder="1" applyAlignment="1">
      <alignment horizontal="center"/>
    </xf>
    <xf numFmtId="168" fontId="24" fillId="2" borderId="24" xfId="0" applyNumberFormat="1" applyFont="1" applyFill="1" applyBorder="1" applyAlignment="1">
      <alignment horizontal="center"/>
    </xf>
    <xf numFmtId="0" fontId="23" fillId="3" borderId="18" xfId="0" applyFont="1" applyFill="1" applyBorder="1" applyAlignment="1" applyProtection="1">
      <alignment horizontal="center"/>
      <protection locked="0"/>
    </xf>
    <xf numFmtId="0" fontId="23" fillId="3" borderId="46" xfId="0" applyFont="1" applyFill="1" applyBorder="1" applyAlignment="1" applyProtection="1">
      <alignment horizontal="center"/>
      <protection locked="0"/>
    </xf>
    <xf numFmtId="168" fontId="24" fillId="2" borderId="39" xfId="0" applyNumberFormat="1" applyFont="1" applyFill="1" applyBorder="1" applyAlignment="1">
      <alignment horizontal="center"/>
    </xf>
    <xf numFmtId="168" fontId="24" fillId="2" borderId="36" xfId="0" applyNumberFormat="1" applyFont="1" applyFill="1" applyBorder="1" applyAlignment="1">
      <alignment horizontal="center"/>
    </xf>
    <xf numFmtId="0" fontId="23" fillId="3" borderId="44" xfId="0" applyFont="1" applyFill="1" applyBorder="1" applyAlignment="1" applyProtection="1">
      <alignment horizontal="center"/>
      <protection locked="0"/>
    </xf>
    <xf numFmtId="2" fontId="20" fillId="3" borderId="47" xfId="0" applyNumberFormat="1" applyFont="1" applyFill="1" applyBorder="1" applyAlignment="1" applyProtection="1">
      <alignment horizontal="center"/>
      <protection locked="0"/>
    </xf>
    <xf numFmtId="1" fontId="25" fillId="6" borderId="42" xfId="0" applyNumberFormat="1" applyFont="1" applyFill="1" applyBorder="1" applyAlignment="1">
      <alignment horizontal="center"/>
    </xf>
    <xf numFmtId="168" fontId="25" fillId="6" borderId="33" xfId="0" applyNumberFormat="1" applyFont="1" applyFill="1" applyBorder="1" applyAlignment="1">
      <alignment horizontal="center"/>
    </xf>
    <xf numFmtId="1" fontId="25" fillId="6" borderId="27" xfId="0" applyNumberFormat="1" applyFont="1" applyFill="1" applyBorder="1" applyAlignment="1">
      <alignment horizontal="center"/>
    </xf>
    <xf numFmtId="168" fontId="25" fillId="6" borderId="28" xfId="0" applyNumberFormat="1" applyFont="1" applyFill="1" applyBorder="1" applyAlignment="1">
      <alignment horizontal="center"/>
    </xf>
    <xf numFmtId="0" fontId="23" fillId="3" borderId="47" xfId="0" applyFont="1" applyFill="1" applyBorder="1" applyAlignment="1" applyProtection="1">
      <alignment horizontal="center"/>
      <protection locked="0"/>
    </xf>
    <xf numFmtId="0" fontId="24" fillId="2" borderId="0" xfId="0" applyFont="1" applyFill="1"/>
    <xf numFmtId="0" fontId="23" fillId="3" borderId="15" xfId="0" applyFont="1" applyFill="1" applyBorder="1" applyAlignment="1" applyProtection="1">
      <alignment horizontal="center"/>
      <protection locked="0"/>
    </xf>
    <xf numFmtId="0" fontId="26" fillId="2" borderId="0" xfId="0" applyFont="1" applyFill="1"/>
    <xf numFmtId="0" fontId="27" fillId="3" borderId="0" xfId="0" applyFont="1" applyFill="1" applyAlignment="1" applyProtection="1">
      <alignment horizontal="left"/>
      <protection locked="0"/>
    </xf>
    <xf numFmtId="170" fontId="27" fillId="3" borderId="0" xfId="0" applyNumberFormat="1" applyFont="1" applyFill="1" applyAlignment="1" applyProtection="1">
      <alignment horizontal="left"/>
      <protection locked="0"/>
    </xf>
    <xf numFmtId="0" fontId="29" fillId="2" borderId="0" xfId="0" applyFont="1" applyFill="1"/>
    <xf numFmtId="167" fontId="29" fillId="2" borderId="0" xfId="0" applyNumberFormat="1" applyFont="1" applyFill="1" applyAlignment="1">
      <alignment horizontal="center"/>
    </xf>
    <xf numFmtId="0" fontId="20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170" fontId="19" fillId="3" borderId="0" xfId="0" applyNumberFormat="1" applyFont="1" applyFill="1" applyAlignment="1" applyProtection="1">
      <alignment horizontal="left"/>
      <protection locked="0"/>
    </xf>
    <xf numFmtId="0" fontId="1" fillId="2" borderId="1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3" fillId="3" borderId="0" xfId="0" applyFont="1" applyFill="1" applyAlignment="1" applyProtection="1">
      <alignment horizontal="left"/>
      <protection locked="0"/>
    </xf>
    <xf numFmtId="0" fontId="20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center"/>
    </xf>
    <xf numFmtId="0" fontId="14" fillId="2" borderId="50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0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2" fontId="28" fillId="3" borderId="30" xfId="0" applyNumberFormat="1" applyFont="1" applyFill="1" applyBorder="1" applyAlignment="1" applyProtection="1">
      <alignment horizontal="center" vertical="center"/>
      <protection locked="0"/>
    </xf>
    <xf numFmtId="2" fontId="28" fillId="3" borderId="31" xfId="0" applyNumberFormat="1" applyFont="1" applyFill="1" applyBorder="1" applyAlignment="1" applyProtection="1">
      <alignment horizontal="center" vertical="center"/>
      <protection locked="0"/>
    </xf>
    <xf numFmtId="2" fontId="28" fillId="3" borderId="32" xfId="0" applyNumberFormat="1" applyFont="1" applyFill="1" applyBorder="1" applyAlignment="1" applyProtection="1">
      <alignment horizontal="center" vertical="center"/>
      <protection locked="0"/>
    </xf>
    <xf numFmtId="2" fontId="20" fillId="3" borderId="30" xfId="0" applyNumberFormat="1" applyFont="1" applyFill="1" applyBorder="1" applyAlignment="1" applyProtection="1">
      <alignment horizontal="center" vertical="center"/>
      <protection locked="0"/>
    </xf>
    <xf numFmtId="2" fontId="20" fillId="3" borderId="31" xfId="0" applyNumberFormat="1" applyFont="1" applyFill="1" applyBorder="1" applyAlignment="1" applyProtection="1">
      <alignment horizontal="center" vertical="center"/>
      <protection locked="0"/>
    </xf>
    <xf numFmtId="2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0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27" fillId="3" borderId="0" xfId="0" applyFont="1" applyFill="1" applyAlignment="1" applyProtection="1">
      <alignment horizontal="left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38" xfId="0" applyFont="1" applyFill="1" applyBorder="1" applyAlignment="1">
      <alignment horizontal="center"/>
    </xf>
    <xf numFmtId="175" fontId="7" fillId="3" borderId="3" xfId="0" applyNumberFormat="1" applyFont="1" applyFill="1" applyBorder="1" applyAlignment="1" applyProtection="1">
      <alignment horizontal="center"/>
      <protection locked="0"/>
    </xf>
    <xf numFmtId="175" fontId="7" fillId="3" borderId="5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9" workbookViewId="0">
      <selection activeCell="B27" sqref="B27"/>
    </sheetView>
  </sheetViews>
  <sheetFormatPr defaultRowHeight="13.5" x14ac:dyDescent="0.25"/>
  <cols>
    <col min="1" max="1" width="27.5703125" style="4" customWidth="1"/>
    <col min="2" max="2" width="23.8554687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59" t="s">
        <v>0</v>
      </c>
      <c r="B15" s="259"/>
      <c r="C15" s="259"/>
      <c r="D15" s="259"/>
      <c r="E15" s="259"/>
    </row>
    <row r="16" spans="1:6" ht="16.5" customHeight="1" x14ac:dyDescent="0.3">
      <c r="A16" s="5" t="s">
        <v>1</v>
      </c>
      <c r="B16" s="6" t="s">
        <v>2</v>
      </c>
      <c r="C16" s="1" t="s">
        <v>119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253" t="str">
        <f>'Cefuroxime Axetil 1'!B27:C27</f>
        <v xml:space="preserve">Cefuroxime Axetil </v>
      </c>
      <c r="C18" s="10"/>
      <c r="D18" s="10"/>
      <c r="E18" s="10"/>
    </row>
    <row r="19" spans="1:6" ht="16.5" customHeight="1" x14ac:dyDescent="0.3">
      <c r="A19" s="11" t="s">
        <v>6</v>
      </c>
      <c r="B19" s="12">
        <f>'Cefuroxime Axetil 1'!B29</f>
        <v>96.5</v>
      </c>
      <c r="C19" s="10"/>
      <c r="D19" s="10"/>
      <c r="E19" s="10"/>
    </row>
    <row r="20" spans="1:6" ht="16.5" customHeight="1" x14ac:dyDescent="0.3">
      <c r="A20" s="7" t="s">
        <v>8</v>
      </c>
      <c r="B20" s="12">
        <f>'Cefuroxime Axetil 1'!D44</f>
        <v>25.44</v>
      </c>
      <c r="C20" s="10"/>
      <c r="D20" s="10"/>
      <c r="E20" s="10"/>
    </row>
    <row r="21" spans="1:6" ht="16.5" customHeight="1" x14ac:dyDescent="0.3">
      <c r="A21" s="7" t="s">
        <v>10</v>
      </c>
      <c r="B21" s="254">
        <f>'Cefuroxime Axetil 1'!D47</f>
        <v>0.20409635327443337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3" t="s">
        <v>12</v>
      </c>
      <c r="B23" s="14" t="s">
        <v>13</v>
      </c>
      <c r="C23" s="13" t="s">
        <v>14</v>
      </c>
      <c r="D23" s="13" t="s">
        <v>15</v>
      </c>
      <c r="E23" s="15" t="s">
        <v>16</v>
      </c>
    </row>
    <row r="24" spans="1:6" ht="16.5" customHeight="1" x14ac:dyDescent="0.3">
      <c r="A24" s="16">
        <v>1</v>
      </c>
      <c r="B24" s="17">
        <v>26320108</v>
      </c>
      <c r="C24" s="17">
        <v>3522.12</v>
      </c>
      <c r="D24" s="18">
        <v>0.99</v>
      </c>
      <c r="E24" s="19">
        <v>14.64</v>
      </c>
    </row>
    <row r="25" spans="1:6" ht="16.5" customHeight="1" x14ac:dyDescent="0.3">
      <c r="A25" s="16">
        <v>2</v>
      </c>
      <c r="B25" s="17">
        <v>26347217</v>
      </c>
      <c r="C25" s="17">
        <v>3538.34</v>
      </c>
      <c r="D25" s="18">
        <v>1</v>
      </c>
      <c r="E25" s="18">
        <v>14.63</v>
      </c>
    </row>
    <row r="26" spans="1:6" ht="16.5" customHeight="1" x14ac:dyDescent="0.3">
      <c r="A26" s="16">
        <v>3</v>
      </c>
      <c r="B26" s="17">
        <v>26320060</v>
      </c>
      <c r="C26" s="17">
        <v>3562.87</v>
      </c>
      <c r="D26" s="18">
        <v>1</v>
      </c>
      <c r="E26" s="18">
        <v>14.62</v>
      </c>
    </row>
    <row r="27" spans="1:6" ht="16.5" customHeight="1" x14ac:dyDescent="0.3">
      <c r="A27" s="16">
        <v>4</v>
      </c>
      <c r="B27" s="17">
        <v>26326579</v>
      </c>
      <c r="C27" s="17">
        <v>3617.02</v>
      </c>
      <c r="D27" s="18">
        <v>1.01</v>
      </c>
      <c r="E27" s="18">
        <v>14.62</v>
      </c>
    </row>
    <row r="28" spans="1:6" ht="16.5" customHeight="1" x14ac:dyDescent="0.3">
      <c r="A28" s="16">
        <v>5</v>
      </c>
      <c r="B28" s="17">
        <v>26254363</v>
      </c>
      <c r="C28" s="17">
        <v>3655.98</v>
      </c>
      <c r="D28" s="18">
        <v>1.01</v>
      </c>
      <c r="E28" s="18">
        <v>14.63</v>
      </c>
    </row>
    <row r="29" spans="1:6" ht="16.5" customHeight="1" x14ac:dyDescent="0.3">
      <c r="A29" s="16">
        <v>6</v>
      </c>
      <c r="B29" s="20">
        <v>26159365</v>
      </c>
      <c r="C29" s="20">
        <v>3683.29</v>
      </c>
      <c r="D29" s="21">
        <v>1.01</v>
      </c>
      <c r="E29" s="21">
        <v>14.63</v>
      </c>
    </row>
    <row r="30" spans="1:6" ht="16.5" customHeight="1" x14ac:dyDescent="0.3">
      <c r="A30" s="22" t="s">
        <v>17</v>
      </c>
      <c r="B30" s="23">
        <f>AVERAGE(B24:B29)</f>
        <v>26287948.666666668</v>
      </c>
      <c r="C30" s="24">
        <f>AVERAGE(C24:C29)</f>
        <v>3596.6033333333339</v>
      </c>
      <c r="D30" s="25">
        <f>AVERAGE(D24:D29)</f>
        <v>1.0033333333333332</v>
      </c>
      <c r="E30" s="25">
        <f>AVERAGE(E24:E29)</f>
        <v>14.628333333333332</v>
      </c>
    </row>
    <row r="31" spans="1:6" ht="16.5" customHeight="1" x14ac:dyDescent="0.3">
      <c r="A31" s="26" t="s">
        <v>18</v>
      </c>
      <c r="B31" s="27">
        <f>(STDEV(B24:B29)/B30)</f>
        <v>2.6754034185194121E-3</v>
      </c>
      <c r="C31" s="28"/>
      <c r="D31" s="28"/>
      <c r="E31" s="29"/>
      <c r="F31" s="2"/>
    </row>
    <row r="32" spans="1:6" s="2" customFormat="1" ht="16.5" customHeight="1" x14ac:dyDescent="0.3">
      <c r="A32" s="30" t="s">
        <v>19</v>
      </c>
      <c r="B32" s="31">
        <f>COUNT(B24:B29)</f>
        <v>6</v>
      </c>
      <c r="C32" s="32"/>
      <c r="D32" s="33"/>
      <c r="E32" s="34"/>
    </row>
    <row r="33" spans="1:6" s="2" customFormat="1" ht="15.75" customHeight="1" x14ac:dyDescent="0.25">
      <c r="A33" s="10"/>
      <c r="B33" s="10"/>
      <c r="C33" s="10"/>
      <c r="D33" s="10"/>
      <c r="E33" s="35"/>
    </row>
    <row r="34" spans="1:6" s="2" customFormat="1" ht="16.5" customHeight="1" x14ac:dyDescent="0.3">
      <c r="A34" s="11" t="s">
        <v>20</v>
      </c>
      <c r="B34" s="36" t="s">
        <v>21</v>
      </c>
      <c r="C34" s="37"/>
      <c r="D34" s="37"/>
      <c r="E34" s="38"/>
    </row>
    <row r="35" spans="1:6" ht="16.5" customHeight="1" x14ac:dyDescent="0.3">
      <c r="A35" s="11"/>
      <c r="B35" s="36" t="s">
        <v>22</v>
      </c>
      <c r="C35" s="37"/>
      <c r="D35" s="37"/>
      <c r="E35" s="38"/>
      <c r="F35" s="2"/>
    </row>
    <row r="36" spans="1:6" ht="16.5" customHeight="1" x14ac:dyDescent="0.3">
      <c r="A36" s="11"/>
      <c r="B36" s="39" t="s">
        <v>23</v>
      </c>
      <c r="C36" s="37"/>
      <c r="D36" s="37"/>
      <c r="E36" s="37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118</v>
      </c>
    </row>
    <row r="39" spans="1:6" ht="16.5" customHeight="1" x14ac:dyDescent="0.3">
      <c r="A39" s="11" t="s">
        <v>4</v>
      </c>
      <c r="B39" s="253" t="str">
        <f>'Cefuroxime Axetil 1'!B27:C27</f>
        <v xml:space="preserve">Cefuroxime Axetil </v>
      </c>
      <c r="C39" s="10"/>
      <c r="D39" s="10"/>
      <c r="E39" s="10"/>
    </row>
    <row r="40" spans="1:6" ht="16.5" customHeight="1" x14ac:dyDescent="0.3">
      <c r="A40" s="11" t="s">
        <v>6</v>
      </c>
      <c r="B40" s="12">
        <f>'Cefuroxime Axetil 1'!B29</f>
        <v>96.5</v>
      </c>
      <c r="C40" s="10"/>
      <c r="D40" s="10"/>
      <c r="E40" s="10"/>
    </row>
    <row r="41" spans="1:6" ht="16.5" customHeight="1" x14ac:dyDescent="0.3">
      <c r="A41" s="7" t="s">
        <v>8</v>
      </c>
      <c r="B41" s="12">
        <f>'Cefuroxime Axetil 1'!D44</f>
        <v>25.44</v>
      </c>
      <c r="C41" s="10"/>
      <c r="D41" s="10"/>
      <c r="E41" s="10"/>
    </row>
    <row r="42" spans="1:6" ht="16.5" customHeight="1" x14ac:dyDescent="0.3">
      <c r="A42" s="7" t="s">
        <v>10</v>
      </c>
      <c r="B42" s="254">
        <f>'Cefuroxime Axetil 1'!D47</f>
        <v>0.20409635327443337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3" t="s">
        <v>12</v>
      </c>
      <c r="B44" s="14" t="s">
        <v>13</v>
      </c>
      <c r="C44" s="13" t="s">
        <v>14</v>
      </c>
      <c r="D44" s="13" t="s">
        <v>15</v>
      </c>
      <c r="E44" s="15" t="s">
        <v>16</v>
      </c>
    </row>
    <row r="45" spans="1:6" ht="16.5" customHeight="1" x14ac:dyDescent="0.3">
      <c r="A45" s="16">
        <v>1</v>
      </c>
      <c r="B45" s="17">
        <v>27416073</v>
      </c>
      <c r="C45" s="17">
        <v>3898.27</v>
      </c>
      <c r="D45" s="18">
        <v>1.01</v>
      </c>
      <c r="E45" s="19">
        <v>17.010000000000002</v>
      </c>
    </row>
    <row r="46" spans="1:6" ht="16.5" customHeight="1" x14ac:dyDescent="0.3">
      <c r="A46" s="16">
        <v>2</v>
      </c>
      <c r="B46" s="17">
        <v>27424182</v>
      </c>
      <c r="C46" s="17">
        <v>3894.15</v>
      </c>
      <c r="D46" s="18">
        <v>1.02</v>
      </c>
      <c r="E46" s="18">
        <v>16.989999999999998</v>
      </c>
    </row>
    <row r="47" spans="1:6" ht="16.5" customHeight="1" x14ac:dyDescent="0.3">
      <c r="A47" s="16">
        <v>3</v>
      </c>
      <c r="B47" s="17">
        <v>27425703</v>
      </c>
      <c r="C47" s="17">
        <v>3929.56</v>
      </c>
      <c r="D47" s="18">
        <v>1.02</v>
      </c>
      <c r="E47" s="18">
        <v>16.989999999999998</v>
      </c>
    </row>
    <row r="48" spans="1:6" ht="16.5" customHeight="1" x14ac:dyDescent="0.3">
      <c r="A48" s="16">
        <v>4</v>
      </c>
      <c r="B48" s="17">
        <v>27514935</v>
      </c>
      <c r="C48" s="17">
        <v>3997.5</v>
      </c>
      <c r="D48" s="18">
        <v>1.02</v>
      </c>
      <c r="E48" s="18">
        <v>17</v>
      </c>
    </row>
    <row r="49" spans="1:7" ht="16.5" customHeight="1" x14ac:dyDescent="0.3">
      <c r="A49" s="16">
        <v>5</v>
      </c>
      <c r="B49" s="17">
        <v>27456609</v>
      </c>
      <c r="C49" s="17">
        <v>4030.16</v>
      </c>
      <c r="D49" s="18">
        <v>1.02</v>
      </c>
      <c r="E49" s="18">
        <v>17</v>
      </c>
    </row>
    <row r="50" spans="1:7" ht="16.5" customHeight="1" x14ac:dyDescent="0.3">
      <c r="A50" s="16">
        <v>6</v>
      </c>
      <c r="B50" s="20">
        <v>27330324</v>
      </c>
      <c r="C50" s="20">
        <v>4063.62</v>
      </c>
      <c r="D50" s="21">
        <v>1.03</v>
      </c>
      <c r="E50" s="21">
        <v>17</v>
      </c>
    </row>
    <row r="51" spans="1:7" ht="16.5" customHeight="1" x14ac:dyDescent="0.3">
      <c r="A51" s="22" t="s">
        <v>17</v>
      </c>
      <c r="B51" s="23">
        <f>AVERAGE(B45:B50)</f>
        <v>27427971</v>
      </c>
      <c r="C51" s="24">
        <f>AVERAGE(C45:C50)</f>
        <v>3968.8766666666666</v>
      </c>
      <c r="D51" s="25">
        <f>AVERAGE(D45:D50)</f>
        <v>1.02</v>
      </c>
      <c r="E51" s="25">
        <f>AVERAGE(E45:E50)</f>
        <v>16.998333333333331</v>
      </c>
    </row>
    <row r="52" spans="1:7" ht="16.5" customHeight="1" x14ac:dyDescent="0.3">
      <c r="A52" s="26" t="s">
        <v>18</v>
      </c>
      <c r="B52" s="27">
        <f>(STDEV(B45:B50)/B51)</f>
        <v>2.1923353042010174E-3</v>
      </c>
      <c r="C52" s="28"/>
      <c r="D52" s="28"/>
      <c r="E52" s="29"/>
      <c r="F52" s="2"/>
    </row>
    <row r="53" spans="1:7" s="2" customFormat="1" ht="16.5" customHeight="1" x14ac:dyDescent="0.3">
      <c r="A53" s="30" t="s">
        <v>19</v>
      </c>
      <c r="B53" s="31">
        <f>COUNT(B45:B50)</f>
        <v>6</v>
      </c>
      <c r="C53" s="32"/>
      <c r="D53" s="33"/>
      <c r="E53" s="34"/>
    </row>
    <row r="54" spans="1:7" s="2" customFormat="1" ht="15.75" customHeight="1" x14ac:dyDescent="0.25">
      <c r="A54" s="10"/>
      <c r="B54" s="10"/>
      <c r="C54" s="10"/>
      <c r="D54" s="10"/>
      <c r="E54" s="35"/>
    </row>
    <row r="55" spans="1:7" s="2" customFormat="1" ht="16.5" customHeight="1" x14ac:dyDescent="0.3">
      <c r="A55" s="11" t="s">
        <v>20</v>
      </c>
      <c r="B55" s="36" t="s">
        <v>21</v>
      </c>
      <c r="C55" s="37"/>
      <c r="D55" s="37"/>
      <c r="E55" s="38"/>
    </row>
    <row r="56" spans="1:7" ht="16.5" customHeight="1" x14ac:dyDescent="0.3">
      <c r="A56" s="11"/>
      <c r="B56" s="36" t="s">
        <v>22</v>
      </c>
      <c r="C56" s="37"/>
      <c r="D56" s="37"/>
      <c r="E56" s="38"/>
      <c r="F56" s="2"/>
    </row>
    <row r="57" spans="1:7" ht="16.5" customHeight="1" x14ac:dyDescent="0.3">
      <c r="A57" s="11"/>
      <c r="B57" s="39" t="s">
        <v>23</v>
      </c>
      <c r="C57" s="37"/>
      <c r="D57" s="38"/>
      <c r="E57" s="37"/>
    </row>
    <row r="58" spans="1:7" ht="14.25" customHeight="1" x14ac:dyDescent="0.25">
      <c r="A58" s="40"/>
      <c r="B58" s="41"/>
      <c r="D58" s="42"/>
      <c r="F58" s="43"/>
      <c r="G58" s="43"/>
    </row>
    <row r="59" spans="1:7" ht="15" customHeight="1" x14ac:dyDescent="0.3">
      <c r="B59" s="260" t="s">
        <v>24</v>
      </c>
      <c r="C59" s="260"/>
      <c r="E59" s="44" t="s">
        <v>25</v>
      </c>
      <c r="F59" s="45"/>
      <c r="G59" s="44" t="s">
        <v>26</v>
      </c>
    </row>
    <row r="60" spans="1:7" ht="22.5" customHeight="1" x14ac:dyDescent="0.3">
      <c r="A60" s="46" t="s">
        <v>27</v>
      </c>
      <c r="B60" s="47"/>
      <c r="C60" s="47" t="s">
        <v>120</v>
      </c>
      <c r="E60" s="47"/>
      <c r="F60" s="2"/>
      <c r="G60" s="48"/>
    </row>
    <row r="61" spans="1:7" ht="24.75" customHeight="1" x14ac:dyDescent="0.3">
      <c r="A61" s="46" t="s">
        <v>28</v>
      </c>
      <c r="B61" s="49"/>
      <c r="C61" s="49"/>
      <c r="E61" s="49"/>
      <c r="F61" s="2"/>
      <c r="G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topLeftCell="A13" workbookViewId="0">
      <selection activeCell="B50" sqref="B50"/>
    </sheetView>
  </sheetViews>
  <sheetFormatPr defaultRowHeight="13.5" x14ac:dyDescent="0.25"/>
  <cols>
    <col min="1" max="1" width="27.5703125" style="81" customWidth="1"/>
    <col min="2" max="2" width="23.85546875" style="81" customWidth="1"/>
    <col min="3" max="3" width="31.85546875" style="81" customWidth="1"/>
    <col min="4" max="4" width="25.85546875" style="81" customWidth="1"/>
    <col min="5" max="5" width="25.7109375" style="81" customWidth="1"/>
    <col min="6" max="6" width="23.140625" style="81" customWidth="1"/>
    <col min="7" max="7" width="28.42578125" style="81" customWidth="1"/>
    <col min="8" max="8" width="21.5703125" style="81" customWidth="1"/>
    <col min="9" max="9" width="9.140625" style="81" customWidth="1"/>
    <col min="10" max="16384" width="9.140625" style="85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59" t="s">
        <v>0</v>
      </c>
      <c r="B15" s="259"/>
      <c r="C15" s="259"/>
      <c r="D15" s="259"/>
      <c r="E15" s="259"/>
    </row>
    <row r="16" spans="1:6" ht="16.5" customHeight="1" x14ac:dyDescent="0.3">
      <c r="A16" s="5" t="s">
        <v>1</v>
      </c>
      <c r="B16" s="6" t="s">
        <v>2</v>
      </c>
      <c r="C16" s="1" t="s">
        <v>119</v>
      </c>
    </row>
    <row r="17" spans="1:5" ht="16.5" customHeight="1" x14ac:dyDescent="0.3">
      <c r="A17" s="8" t="s">
        <v>3</v>
      </c>
      <c r="B17" s="8" t="s">
        <v>5</v>
      </c>
      <c r="D17" s="9"/>
      <c r="E17" s="92"/>
    </row>
    <row r="18" spans="1:5" ht="16.5" customHeight="1" x14ac:dyDescent="0.3">
      <c r="A18" s="95" t="s">
        <v>4</v>
      </c>
      <c r="B18" s="253" t="str">
        <f>'Cefuroxime Axetil 1'!B27:C27</f>
        <v xml:space="preserve">Cefuroxime Axetil </v>
      </c>
      <c r="C18" s="92"/>
      <c r="D18" s="92"/>
      <c r="E18" s="92"/>
    </row>
    <row r="19" spans="1:5" ht="16.5" customHeight="1" x14ac:dyDescent="0.3">
      <c r="A19" s="95" t="s">
        <v>6</v>
      </c>
      <c r="B19" s="12">
        <f>'Cefuroxime Axetil 1'!B29</f>
        <v>96.5</v>
      </c>
      <c r="C19" s="92"/>
      <c r="D19" s="92"/>
      <c r="E19" s="92"/>
    </row>
    <row r="20" spans="1:5" ht="16.5" customHeight="1" x14ac:dyDescent="0.3">
      <c r="A20" s="8" t="s">
        <v>8</v>
      </c>
      <c r="B20" s="12">
        <v>27.4</v>
      </c>
      <c r="C20" s="92"/>
      <c r="D20" s="92"/>
      <c r="E20" s="92"/>
    </row>
    <row r="21" spans="1:5" ht="16.5" customHeight="1" x14ac:dyDescent="0.3">
      <c r="A21" s="8" t="s">
        <v>10</v>
      </c>
      <c r="B21" s="254">
        <v>0.24</v>
      </c>
      <c r="C21" s="92"/>
      <c r="D21" s="92"/>
      <c r="E21" s="92"/>
    </row>
    <row r="22" spans="1:5" ht="15.75" customHeight="1" x14ac:dyDescent="0.25">
      <c r="A22" s="92"/>
      <c r="B22" s="92"/>
      <c r="C22" s="92"/>
      <c r="D22" s="92"/>
      <c r="E22" s="92"/>
    </row>
    <row r="23" spans="1:5" ht="16.5" customHeight="1" x14ac:dyDescent="0.3">
      <c r="A23" s="15" t="s">
        <v>12</v>
      </c>
      <c r="B23" s="14" t="s">
        <v>13</v>
      </c>
      <c r="C23" s="15" t="s">
        <v>14</v>
      </c>
      <c r="D23" s="15" t="s">
        <v>15</v>
      </c>
      <c r="E23" s="15" t="s">
        <v>16</v>
      </c>
    </row>
    <row r="24" spans="1:5" ht="16.5" customHeight="1" x14ac:dyDescent="0.3">
      <c r="A24" s="16">
        <v>1</v>
      </c>
      <c r="B24" s="17">
        <v>31576739</v>
      </c>
      <c r="C24" s="17">
        <v>8870.2999999999993</v>
      </c>
      <c r="D24" s="18">
        <v>1</v>
      </c>
      <c r="E24" s="19">
        <v>14.4</v>
      </c>
    </row>
    <row r="25" spans="1:5" ht="16.5" customHeight="1" x14ac:dyDescent="0.3">
      <c r="A25" s="16">
        <v>2</v>
      </c>
      <c r="B25" s="17">
        <v>31604161</v>
      </c>
      <c r="C25" s="17">
        <v>8872.2999999999993</v>
      </c>
      <c r="D25" s="18">
        <v>1</v>
      </c>
      <c r="E25" s="18">
        <v>14.4</v>
      </c>
    </row>
    <row r="26" spans="1:5" ht="16.5" customHeight="1" x14ac:dyDescent="0.3">
      <c r="A26" s="16">
        <v>3</v>
      </c>
      <c r="B26" s="17">
        <v>31603895</v>
      </c>
      <c r="C26" s="17">
        <v>8872.1</v>
      </c>
      <c r="D26" s="18">
        <v>1</v>
      </c>
      <c r="E26" s="18">
        <v>14.4</v>
      </c>
    </row>
    <row r="27" spans="1:5" ht="16.5" customHeight="1" x14ac:dyDescent="0.3">
      <c r="A27" s="16">
        <v>4</v>
      </c>
      <c r="B27" s="17">
        <v>31554660</v>
      </c>
      <c r="C27" s="17">
        <v>8886.4</v>
      </c>
      <c r="D27" s="18">
        <v>1</v>
      </c>
      <c r="E27" s="18">
        <v>14.4</v>
      </c>
    </row>
    <row r="28" spans="1:5" ht="16.5" customHeight="1" x14ac:dyDescent="0.3">
      <c r="A28" s="16">
        <v>5</v>
      </c>
      <c r="B28" s="17">
        <v>31533257</v>
      </c>
      <c r="C28" s="17">
        <v>8858.6</v>
      </c>
      <c r="D28" s="18">
        <v>1</v>
      </c>
      <c r="E28" s="18">
        <v>14.4</v>
      </c>
    </row>
    <row r="29" spans="1:5" ht="16.5" customHeight="1" x14ac:dyDescent="0.3">
      <c r="A29" s="16">
        <v>6</v>
      </c>
      <c r="B29" s="20">
        <v>31561205</v>
      </c>
      <c r="C29" s="20">
        <v>8851.7999999999993</v>
      </c>
      <c r="D29" s="21">
        <v>1</v>
      </c>
      <c r="E29" s="21">
        <v>14.4</v>
      </c>
    </row>
    <row r="30" spans="1:5" ht="16.5" customHeight="1" x14ac:dyDescent="0.3">
      <c r="A30" s="22" t="s">
        <v>17</v>
      </c>
      <c r="B30" s="23">
        <f>AVERAGE(B24:B29)</f>
        <v>31572319.5</v>
      </c>
      <c r="C30" s="24">
        <f>AVERAGE(C24:C29)</f>
        <v>8868.5833333333339</v>
      </c>
      <c r="D30" s="25">
        <f>AVERAGE(D24:D29)</f>
        <v>1</v>
      </c>
      <c r="E30" s="25">
        <f>AVERAGE(E24:E29)</f>
        <v>14.4</v>
      </c>
    </row>
    <row r="31" spans="1:5" ht="16.5" customHeight="1" x14ac:dyDescent="0.3">
      <c r="A31" s="26" t="s">
        <v>18</v>
      </c>
      <c r="B31" s="27">
        <f>(STDEV(B24:B29)/B30)</f>
        <v>8.9492603673658176E-4</v>
      </c>
      <c r="C31" s="28"/>
      <c r="D31" s="28"/>
      <c r="E31" s="29"/>
    </row>
    <row r="32" spans="1:5" s="81" customFormat="1" ht="16.5" customHeight="1" x14ac:dyDescent="0.3">
      <c r="A32" s="30" t="s">
        <v>19</v>
      </c>
      <c r="B32" s="31">
        <f>COUNT(B24:B29)</f>
        <v>6</v>
      </c>
      <c r="C32" s="32"/>
      <c r="D32" s="93"/>
      <c r="E32" s="34"/>
    </row>
    <row r="33" spans="1:5" s="81" customFormat="1" ht="15.75" customHeight="1" x14ac:dyDescent="0.25">
      <c r="A33" s="92"/>
      <c r="B33" s="92"/>
      <c r="C33" s="92"/>
      <c r="D33" s="92"/>
      <c r="E33" s="92"/>
    </row>
    <row r="34" spans="1:5" s="81" customFormat="1" ht="16.5" customHeight="1" x14ac:dyDescent="0.3">
      <c r="A34" s="95" t="s">
        <v>20</v>
      </c>
      <c r="B34" s="39" t="s">
        <v>21</v>
      </c>
      <c r="C34" s="106"/>
      <c r="D34" s="106"/>
      <c r="E34" s="106"/>
    </row>
    <row r="35" spans="1:5" ht="16.5" customHeight="1" x14ac:dyDescent="0.3">
      <c r="A35" s="95"/>
      <c r="B35" s="39" t="s">
        <v>22</v>
      </c>
      <c r="C35" s="106"/>
      <c r="D35" s="106"/>
      <c r="E35" s="106"/>
    </row>
    <row r="36" spans="1:5" ht="16.5" customHeight="1" x14ac:dyDescent="0.3">
      <c r="A36" s="95"/>
      <c r="B36" s="39" t="s">
        <v>23</v>
      </c>
      <c r="C36" s="106"/>
      <c r="D36" s="106"/>
      <c r="E36" s="106"/>
    </row>
    <row r="37" spans="1:5" ht="15.75" customHeight="1" x14ac:dyDescent="0.25">
      <c r="A37" s="92"/>
      <c r="B37" s="92"/>
      <c r="C37" s="92"/>
      <c r="D37" s="92"/>
      <c r="E37" s="92"/>
    </row>
    <row r="38" spans="1:5" ht="16.5" customHeight="1" x14ac:dyDescent="0.3">
      <c r="A38" s="5" t="s">
        <v>1</v>
      </c>
      <c r="B38" s="6" t="s">
        <v>118</v>
      </c>
    </row>
    <row r="39" spans="1:5" ht="16.5" customHeight="1" x14ac:dyDescent="0.3">
      <c r="A39" s="95" t="s">
        <v>4</v>
      </c>
      <c r="B39" s="253" t="str">
        <f>'Cefuroxime Axetil 1'!B27:C27</f>
        <v xml:space="preserve">Cefuroxime Axetil </v>
      </c>
      <c r="C39" s="92"/>
      <c r="D39" s="92"/>
      <c r="E39" s="92"/>
    </row>
    <row r="40" spans="1:5" ht="16.5" customHeight="1" x14ac:dyDescent="0.3">
      <c r="A40" s="95" t="s">
        <v>6</v>
      </c>
      <c r="B40" s="12">
        <f>'Cefuroxime Axetil 1'!B29</f>
        <v>96.5</v>
      </c>
      <c r="C40" s="92"/>
      <c r="D40" s="92"/>
      <c r="E40" s="92"/>
    </row>
    <row r="41" spans="1:5" ht="16.5" customHeight="1" x14ac:dyDescent="0.3">
      <c r="A41" s="8" t="s">
        <v>8</v>
      </c>
      <c r="B41" s="12">
        <v>27.4</v>
      </c>
      <c r="C41" s="92"/>
      <c r="D41" s="92"/>
      <c r="E41" s="92"/>
    </row>
    <row r="42" spans="1:5" ht="16.5" customHeight="1" x14ac:dyDescent="0.3">
      <c r="A42" s="8" t="s">
        <v>10</v>
      </c>
      <c r="B42" s="254">
        <v>0.24</v>
      </c>
      <c r="C42" s="92"/>
      <c r="D42" s="92"/>
      <c r="E42" s="92"/>
    </row>
    <row r="43" spans="1:5" ht="15.75" customHeight="1" x14ac:dyDescent="0.25">
      <c r="A43" s="92"/>
      <c r="B43" s="92"/>
      <c r="C43" s="92"/>
      <c r="D43" s="92"/>
      <c r="E43" s="92"/>
    </row>
    <row r="44" spans="1:5" ht="16.5" customHeight="1" x14ac:dyDescent="0.3">
      <c r="A44" s="15" t="s">
        <v>12</v>
      </c>
      <c r="B44" s="14" t="s">
        <v>13</v>
      </c>
      <c r="C44" s="15" t="s">
        <v>14</v>
      </c>
      <c r="D44" s="15" t="s">
        <v>15</v>
      </c>
      <c r="E44" s="15" t="s">
        <v>16</v>
      </c>
    </row>
    <row r="45" spans="1:5" ht="16.5" customHeight="1" x14ac:dyDescent="0.3">
      <c r="A45" s="16">
        <v>1</v>
      </c>
      <c r="B45" s="17">
        <v>33337065</v>
      </c>
      <c r="C45" s="300">
        <v>9502.4</v>
      </c>
      <c r="D45" s="18">
        <v>1</v>
      </c>
      <c r="E45" s="19">
        <v>16.7</v>
      </c>
    </row>
    <row r="46" spans="1:5" ht="16.5" customHeight="1" x14ac:dyDescent="0.3">
      <c r="A46" s="16">
        <v>2</v>
      </c>
      <c r="B46" s="17">
        <v>33364543</v>
      </c>
      <c r="C46" s="300">
        <v>9501.4</v>
      </c>
      <c r="D46" s="18">
        <v>1</v>
      </c>
      <c r="E46" s="18">
        <v>16.7</v>
      </c>
    </row>
    <row r="47" spans="1:5" ht="16.5" customHeight="1" x14ac:dyDescent="0.3">
      <c r="A47" s="16">
        <v>3</v>
      </c>
      <c r="B47" s="17">
        <v>33368658</v>
      </c>
      <c r="C47" s="300">
        <v>9489.7999999999993</v>
      </c>
      <c r="D47" s="18">
        <v>1</v>
      </c>
      <c r="E47" s="18">
        <v>16.7</v>
      </c>
    </row>
    <row r="48" spans="1:5" ht="16.5" customHeight="1" x14ac:dyDescent="0.3">
      <c r="A48" s="16">
        <v>4</v>
      </c>
      <c r="B48" s="17">
        <v>33299261</v>
      </c>
      <c r="C48" s="300">
        <v>9502.7999999999993</v>
      </c>
      <c r="D48" s="18">
        <v>1.1000000000000001</v>
      </c>
      <c r="E48" s="18">
        <v>16.600000000000001</v>
      </c>
    </row>
    <row r="49" spans="1:7" ht="16.5" customHeight="1" x14ac:dyDescent="0.3">
      <c r="A49" s="16">
        <v>5</v>
      </c>
      <c r="B49" s="17">
        <v>33287633</v>
      </c>
      <c r="C49" s="300">
        <v>9485</v>
      </c>
      <c r="D49" s="18">
        <v>1</v>
      </c>
      <c r="E49" s="18">
        <v>16.7</v>
      </c>
    </row>
    <row r="50" spans="1:7" ht="16.5" customHeight="1" x14ac:dyDescent="0.3">
      <c r="A50" s="16">
        <v>6</v>
      </c>
      <c r="B50" s="20">
        <v>33304521</v>
      </c>
      <c r="C50" s="301">
        <v>9464.9</v>
      </c>
      <c r="D50" s="21">
        <v>1</v>
      </c>
      <c r="E50" s="21">
        <v>16.7</v>
      </c>
    </row>
    <row r="51" spans="1:7" ht="16.5" customHeight="1" x14ac:dyDescent="0.3">
      <c r="A51" s="22" t="s">
        <v>17</v>
      </c>
      <c r="B51" s="23">
        <f>AVERAGE(B45:B50)</f>
        <v>33326946.833333332</v>
      </c>
      <c r="C51" s="24">
        <f>AVERAGE(C45:C50)</f>
        <v>9491.0499999999993</v>
      </c>
      <c r="D51" s="25">
        <f>AVERAGE(D45:D50)</f>
        <v>1.0166666666666666</v>
      </c>
      <c r="E51" s="25">
        <f>AVERAGE(E45:E50)</f>
        <v>16.683333333333334</v>
      </c>
    </row>
    <row r="52" spans="1:7" ht="16.5" customHeight="1" x14ac:dyDescent="0.3">
      <c r="A52" s="26" t="s">
        <v>18</v>
      </c>
      <c r="B52" s="27">
        <f>(STDEV(B45:B50)/B51)</f>
        <v>1.0455332033254699E-3</v>
      </c>
      <c r="C52" s="28"/>
      <c r="D52" s="28"/>
      <c r="E52" s="29"/>
    </row>
    <row r="53" spans="1:7" s="81" customFormat="1" ht="16.5" customHeight="1" x14ac:dyDescent="0.3">
      <c r="A53" s="30" t="s">
        <v>19</v>
      </c>
      <c r="B53" s="31">
        <f>COUNT(B45:B50)</f>
        <v>6</v>
      </c>
      <c r="C53" s="32"/>
      <c r="D53" s="93"/>
      <c r="E53" s="34"/>
    </row>
    <row r="54" spans="1:7" s="81" customFormat="1" ht="15.75" customHeight="1" x14ac:dyDescent="0.25">
      <c r="A54" s="92"/>
      <c r="B54" s="92"/>
      <c r="C54" s="92"/>
      <c r="D54" s="92"/>
      <c r="E54" s="92"/>
    </row>
    <row r="55" spans="1:7" s="81" customFormat="1" ht="16.5" customHeight="1" x14ac:dyDescent="0.3">
      <c r="A55" s="95" t="s">
        <v>20</v>
      </c>
      <c r="B55" s="39" t="s">
        <v>21</v>
      </c>
      <c r="C55" s="106"/>
      <c r="D55" s="106"/>
      <c r="E55" s="106"/>
    </row>
    <row r="56" spans="1:7" ht="16.5" customHeight="1" x14ac:dyDescent="0.3">
      <c r="A56" s="95"/>
      <c r="B56" s="39" t="s">
        <v>22</v>
      </c>
      <c r="C56" s="106"/>
      <c r="D56" s="106"/>
      <c r="E56" s="106"/>
    </row>
    <row r="57" spans="1:7" ht="16.5" customHeight="1" x14ac:dyDescent="0.3">
      <c r="A57" s="95"/>
      <c r="B57" s="39" t="s">
        <v>23</v>
      </c>
      <c r="C57" s="106"/>
      <c r="D57" s="106"/>
      <c r="E57" s="106"/>
    </row>
    <row r="58" spans="1:7" ht="14.25" customHeight="1" thickBot="1" x14ac:dyDescent="0.3">
      <c r="A58" s="79"/>
      <c r="B58" s="80"/>
      <c r="D58" s="82"/>
      <c r="F58" s="85"/>
      <c r="G58" s="85"/>
    </row>
    <row r="59" spans="1:7" ht="15" customHeight="1" x14ac:dyDescent="0.3">
      <c r="B59" s="260" t="s">
        <v>24</v>
      </c>
      <c r="C59" s="260"/>
      <c r="E59" s="258" t="s">
        <v>25</v>
      </c>
      <c r="F59" s="45"/>
      <c r="G59" s="258" t="s">
        <v>26</v>
      </c>
    </row>
    <row r="60" spans="1:7" ht="22.5" customHeight="1" x14ac:dyDescent="0.3">
      <c r="A60" s="46" t="s">
        <v>27</v>
      </c>
      <c r="B60" s="48"/>
      <c r="C60" s="48" t="s">
        <v>120</v>
      </c>
      <c r="E60" s="48"/>
      <c r="G60" s="48"/>
    </row>
    <row r="61" spans="1:7" ht="24.75" customHeight="1" x14ac:dyDescent="0.3">
      <c r="A61" s="46" t="s">
        <v>28</v>
      </c>
      <c r="B61" s="49"/>
      <c r="C61" s="49"/>
      <c r="E61" s="49"/>
      <c r="G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topLeftCell="A34" zoomScaleNormal="100" workbookViewId="0">
      <selection activeCell="B42" sqref="B42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266" t="s">
        <v>29</v>
      </c>
      <c r="B1" s="266"/>
      <c r="C1" s="266"/>
      <c r="D1" s="266"/>
      <c r="E1" s="266"/>
      <c r="F1" s="266"/>
      <c r="G1" s="104"/>
    </row>
    <row r="2" spans="1:7" ht="12.75" customHeight="1" x14ac:dyDescent="0.3">
      <c r="A2" s="266"/>
      <c r="B2" s="266"/>
      <c r="C2" s="266"/>
      <c r="D2" s="266"/>
      <c r="E2" s="266"/>
      <c r="F2" s="266"/>
      <c r="G2" s="104"/>
    </row>
    <row r="3" spans="1:7" ht="12.75" customHeight="1" x14ac:dyDescent="0.3">
      <c r="A3" s="266"/>
      <c r="B3" s="266"/>
      <c r="C3" s="266"/>
      <c r="D3" s="266"/>
      <c r="E3" s="266"/>
      <c r="F3" s="266"/>
      <c r="G3" s="104"/>
    </row>
    <row r="4" spans="1:7" ht="12.75" customHeight="1" x14ac:dyDescent="0.3">
      <c r="A4" s="266"/>
      <c r="B4" s="266"/>
      <c r="C4" s="266"/>
      <c r="D4" s="266"/>
      <c r="E4" s="266"/>
      <c r="F4" s="266"/>
      <c r="G4" s="104"/>
    </row>
    <row r="5" spans="1:7" ht="12.75" customHeight="1" x14ac:dyDescent="0.3">
      <c r="A5" s="266"/>
      <c r="B5" s="266"/>
      <c r="C5" s="266"/>
      <c r="D5" s="266"/>
      <c r="E5" s="266"/>
      <c r="F5" s="266"/>
      <c r="G5" s="104"/>
    </row>
    <row r="6" spans="1:7" ht="12.75" customHeight="1" x14ac:dyDescent="0.3">
      <c r="A6" s="266"/>
      <c r="B6" s="266"/>
      <c r="C6" s="266"/>
      <c r="D6" s="266"/>
      <c r="E6" s="266"/>
      <c r="F6" s="266"/>
      <c r="G6" s="104"/>
    </row>
    <row r="7" spans="1:7" ht="12.75" customHeight="1" x14ac:dyDescent="0.3">
      <c r="A7" s="266"/>
      <c r="B7" s="266"/>
      <c r="C7" s="266"/>
      <c r="D7" s="266"/>
      <c r="E7" s="266"/>
      <c r="F7" s="266"/>
      <c r="G7" s="104"/>
    </row>
    <row r="8" spans="1:7" ht="15" customHeight="1" x14ac:dyDescent="0.3">
      <c r="A8" s="265" t="s">
        <v>30</v>
      </c>
      <c r="B8" s="265"/>
      <c r="C8" s="265"/>
      <c r="D8" s="265"/>
      <c r="E8" s="265"/>
      <c r="F8" s="265"/>
      <c r="G8" s="105"/>
    </row>
    <row r="9" spans="1:7" ht="12.75" customHeight="1" x14ac:dyDescent="0.3">
      <c r="A9" s="265"/>
      <c r="B9" s="265"/>
      <c r="C9" s="265"/>
      <c r="D9" s="265"/>
      <c r="E9" s="265"/>
      <c r="F9" s="265"/>
      <c r="G9" s="105"/>
    </row>
    <row r="10" spans="1:7" ht="12.75" customHeight="1" x14ac:dyDescent="0.3">
      <c r="A10" s="265"/>
      <c r="B10" s="265"/>
      <c r="C10" s="265"/>
      <c r="D10" s="265"/>
      <c r="E10" s="265"/>
      <c r="F10" s="265"/>
      <c r="G10" s="105"/>
    </row>
    <row r="11" spans="1:7" ht="12.75" customHeight="1" x14ac:dyDescent="0.3">
      <c r="A11" s="265"/>
      <c r="B11" s="265"/>
      <c r="C11" s="265"/>
      <c r="D11" s="265"/>
      <c r="E11" s="265"/>
      <c r="F11" s="265"/>
      <c r="G11" s="105"/>
    </row>
    <row r="12" spans="1:7" ht="12.75" customHeight="1" x14ac:dyDescent="0.3">
      <c r="A12" s="265"/>
      <c r="B12" s="265"/>
      <c r="C12" s="265"/>
      <c r="D12" s="265"/>
      <c r="E12" s="265"/>
      <c r="F12" s="265"/>
      <c r="G12" s="105"/>
    </row>
    <row r="13" spans="1:7" ht="12.75" customHeight="1" x14ac:dyDescent="0.3">
      <c r="A13" s="265"/>
      <c r="B13" s="265"/>
      <c r="C13" s="265"/>
      <c r="D13" s="265"/>
      <c r="E13" s="265"/>
      <c r="F13" s="265"/>
      <c r="G13" s="105"/>
    </row>
    <row r="14" spans="1:7" ht="12.75" customHeight="1" x14ac:dyDescent="0.3">
      <c r="A14" s="265"/>
      <c r="B14" s="265"/>
      <c r="C14" s="265"/>
      <c r="D14" s="265"/>
      <c r="E14" s="265"/>
      <c r="F14" s="265"/>
      <c r="G14" s="105"/>
    </row>
    <row r="15" spans="1:7" ht="13.5" customHeight="1" x14ac:dyDescent="0.3"/>
    <row r="16" spans="1:7" ht="19.5" customHeight="1" x14ac:dyDescent="0.3">
      <c r="A16" s="261" t="s">
        <v>31</v>
      </c>
      <c r="B16" s="262"/>
      <c r="C16" s="262"/>
      <c r="D16" s="262"/>
      <c r="E16" s="262"/>
      <c r="F16" s="263"/>
    </row>
    <row r="17" spans="1:13" ht="18.75" customHeight="1" x14ac:dyDescent="0.3">
      <c r="A17" s="264" t="s">
        <v>32</v>
      </c>
      <c r="B17" s="264"/>
      <c r="C17" s="264"/>
      <c r="D17" s="264"/>
      <c r="E17" s="264"/>
      <c r="F17" s="264"/>
    </row>
    <row r="20" spans="1:13" ht="16.5" customHeight="1" x14ac:dyDescent="0.3">
      <c r="A20" s="51" t="s">
        <v>33</v>
      </c>
      <c r="B20" s="1" t="s">
        <v>5</v>
      </c>
    </row>
    <row r="21" spans="1:13" ht="16.5" customHeight="1" x14ac:dyDescent="0.3">
      <c r="A21" s="51" t="s">
        <v>34</v>
      </c>
      <c r="B21" s="1" t="s">
        <v>7</v>
      </c>
    </row>
    <row r="22" spans="1:13" ht="16.5" customHeight="1" x14ac:dyDescent="0.3">
      <c r="A22" s="51" t="s">
        <v>35</v>
      </c>
      <c r="B22" s="106" t="s">
        <v>9</v>
      </c>
    </row>
    <row r="23" spans="1:13" ht="16.5" customHeight="1" x14ac:dyDescent="0.3">
      <c r="A23" s="51" t="s">
        <v>36</v>
      </c>
      <c r="B23" s="106" t="s">
        <v>11</v>
      </c>
    </row>
    <row r="24" spans="1:13" ht="16.5" customHeight="1" x14ac:dyDescent="0.3">
      <c r="A24" s="51" t="s">
        <v>37</v>
      </c>
      <c r="B24" s="106" t="str">
        <f>'Cefuroxime Axetil 1'!B22</f>
        <v>18th Jan 2016</v>
      </c>
    </row>
    <row r="25" spans="1:13" ht="16.5" customHeight="1" x14ac:dyDescent="0.3">
      <c r="A25" s="51" t="s">
        <v>38</v>
      </c>
      <c r="B25" s="107" t="str">
        <f>'Cefuroxime Axetil 1'!B23</f>
        <v>8th Jan 2016</v>
      </c>
    </row>
    <row r="27" spans="1:13" ht="13.5" customHeight="1" x14ac:dyDescent="0.3"/>
    <row r="28" spans="1:13" ht="17.25" customHeight="1" x14ac:dyDescent="0.3">
      <c r="B28" s="53"/>
      <c r="C28" s="54" t="s">
        <v>39</v>
      </c>
      <c r="D28" s="54" t="s">
        <v>40</v>
      </c>
      <c r="E28" s="55"/>
      <c r="F28" s="55"/>
      <c r="G28" s="55"/>
      <c r="H28" s="56"/>
      <c r="I28" s="55"/>
      <c r="J28" s="55"/>
      <c r="K28" s="55"/>
      <c r="L28" s="57"/>
      <c r="M28" s="57"/>
    </row>
    <row r="29" spans="1:13" ht="16.5" customHeight="1" x14ac:dyDescent="0.3">
      <c r="B29" s="58">
        <v>21.797000000000001</v>
      </c>
      <c r="C29" s="59">
        <v>46.744999999999997</v>
      </c>
      <c r="D29" s="59">
        <v>50.677999999999997</v>
      </c>
      <c r="E29" s="60"/>
      <c r="F29" s="60"/>
      <c r="G29" s="60"/>
      <c r="H29" s="56"/>
      <c r="I29" s="60"/>
      <c r="J29" s="60"/>
      <c r="K29" s="60"/>
      <c r="L29" s="57"/>
      <c r="M29" s="57"/>
    </row>
    <row r="30" spans="1:13" ht="15.75" customHeight="1" x14ac:dyDescent="0.3">
      <c r="B30" s="61"/>
      <c r="C30" s="59">
        <v>46.762999999999998</v>
      </c>
      <c r="D30" s="59">
        <v>50.677999999999997</v>
      </c>
      <c r="E30" s="60"/>
      <c r="F30" s="60"/>
      <c r="G30" s="60"/>
      <c r="H30" s="56"/>
      <c r="I30" s="60"/>
      <c r="J30" s="60"/>
      <c r="K30" s="60"/>
      <c r="L30" s="57"/>
      <c r="M30" s="57"/>
    </row>
    <row r="31" spans="1:13" ht="16.5" customHeight="1" x14ac:dyDescent="0.3">
      <c r="B31" s="61"/>
      <c r="C31" s="62">
        <v>46.762</v>
      </c>
      <c r="D31" s="62">
        <v>50.677</v>
      </c>
      <c r="E31" s="60"/>
      <c r="F31" s="60"/>
      <c r="G31" s="60"/>
      <c r="H31" s="56"/>
      <c r="I31" s="60"/>
      <c r="J31" s="60"/>
      <c r="K31" s="60"/>
      <c r="L31" s="57"/>
      <c r="M31" s="57"/>
    </row>
    <row r="32" spans="1:13" ht="16.5" customHeight="1" x14ac:dyDescent="0.3">
      <c r="B32" s="61"/>
      <c r="C32" s="63"/>
      <c r="D32" s="64"/>
      <c r="E32" s="60"/>
      <c r="F32" s="60"/>
      <c r="G32" s="60"/>
      <c r="H32" s="56"/>
      <c r="I32" s="60"/>
      <c r="J32" s="60"/>
      <c r="K32" s="60"/>
      <c r="L32" s="57"/>
      <c r="M32" s="57"/>
    </row>
    <row r="33" spans="1:13" ht="17.25" customHeight="1" x14ac:dyDescent="0.3">
      <c r="B33" s="65">
        <f>AVERAGE(B29:B32)</f>
        <v>21.797000000000001</v>
      </c>
      <c r="C33" s="65">
        <f>AVERAGE(C29:C32)</f>
        <v>46.756666666666661</v>
      </c>
      <c r="D33" s="65">
        <f>AVERAGE(D29:D32)</f>
        <v>50.67766666666666</v>
      </c>
      <c r="E33" s="66"/>
      <c r="F33" s="66"/>
      <c r="G33" s="66"/>
      <c r="H33" s="56"/>
      <c r="I33" s="66"/>
      <c r="J33" s="66"/>
      <c r="K33" s="66"/>
      <c r="L33" s="57"/>
      <c r="M33" s="57"/>
    </row>
    <row r="34" spans="1:13" ht="16.5" customHeight="1" x14ac:dyDescent="0.3">
      <c r="B34" s="67"/>
      <c r="C34" s="67"/>
      <c r="D34" s="67"/>
      <c r="E34" s="56"/>
      <c r="F34" s="56"/>
      <c r="G34" s="56"/>
      <c r="H34" s="56"/>
      <c r="I34" s="56"/>
      <c r="J34" s="56"/>
      <c r="K34" s="56"/>
      <c r="L34" s="57"/>
      <c r="M34" s="57"/>
    </row>
    <row r="35" spans="1:13" ht="16.5" customHeight="1" x14ac:dyDescent="0.3">
      <c r="B35" s="68" t="s">
        <v>41</v>
      </c>
      <c r="C35" s="69">
        <f>C33-B33</f>
        <v>24.95966666666666</v>
      </c>
      <c r="D35" s="67"/>
      <c r="E35" s="56"/>
      <c r="F35" s="70"/>
      <c r="G35" s="56"/>
      <c r="H35" s="56"/>
      <c r="I35" s="56"/>
      <c r="J35" s="70"/>
      <c r="K35" s="56"/>
      <c r="L35" s="57"/>
      <c r="M35" s="57"/>
    </row>
    <row r="36" spans="1:13" ht="16.5" customHeight="1" x14ac:dyDescent="0.3">
      <c r="B36" s="67"/>
      <c r="C36" s="71"/>
      <c r="D36" s="67"/>
      <c r="E36" s="56"/>
      <c r="F36" s="70"/>
      <c r="G36" s="56"/>
      <c r="H36" s="56"/>
      <c r="I36" s="56"/>
      <c r="J36" s="70"/>
      <c r="K36" s="56"/>
      <c r="L36" s="57"/>
      <c r="M36" s="57"/>
    </row>
    <row r="37" spans="1:13" ht="16.5" customHeight="1" x14ac:dyDescent="0.3">
      <c r="B37" s="68" t="s">
        <v>42</v>
      </c>
      <c r="C37" s="69">
        <f>D33-B33</f>
        <v>28.880666666666659</v>
      </c>
      <c r="D37" s="67"/>
      <c r="E37" s="56"/>
      <c r="F37" s="70"/>
      <c r="G37" s="56"/>
      <c r="H37" s="56"/>
      <c r="I37" s="56"/>
      <c r="J37" s="70"/>
      <c r="K37" s="56"/>
      <c r="L37" s="57"/>
      <c r="M37" s="57"/>
    </row>
    <row r="38" spans="1:13" ht="16.5" customHeight="1" x14ac:dyDescent="0.3">
      <c r="B38" s="67"/>
      <c r="C38" s="71"/>
      <c r="D38" s="67"/>
      <c r="E38" s="56"/>
      <c r="F38" s="72"/>
      <c r="G38" s="73"/>
      <c r="H38" s="73"/>
      <c r="I38" s="73"/>
      <c r="J38" s="72"/>
      <c r="K38" s="56"/>
      <c r="L38" s="57"/>
      <c r="M38" s="57"/>
    </row>
    <row r="39" spans="1:13" ht="32.25" customHeight="1" x14ac:dyDescent="0.3">
      <c r="B39" s="74" t="s">
        <v>43</v>
      </c>
      <c r="C39" s="75">
        <f>C37/C35</f>
        <v>1.1570934440897982</v>
      </c>
      <c r="D39" s="67"/>
      <c r="E39" s="76"/>
      <c r="F39" s="77"/>
      <c r="G39" s="73"/>
      <c r="H39" s="73"/>
      <c r="I39" s="78"/>
      <c r="J39" s="77"/>
      <c r="K39" s="56"/>
      <c r="L39" s="57"/>
      <c r="M39" s="57"/>
    </row>
    <row r="40" spans="1:13" ht="14.25" customHeight="1" x14ac:dyDescent="0.3">
      <c r="A40" s="79"/>
      <c r="B40" s="80"/>
      <c r="C40" s="81"/>
      <c r="D40" s="82"/>
      <c r="E40" s="81"/>
      <c r="G40" s="83"/>
      <c r="H40" s="83"/>
      <c r="I40" s="84"/>
      <c r="J40" s="85"/>
    </row>
    <row r="41" spans="1:13" ht="16.5" customHeight="1" x14ac:dyDescent="0.3">
      <c r="A41" s="52"/>
      <c r="B41" s="86" t="s">
        <v>24</v>
      </c>
      <c r="C41" s="86"/>
      <c r="D41" s="87" t="s">
        <v>25</v>
      </c>
      <c r="E41" s="88"/>
      <c r="F41" s="87" t="s">
        <v>26</v>
      </c>
      <c r="G41" s="83"/>
      <c r="H41" s="83"/>
      <c r="I41" s="84"/>
      <c r="J41" s="85"/>
    </row>
    <row r="42" spans="1:13" ht="59.25" customHeight="1" x14ac:dyDescent="0.3">
      <c r="A42" s="89" t="s">
        <v>27</v>
      </c>
      <c r="B42" s="90" t="s">
        <v>120</v>
      </c>
      <c r="C42" s="91"/>
      <c r="D42" s="90"/>
      <c r="E42" s="92"/>
      <c r="F42" s="93"/>
      <c r="G42" s="83"/>
      <c r="H42" s="83"/>
      <c r="I42" s="84"/>
      <c r="J42" s="85"/>
    </row>
    <row r="43" spans="1:13" ht="59.25" customHeight="1" x14ac:dyDescent="0.3">
      <c r="A43" s="89" t="s">
        <v>28</v>
      </c>
      <c r="B43" s="94"/>
      <c r="C43" s="95"/>
      <c r="D43" s="94"/>
      <c r="E43" s="92"/>
      <c r="F43" s="96"/>
      <c r="G43" s="97"/>
      <c r="H43" s="97"/>
      <c r="I43" s="98"/>
    </row>
    <row r="44" spans="1:13" ht="13.5" customHeight="1" x14ac:dyDescent="0.3">
      <c r="A44" s="97"/>
      <c r="B44" s="97"/>
      <c r="C44" s="97"/>
      <c r="D44" s="98"/>
      <c r="F44" s="97"/>
      <c r="G44" s="97"/>
      <c r="H44" s="97"/>
      <c r="I44" s="98"/>
    </row>
    <row r="45" spans="1:13" ht="13.5" customHeight="1" x14ac:dyDescent="0.3">
      <c r="A45" s="97"/>
      <c r="B45" s="97"/>
      <c r="C45" s="97"/>
      <c r="D45" s="98"/>
      <c r="F45" s="97"/>
      <c r="G45" s="97"/>
      <c r="H45" s="97"/>
      <c r="I45" s="98"/>
    </row>
    <row r="47" spans="1:13" ht="13.5" customHeight="1" x14ac:dyDescent="0.3">
      <c r="A47" s="99"/>
      <c r="B47" s="99"/>
      <c r="C47" s="99"/>
      <c r="F47" s="99"/>
      <c r="G47" s="99"/>
      <c r="H47" s="99"/>
    </row>
    <row r="48" spans="1:13" ht="13.5" customHeight="1" x14ac:dyDescent="0.3">
      <c r="A48" s="100"/>
      <c r="B48" s="100"/>
      <c r="C48" s="100"/>
      <c r="F48" s="100"/>
      <c r="G48" s="100"/>
      <c r="H48" s="100"/>
    </row>
    <row r="49" spans="1:8" x14ac:dyDescent="0.3">
      <c r="B49" s="101"/>
      <c r="C49" s="101"/>
      <c r="G49" s="101"/>
      <c r="H49" s="101"/>
    </row>
    <row r="50" spans="1:8" x14ac:dyDescent="0.3">
      <c r="A50" s="102"/>
      <c r="F50" s="102"/>
    </row>
    <row r="51" spans="1:8" x14ac:dyDescent="0.3">
      <c r="C51" s="103"/>
    </row>
    <row r="52" spans="1:8" x14ac:dyDescent="0.3">
      <c r="C52" s="103"/>
    </row>
    <row r="57" spans="1:8" ht="13.5" customHeight="1" x14ac:dyDescent="0.3">
      <c r="C57" s="97"/>
    </row>
    <row r="250" spans="1:1" x14ac:dyDescent="0.3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82" zoomScale="55" zoomScaleNormal="75" workbookViewId="0">
      <selection activeCell="F106" sqref="F106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67" t="s">
        <v>29</v>
      </c>
      <c r="B1" s="267"/>
      <c r="C1" s="267"/>
      <c r="D1" s="267"/>
      <c r="E1" s="267"/>
      <c r="F1" s="267"/>
      <c r="G1" s="267"/>
      <c r="H1" s="267"/>
    </row>
    <row r="2" spans="1:8" x14ac:dyDescent="0.25">
      <c r="A2" s="267"/>
      <c r="B2" s="267"/>
      <c r="C2" s="267"/>
      <c r="D2" s="267"/>
      <c r="E2" s="267"/>
      <c r="F2" s="267"/>
      <c r="G2" s="267"/>
      <c r="H2" s="267"/>
    </row>
    <row r="3" spans="1:8" x14ac:dyDescent="0.25">
      <c r="A3" s="267"/>
      <c r="B3" s="267"/>
      <c r="C3" s="267"/>
      <c r="D3" s="267"/>
      <c r="E3" s="267"/>
      <c r="F3" s="267"/>
      <c r="G3" s="267"/>
      <c r="H3" s="267"/>
    </row>
    <row r="4" spans="1:8" x14ac:dyDescent="0.25">
      <c r="A4" s="267"/>
      <c r="B4" s="267"/>
      <c r="C4" s="267"/>
      <c r="D4" s="267"/>
      <c r="E4" s="267"/>
      <c r="F4" s="267"/>
      <c r="G4" s="267"/>
      <c r="H4" s="267"/>
    </row>
    <row r="5" spans="1:8" x14ac:dyDescent="0.25">
      <c r="A5" s="267"/>
      <c r="B5" s="267"/>
      <c r="C5" s="267"/>
      <c r="D5" s="267"/>
      <c r="E5" s="267"/>
      <c r="F5" s="267"/>
      <c r="G5" s="267"/>
      <c r="H5" s="267"/>
    </row>
    <row r="6" spans="1:8" x14ac:dyDescent="0.25">
      <c r="A6" s="267"/>
      <c r="B6" s="267"/>
      <c r="C6" s="267"/>
      <c r="D6" s="267"/>
      <c r="E6" s="267"/>
      <c r="F6" s="267"/>
      <c r="G6" s="267"/>
      <c r="H6" s="267"/>
    </row>
    <row r="7" spans="1:8" x14ac:dyDescent="0.25">
      <c r="A7" s="267"/>
      <c r="B7" s="267"/>
      <c r="C7" s="267"/>
      <c r="D7" s="267"/>
      <c r="E7" s="267"/>
      <c r="F7" s="267"/>
      <c r="G7" s="267"/>
      <c r="H7" s="267"/>
    </row>
    <row r="8" spans="1:8" x14ac:dyDescent="0.25">
      <c r="A8" s="268" t="s">
        <v>30</v>
      </c>
      <c r="B8" s="268"/>
      <c r="C8" s="268"/>
      <c r="D8" s="268"/>
      <c r="E8" s="268"/>
      <c r="F8" s="268"/>
      <c r="G8" s="268"/>
      <c r="H8" s="268"/>
    </row>
    <row r="9" spans="1:8" x14ac:dyDescent="0.25">
      <c r="A9" s="268"/>
      <c r="B9" s="268"/>
      <c r="C9" s="268"/>
      <c r="D9" s="268"/>
      <c r="E9" s="268"/>
      <c r="F9" s="268"/>
      <c r="G9" s="268"/>
      <c r="H9" s="268"/>
    </row>
    <row r="10" spans="1:8" x14ac:dyDescent="0.25">
      <c r="A10" s="268"/>
      <c r="B10" s="268"/>
      <c r="C10" s="268"/>
      <c r="D10" s="268"/>
      <c r="E10" s="268"/>
      <c r="F10" s="268"/>
      <c r="G10" s="268"/>
      <c r="H10" s="268"/>
    </row>
    <row r="11" spans="1:8" x14ac:dyDescent="0.25">
      <c r="A11" s="268"/>
      <c r="B11" s="268"/>
      <c r="C11" s="268"/>
      <c r="D11" s="268"/>
      <c r="E11" s="268"/>
      <c r="F11" s="268"/>
      <c r="G11" s="268"/>
      <c r="H11" s="268"/>
    </row>
    <row r="12" spans="1:8" x14ac:dyDescent="0.25">
      <c r="A12" s="268"/>
      <c r="B12" s="268"/>
      <c r="C12" s="268"/>
      <c r="D12" s="268"/>
      <c r="E12" s="268"/>
      <c r="F12" s="268"/>
      <c r="G12" s="268"/>
      <c r="H12" s="268"/>
    </row>
    <row r="13" spans="1:8" x14ac:dyDescent="0.25">
      <c r="A13" s="268"/>
      <c r="B13" s="268"/>
      <c r="C13" s="268"/>
      <c r="D13" s="268"/>
      <c r="E13" s="268"/>
      <c r="F13" s="268"/>
      <c r="G13" s="268"/>
      <c r="H13" s="268"/>
    </row>
    <row r="14" spans="1:8" ht="19.5" customHeight="1" x14ac:dyDescent="0.25">
      <c r="A14" s="268"/>
      <c r="B14" s="268"/>
      <c r="C14" s="268"/>
      <c r="D14" s="268"/>
      <c r="E14" s="268"/>
      <c r="F14" s="268"/>
      <c r="G14" s="268"/>
      <c r="H14" s="268"/>
    </row>
    <row r="15" spans="1:8" ht="19.5" customHeight="1" x14ac:dyDescent="0.25"/>
    <row r="16" spans="1:8" ht="19.5" customHeight="1" x14ac:dyDescent="0.3">
      <c r="A16" s="261" t="s">
        <v>31</v>
      </c>
      <c r="B16" s="262"/>
      <c r="C16" s="262"/>
      <c r="D16" s="262"/>
      <c r="E16" s="262"/>
      <c r="F16" s="262"/>
      <c r="G16" s="262"/>
      <c r="H16" s="263"/>
    </row>
    <row r="17" spans="1:12" ht="20.25" customHeight="1" x14ac:dyDescent="0.25">
      <c r="A17" s="269" t="s">
        <v>44</v>
      </c>
      <c r="B17" s="269"/>
      <c r="C17" s="269"/>
      <c r="D17" s="269"/>
      <c r="E17" s="269"/>
      <c r="F17" s="269"/>
      <c r="G17" s="269"/>
      <c r="H17" s="269"/>
    </row>
    <row r="18" spans="1:12" ht="26.25" customHeight="1" x14ac:dyDescent="0.4">
      <c r="A18" s="110" t="s">
        <v>33</v>
      </c>
      <c r="B18" s="270" t="s">
        <v>113</v>
      </c>
      <c r="C18" s="271"/>
    </row>
    <row r="19" spans="1:12" ht="26.25" customHeight="1" x14ac:dyDescent="0.4">
      <c r="A19" s="110" t="s">
        <v>34</v>
      </c>
      <c r="B19" s="251" t="s">
        <v>7</v>
      </c>
      <c r="C19" s="226"/>
    </row>
    <row r="20" spans="1:12" ht="26.25" customHeight="1" x14ac:dyDescent="0.4">
      <c r="A20" s="110" t="s">
        <v>35</v>
      </c>
      <c r="B20" s="255" t="s">
        <v>114</v>
      </c>
      <c r="C20" s="207"/>
    </row>
    <row r="21" spans="1:12" ht="26.25" customHeight="1" x14ac:dyDescent="0.4">
      <c r="A21" s="110" t="s">
        <v>36</v>
      </c>
      <c r="B21" s="297" t="s">
        <v>115</v>
      </c>
      <c r="C21" s="298"/>
      <c r="D21" s="298"/>
      <c r="E21" s="298"/>
      <c r="F21" s="298"/>
      <c r="G21" s="298"/>
      <c r="H21" s="298"/>
      <c r="I21" s="228"/>
    </row>
    <row r="22" spans="1:12" ht="26.25" customHeight="1" x14ac:dyDescent="0.4">
      <c r="A22" s="110" t="s">
        <v>37</v>
      </c>
      <c r="B22" s="252" t="s">
        <v>116</v>
      </c>
      <c r="C22" s="207"/>
      <c r="D22" s="207"/>
      <c r="E22" s="207"/>
      <c r="F22" s="207"/>
      <c r="G22" s="207"/>
      <c r="H22" s="207"/>
      <c r="I22" s="207"/>
    </row>
    <row r="23" spans="1:12" ht="26.25" customHeight="1" x14ac:dyDescent="0.4">
      <c r="A23" s="110" t="s">
        <v>38</v>
      </c>
      <c r="B23" s="257" t="s">
        <v>117</v>
      </c>
      <c r="C23" s="207"/>
      <c r="D23" s="207"/>
      <c r="E23" s="207"/>
      <c r="F23" s="207"/>
      <c r="G23" s="207"/>
      <c r="H23" s="207"/>
      <c r="I23" s="207"/>
    </row>
    <row r="24" spans="1:12" ht="18.75" x14ac:dyDescent="0.3">
      <c r="A24" s="110"/>
      <c r="B24" s="112"/>
    </row>
    <row r="25" spans="1:12" ht="18.75" x14ac:dyDescent="0.3">
      <c r="B25" s="112"/>
    </row>
    <row r="26" spans="1:12" ht="18.75" x14ac:dyDescent="0.3">
      <c r="A26" s="108" t="s">
        <v>1</v>
      </c>
      <c r="B26" s="272" t="s">
        <v>45</v>
      </c>
      <c r="C26" s="272"/>
      <c r="D26" s="272"/>
      <c r="E26" s="272"/>
      <c r="F26" s="272"/>
      <c r="G26" s="272"/>
      <c r="H26" s="272"/>
    </row>
    <row r="27" spans="1:12" ht="26.25" customHeight="1" x14ac:dyDescent="0.4">
      <c r="A27" s="113" t="s">
        <v>4</v>
      </c>
      <c r="B27" s="270" t="s">
        <v>112</v>
      </c>
      <c r="C27" s="271"/>
    </row>
    <row r="28" spans="1:12" ht="26.25" customHeight="1" x14ac:dyDescent="0.4">
      <c r="A28" s="115" t="s">
        <v>46</v>
      </c>
      <c r="B28" s="297" t="s">
        <v>111</v>
      </c>
      <c r="C28" s="298"/>
    </row>
    <row r="29" spans="1:12" ht="27" customHeight="1" x14ac:dyDescent="0.4">
      <c r="A29" s="115" t="s">
        <v>6</v>
      </c>
      <c r="B29" s="206">
        <v>96.5</v>
      </c>
    </row>
    <row r="30" spans="1:12" s="8" customFormat="1" ht="27" customHeight="1" x14ac:dyDescent="0.4">
      <c r="A30" s="115" t="s">
        <v>47</v>
      </c>
      <c r="B30" s="205">
        <v>0</v>
      </c>
      <c r="C30" s="273" t="s">
        <v>48</v>
      </c>
      <c r="D30" s="274"/>
      <c r="E30" s="274"/>
      <c r="F30" s="274"/>
      <c r="G30" s="274"/>
      <c r="H30" s="275"/>
      <c r="I30" s="117"/>
      <c r="J30" s="117"/>
      <c r="K30" s="117"/>
      <c r="L30" s="117"/>
    </row>
    <row r="31" spans="1:12" s="8" customFormat="1" ht="19.5" customHeight="1" x14ac:dyDescent="0.3">
      <c r="A31" s="115" t="s">
        <v>49</v>
      </c>
      <c r="B31" s="114">
        <f>B29-B30</f>
        <v>96.5</v>
      </c>
      <c r="C31" s="118"/>
      <c r="D31" s="118"/>
      <c r="E31" s="118"/>
      <c r="F31" s="118"/>
      <c r="G31" s="118"/>
      <c r="H31" s="119"/>
      <c r="I31" s="117"/>
      <c r="J31" s="117"/>
      <c r="K31" s="117"/>
      <c r="L31" s="117"/>
    </row>
    <row r="32" spans="1:12" s="8" customFormat="1" ht="27" customHeight="1" x14ac:dyDescent="0.4">
      <c r="A32" s="115" t="s">
        <v>50</v>
      </c>
      <c r="B32" s="233">
        <v>424.38600000000002</v>
      </c>
      <c r="C32" s="276" t="s">
        <v>51</v>
      </c>
      <c r="D32" s="277"/>
      <c r="E32" s="277"/>
      <c r="F32" s="277"/>
      <c r="G32" s="277"/>
      <c r="H32" s="278"/>
      <c r="I32" s="117"/>
      <c r="J32" s="117"/>
      <c r="K32" s="117"/>
      <c r="L32" s="117"/>
    </row>
    <row r="33" spans="1:14" s="8" customFormat="1" ht="27" customHeight="1" x14ac:dyDescent="0.4">
      <c r="A33" s="115" t="s">
        <v>52</v>
      </c>
      <c r="B33" s="233">
        <v>510.47</v>
      </c>
      <c r="C33" s="276" t="s">
        <v>53</v>
      </c>
      <c r="D33" s="277"/>
      <c r="E33" s="277"/>
      <c r="F33" s="277"/>
      <c r="G33" s="277"/>
      <c r="H33" s="278"/>
      <c r="I33" s="117"/>
      <c r="J33" s="117"/>
      <c r="K33" s="117"/>
      <c r="L33" s="121"/>
      <c r="M33" s="121"/>
      <c r="N33" s="122"/>
    </row>
    <row r="34" spans="1:14" s="8" customFormat="1" ht="17.25" customHeight="1" x14ac:dyDescent="0.3">
      <c r="A34" s="115"/>
      <c r="B34" s="120"/>
      <c r="C34" s="123"/>
      <c r="D34" s="123"/>
      <c r="E34" s="123"/>
      <c r="F34" s="123"/>
      <c r="G34" s="123"/>
      <c r="H34" s="123"/>
      <c r="I34" s="117"/>
      <c r="J34" s="117"/>
      <c r="K34" s="117"/>
      <c r="L34" s="121"/>
      <c r="M34" s="121"/>
      <c r="N34" s="122"/>
    </row>
    <row r="35" spans="1:14" s="8" customFormat="1" ht="18.75" x14ac:dyDescent="0.3">
      <c r="A35" s="115" t="s">
        <v>54</v>
      </c>
      <c r="B35" s="124">
        <f>B32/B33</f>
        <v>0.83136325347229023</v>
      </c>
      <c r="C35" s="109" t="s">
        <v>55</v>
      </c>
      <c r="D35" s="109"/>
      <c r="E35" s="109"/>
      <c r="F35" s="109"/>
      <c r="G35" s="109"/>
      <c r="H35" s="109"/>
      <c r="I35" s="117"/>
      <c r="J35" s="117"/>
      <c r="K35" s="117"/>
      <c r="L35" s="121"/>
      <c r="M35" s="121"/>
      <c r="N35" s="122"/>
    </row>
    <row r="36" spans="1:14" s="8" customFormat="1" ht="19.5" customHeight="1" x14ac:dyDescent="0.3">
      <c r="A36" s="115"/>
      <c r="B36" s="114"/>
      <c r="H36" s="109"/>
      <c r="I36" s="117"/>
      <c r="J36" s="117"/>
      <c r="K36" s="117"/>
      <c r="L36" s="121"/>
      <c r="M36" s="121"/>
      <c r="N36" s="122"/>
    </row>
    <row r="37" spans="1:14" s="8" customFormat="1" ht="27" customHeight="1" x14ac:dyDescent="0.4">
      <c r="A37" s="125" t="s">
        <v>56</v>
      </c>
      <c r="B37" s="208">
        <v>100</v>
      </c>
      <c r="C37" s="109"/>
      <c r="D37" s="279" t="s">
        <v>57</v>
      </c>
      <c r="E37" s="280"/>
      <c r="F37" s="170" t="s">
        <v>58</v>
      </c>
      <c r="G37" s="171"/>
      <c r="J37" s="117"/>
      <c r="K37" s="117"/>
      <c r="L37" s="121"/>
      <c r="M37" s="121"/>
      <c r="N37" s="122"/>
    </row>
    <row r="38" spans="1:14" s="8" customFormat="1" ht="26.25" customHeight="1" x14ac:dyDescent="0.4">
      <c r="A38" s="126" t="s">
        <v>59</v>
      </c>
      <c r="B38" s="209">
        <v>1</v>
      </c>
      <c r="C38" s="128" t="s">
        <v>60</v>
      </c>
      <c r="D38" s="129" t="s">
        <v>61</v>
      </c>
      <c r="E38" s="160" t="s">
        <v>62</v>
      </c>
      <c r="F38" s="129" t="s">
        <v>61</v>
      </c>
      <c r="G38" s="130" t="s">
        <v>62</v>
      </c>
      <c r="J38" s="117"/>
      <c r="K38" s="117"/>
      <c r="L38" s="121"/>
      <c r="M38" s="121"/>
      <c r="N38" s="122"/>
    </row>
    <row r="39" spans="1:14" s="8" customFormat="1" ht="26.25" customHeight="1" x14ac:dyDescent="0.4">
      <c r="A39" s="126" t="s">
        <v>63</v>
      </c>
      <c r="B39" s="209">
        <v>1</v>
      </c>
      <c r="C39" s="131">
        <v>1</v>
      </c>
      <c r="D39" s="234">
        <f>25975347+27020764</f>
        <v>52996111</v>
      </c>
      <c r="E39" s="235">
        <f>IF(ISBLANK(D39),"-",$D$49/$D$46*D39)</f>
        <v>62318931.406371608</v>
      </c>
      <c r="F39" s="234">
        <f>26164695+27108826</f>
        <v>53273521</v>
      </c>
      <c r="G39" s="236">
        <f>IF(ISBLANK(F39),"-",$D$49/$F$46*F39)</f>
        <v>62966906.890853144</v>
      </c>
      <c r="J39" s="117"/>
      <c r="K39" s="117"/>
      <c r="L39" s="121"/>
      <c r="M39" s="121"/>
      <c r="N39" s="122"/>
    </row>
    <row r="40" spans="1:14" s="8" customFormat="1" ht="26.25" customHeight="1" x14ac:dyDescent="0.4">
      <c r="A40" s="126" t="s">
        <v>64</v>
      </c>
      <c r="B40" s="209">
        <v>1</v>
      </c>
      <c r="C40" s="127">
        <v>2</v>
      </c>
      <c r="D40" s="237">
        <f>25917592+26860123</f>
        <v>52777715</v>
      </c>
      <c r="E40" s="235">
        <f t="shared" ref="E40:E41" si="0">IF(ISBLANK(D40),"-",$D$49/$D$46*D40)</f>
        <v>62062116.234718241</v>
      </c>
      <c r="F40" s="237">
        <f>26024100+26828575</f>
        <v>52852675</v>
      </c>
      <c r="G40" s="236">
        <f t="shared" ref="G40:G41" si="1">IF(ISBLANK(F40),"-",$D$49/$F$46*F40)</f>
        <v>62469485.838143148</v>
      </c>
      <c r="J40" s="117"/>
      <c r="K40" s="117"/>
      <c r="L40" s="121"/>
      <c r="M40" s="121"/>
      <c r="N40" s="122"/>
    </row>
    <row r="41" spans="1:14" ht="26.25" customHeight="1" x14ac:dyDescent="0.4">
      <c r="A41" s="126" t="s">
        <v>65</v>
      </c>
      <c r="B41" s="209">
        <v>1</v>
      </c>
      <c r="C41" s="127">
        <v>3</v>
      </c>
      <c r="D41" s="237">
        <f>25828556+26945910</f>
        <v>52774466</v>
      </c>
      <c r="E41" s="235">
        <f t="shared" si="0"/>
        <v>62058295.686298393</v>
      </c>
      <c r="F41" s="237">
        <f>25920297+27050035</f>
        <v>52970332</v>
      </c>
      <c r="G41" s="236">
        <f t="shared" si="1"/>
        <v>62608551.122828521</v>
      </c>
      <c r="L41" s="121"/>
      <c r="M41" s="121"/>
      <c r="N41" s="132"/>
    </row>
    <row r="42" spans="1:14" ht="26.25" customHeight="1" x14ac:dyDescent="0.4">
      <c r="A42" s="126" t="s">
        <v>66</v>
      </c>
      <c r="B42" s="209">
        <v>1</v>
      </c>
      <c r="C42" s="133">
        <v>4</v>
      </c>
      <c r="D42" s="238"/>
      <c r="E42" s="239" t="str">
        <f>IF(ISBLANK(D42),"-",$D$48/$D$45*D42)</f>
        <v>-</v>
      </c>
      <c r="F42" s="238"/>
      <c r="G42" s="240" t="str">
        <f>IF(ISBLANK(F42),"-",$D$48/$F$45*F42)</f>
        <v>-</v>
      </c>
      <c r="L42" s="121"/>
      <c r="M42" s="121"/>
      <c r="N42" s="132"/>
    </row>
    <row r="43" spans="1:14" ht="27" customHeight="1" x14ac:dyDescent="0.4">
      <c r="A43" s="126" t="s">
        <v>67</v>
      </c>
      <c r="B43" s="209">
        <v>1</v>
      </c>
      <c r="C43" s="134" t="s">
        <v>68</v>
      </c>
      <c r="D43" s="243">
        <f>AVERAGE(D39:D42)</f>
        <v>52849430.666666664</v>
      </c>
      <c r="E43" s="244">
        <f>AVERAGE(E39:E42)</f>
        <v>62146447.775796086</v>
      </c>
      <c r="F43" s="245">
        <f>AVERAGE(F39:F42)</f>
        <v>53032176</v>
      </c>
      <c r="G43" s="246">
        <f>AVERAGE(G39:G42)</f>
        <v>62681647.950608276</v>
      </c>
    </row>
    <row r="44" spans="1:14" ht="26.25" customHeight="1" x14ac:dyDescent="0.4">
      <c r="A44" s="126" t="s">
        <v>69</v>
      </c>
      <c r="B44" s="206">
        <v>1</v>
      </c>
      <c r="C44" s="192" t="s">
        <v>70</v>
      </c>
      <c r="D44" s="247">
        <v>25.44</v>
      </c>
      <c r="E44" s="248"/>
      <c r="F44" s="249">
        <v>25.31</v>
      </c>
      <c r="G44" s="250"/>
    </row>
    <row r="45" spans="1:14" ht="26.25" customHeight="1" x14ac:dyDescent="0.4">
      <c r="A45" s="126" t="s">
        <v>71</v>
      </c>
      <c r="B45" s="206">
        <v>1</v>
      </c>
      <c r="C45" s="193" t="s">
        <v>72</v>
      </c>
      <c r="D45" s="194">
        <f>D44*$B$35</f>
        <v>21.149881168335064</v>
      </c>
      <c r="E45" s="138"/>
      <c r="F45" s="137">
        <f>F44*$B$35</f>
        <v>21.041803945383666</v>
      </c>
      <c r="G45" s="140"/>
    </row>
    <row r="46" spans="1:14" ht="19.5" customHeight="1" x14ac:dyDescent="0.3">
      <c r="A46" s="126" t="s">
        <v>73</v>
      </c>
      <c r="B46" s="191">
        <f>(B45/B44)*(B43/B42)*(B41/B40)*(B39/B38)*B37</f>
        <v>100</v>
      </c>
      <c r="C46" s="193" t="s">
        <v>74</v>
      </c>
      <c r="D46" s="195">
        <f>D45*$B$31/100</f>
        <v>20.409635327443336</v>
      </c>
      <c r="E46" s="140"/>
      <c r="F46" s="139">
        <f>F45*$B$31/100</f>
        <v>20.305340807295238</v>
      </c>
      <c r="G46" s="140"/>
    </row>
    <row r="47" spans="1:14" ht="19.5" customHeight="1" x14ac:dyDescent="0.3">
      <c r="A47" s="281" t="s">
        <v>75</v>
      </c>
      <c r="B47" s="295"/>
      <c r="C47" s="193" t="s">
        <v>76</v>
      </c>
      <c r="D47" s="194">
        <f>D46/$B$46</f>
        <v>0.20409635327443337</v>
      </c>
      <c r="E47" s="140"/>
      <c r="F47" s="141">
        <f>F46/$B$46</f>
        <v>0.20305340807295238</v>
      </c>
      <c r="G47" s="140"/>
    </row>
    <row r="48" spans="1:14" ht="27" customHeight="1" x14ac:dyDescent="0.4">
      <c r="A48" s="283"/>
      <c r="B48" s="296"/>
      <c r="C48" s="193" t="s">
        <v>77</v>
      </c>
      <c r="D48" s="214">
        <v>0.24</v>
      </c>
      <c r="E48" s="172"/>
      <c r="F48" s="172"/>
      <c r="G48" s="172"/>
    </row>
    <row r="49" spans="1:12" ht="18.75" x14ac:dyDescent="0.3">
      <c r="C49" s="193" t="s">
        <v>78</v>
      </c>
      <c r="D49" s="195">
        <f>D48*$B$46</f>
        <v>24</v>
      </c>
      <c r="E49" s="140"/>
      <c r="F49" s="140"/>
      <c r="G49" s="140"/>
    </row>
    <row r="50" spans="1:12" ht="19.5" customHeight="1" x14ac:dyDescent="0.3">
      <c r="C50" s="196" t="s">
        <v>79</v>
      </c>
      <c r="D50" s="197">
        <f>D49/B35</f>
        <v>28.868247303162686</v>
      </c>
      <c r="E50" s="158"/>
      <c r="F50" s="158"/>
      <c r="G50" s="158"/>
    </row>
    <row r="51" spans="1:12" ht="18.75" x14ac:dyDescent="0.3">
      <c r="C51" s="198" t="s">
        <v>80</v>
      </c>
      <c r="D51" s="199">
        <f>AVERAGE(E39:E42,G39:G42)</f>
        <v>62414047.863202184</v>
      </c>
      <c r="E51" s="157"/>
      <c r="F51" s="157"/>
      <c r="G51" s="157"/>
    </row>
    <row r="52" spans="1:12" ht="18.75" x14ac:dyDescent="0.3">
      <c r="C52" s="142" t="s">
        <v>81</v>
      </c>
      <c r="D52" s="145">
        <f>STDEV(E39:E42,G39:G42)/D51</f>
        <v>5.5779722179003571E-3</v>
      </c>
      <c r="E52" s="138"/>
      <c r="F52" s="138"/>
      <c r="G52" s="138"/>
    </row>
    <row r="53" spans="1:12" ht="19.5" customHeight="1" x14ac:dyDescent="0.3">
      <c r="C53" s="143" t="s">
        <v>19</v>
      </c>
      <c r="D53" s="146">
        <f>COUNT(E39:E42,G39:G42)</f>
        <v>6</v>
      </c>
      <c r="E53" s="138"/>
      <c r="F53" s="138"/>
      <c r="G53" s="138"/>
    </row>
    <row r="55" spans="1:12" ht="18.75" x14ac:dyDescent="0.3">
      <c r="A55" s="108" t="s">
        <v>1</v>
      </c>
      <c r="B55" s="147" t="s">
        <v>82</v>
      </c>
    </row>
    <row r="56" spans="1:12" ht="18.75" x14ac:dyDescent="0.3">
      <c r="A56" s="109" t="s">
        <v>83</v>
      </c>
      <c r="B56" s="111" t="str">
        <f>B21</f>
        <v>Each 5ml contains Cefuroxime 125mg</v>
      </c>
    </row>
    <row r="57" spans="1:12" ht="26.25" customHeight="1" x14ac:dyDescent="0.4">
      <c r="A57" s="201" t="s">
        <v>84</v>
      </c>
      <c r="B57" s="215">
        <v>5</v>
      </c>
      <c r="C57" s="182" t="s">
        <v>85</v>
      </c>
      <c r="D57" s="216">
        <v>125</v>
      </c>
      <c r="E57" s="256" t="str">
        <f>B20</f>
        <v>CEFUROXIME</v>
      </c>
    </row>
    <row r="58" spans="1:12" ht="18.75" x14ac:dyDescent="0.3">
      <c r="A58" s="111" t="s">
        <v>86</v>
      </c>
      <c r="B58" s="225">
        <f>'Relative Density'!C39</f>
        <v>1.1570934440897982</v>
      </c>
    </row>
    <row r="59" spans="1:12" s="73" customFormat="1" ht="18.75" x14ac:dyDescent="0.3">
      <c r="A59" s="180" t="s">
        <v>87</v>
      </c>
      <c r="B59" s="181">
        <f>B57</f>
        <v>5</v>
      </c>
      <c r="C59" s="182" t="s">
        <v>88</v>
      </c>
      <c r="D59" s="202">
        <f>B58*B57</f>
        <v>5.7854672204489912</v>
      </c>
    </row>
    <row r="60" spans="1:12" ht="19.5" customHeight="1" x14ac:dyDescent="0.25"/>
    <row r="61" spans="1:12" s="8" customFormat="1" ht="27" customHeight="1" x14ac:dyDescent="0.4">
      <c r="A61" s="125" t="s">
        <v>89</v>
      </c>
      <c r="B61" s="208">
        <v>100</v>
      </c>
      <c r="C61" s="109"/>
      <c r="D61" s="149" t="s">
        <v>90</v>
      </c>
      <c r="E61" s="148" t="s">
        <v>91</v>
      </c>
      <c r="F61" s="148" t="s">
        <v>61</v>
      </c>
      <c r="G61" s="148" t="s">
        <v>92</v>
      </c>
      <c r="H61" s="128" t="s">
        <v>93</v>
      </c>
      <c r="L61" s="117"/>
    </row>
    <row r="62" spans="1:12" s="8" customFormat="1" ht="24" customHeight="1" x14ac:dyDescent="0.4">
      <c r="A62" s="126" t="s">
        <v>94</v>
      </c>
      <c r="B62" s="209">
        <v>4</v>
      </c>
      <c r="C62" s="291" t="s">
        <v>95</v>
      </c>
      <c r="D62" s="288">
        <v>11.27</v>
      </c>
      <c r="E62" s="175">
        <v>1</v>
      </c>
      <c r="F62" s="217">
        <f>26045367+26872480</f>
        <v>52917847</v>
      </c>
      <c r="G62" s="187">
        <f>IF(ISBLANK(F62),"-",(F62/$D$51*$D$48*$B$70)*$D$59/$D$62)</f>
        <v>130.57366449952664</v>
      </c>
      <c r="H62" s="184">
        <f t="shared" ref="H62:H73" si="2">IF(ISBLANK(F62),"-",G62/$D$57)</f>
        <v>1.0445893159962132</v>
      </c>
      <c r="L62" s="117"/>
    </row>
    <row r="63" spans="1:12" s="8" customFormat="1" ht="26.25" customHeight="1" x14ac:dyDescent="0.4">
      <c r="A63" s="126" t="s">
        <v>96</v>
      </c>
      <c r="B63" s="209">
        <v>50</v>
      </c>
      <c r="C63" s="292"/>
      <c r="D63" s="289"/>
      <c r="E63" s="176">
        <v>2</v>
      </c>
      <c r="F63" s="211">
        <f>26180554+27118786</f>
        <v>53299340</v>
      </c>
      <c r="G63" s="188">
        <f>IF(ISBLANK(F63),"-",(F63/$D$51*$D$48*$B$70)*$D$59/$D$62)</f>
        <v>131.5149903813396</v>
      </c>
      <c r="H63" s="185">
        <f t="shared" si="2"/>
        <v>1.0521199230507168</v>
      </c>
      <c r="L63" s="117"/>
    </row>
    <row r="64" spans="1:12" s="8" customFormat="1" ht="24.75" customHeight="1" x14ac:dyDescent="0.4">
      <c r="A64" s="126" t="s">
        <v>97</v>
      </c>
      <c r="B64" s="209">
        <v>1</v>
      </c>
      <c r="C64" s="292"/>
      <c r="D64" s="289"/>
      <c r="E64" s="176">
        <v>3</v>
      </c>
      <c r="F64" s="211">
        <f>26248894+27087338</f>
        <v>53336232</v>
      </c>
      <c r="G64" s="188">
        <f>IF(ISBLANK(F64),"-",(F64/$D$51*$D$48*$B$70)*$D$59/$D$62)</f>
        <v>131.60602060845216</v>
      </c>
      <c r="H64" s="185">
        <f t="shared" si="2"/>
        <v>1.0528481648676173</v>
      </c>
      <c r="L64" s="117"/>
    </row>
    <row r="65" spans="1:11" ht="27" customHeight="1" x14ac:dyDescent="0.4">
      <c r="A65" s="126" t="s">
        <v>98</v>
      </c>
      <c r="B65" s="209">
        <v>1</v>
      </c>
      <c r="C65" s="293"/>
      <c r="D65" s="290"/>
      <c r="E65" s="177">
        <v>4</v>
      </c>
      <c r="F65" s="218"/>
      <c r="G65" s="188" t="str">
        <f>IF(ISBLANK(F65),"-",(F65/$D$51*$D$48*$B$70)*$D$59/$D$62)</f>
        <v>-</v>
      </c>
      <c r="H65" s="185" t="str">
        <f t="shared" si="2"/>
        <v>-</v>
      </c>
    </row>
    <row r="66" spans="1:11" ht="24.75" customHeight="1" x14ac:dyDescent="0.4">
      <c r="A66" s="126" t="s">
        <v>99</v>
      </c>
      <c r="B66" s="209">
        <v>1</v>
      </c>
      <c r="C66" s="291" t="s">
        <v>100</v>
      </c>
      <c r="D66" s="288">
        <v>11.0961</v>
      </c>
      <c r="E66" s="150">
        <v>1</v>
      </c>
      <c r="F66" s="211">
        <f>25346151+26109747</f>
        <v>51455898</v>
      </c>
      <c r="G66" s="187">
        <f>IF(ISBLANK(F66),"-",(F66/$D$51*$D$48*$B$70)*$D$59/$D$66)</f>
        <v>128.95617476828644</v>
      </c>
      <c r="H66" s="184">
        <f t="shared" si="2"/>
        <v>1.0316493981462915</v>
      </c>
    </row>
    <row r="67" spans="1:11" ht="23.25" customHeight="1" x14ac:dyDescent="0.4">
      <c r="A67" s="126" t="s">
        <v>101</v>
      </c>
      <c r="B67" s="209">
        <v>1</v>
      </c>
      <c r="C67" s="292"/>
      <c r="D67" s="289"/>
      <c r="E67" s="151">
        <v>2</v>
      </c>
      <c r="F67" s="211">
        <f>25298382+26163836</f>
        <v>51462218</v>
      </c>
      <c r="G67" s="188">
        <f>IF(ISBLANK(F67),"-",(F67/$D$51*$D$48*$B$70)*$D$59/$D$66)</f>
        <v>128.97201363333815</v>
      </c>
      <c r="H67" s="185">
        <f t="shared" si="2"/>
        <v>1.0317761090667052</v>
      </c>
    </row>
    <row r="68" spans="1:11" ht="24.75" customHeight="1" x14ac:dyDescent="0.4">
      <c r="A68" s="126" t="s">
        <v>102</v>
      </c>
      <c r="B68" s="209">
        <v>1</v>
      </c>
      <c r="C68" s="292"/>
      <c r="D68" s="289"/>
      <c r="E68" s="151">
        <v>3</v>
      </c>
      <c r="F68" s="211">
        <f>25302035+26096954</f>
        <v>51398989</v>
      </c>
      <c r="G68" s="188">
        <f>IF(ISBLANK(F68),"-",(F68/$D$51*$D$48*$B$70)*$D$59/$D$66)</f>
        <v>128.81355230448477</v>
      </c>
      <c r="H68" s="185">
        <f t="shared" si="2"/>
        <v>1.0305084184358781</v>
      </c>
    </row>
    <row r="69" spans="1:11" ht="27" customHeight="1" x14ac:dyDescent="0.4">
      <c r="A69" s="126" t="s">
        <v>103</v>
      </c>
      <c r="B69" s="209">
        <v>1</v>
      </c>
      <c r="C69" s="293"/>
      <c r="D69" s="290"/>
      <c r="E69" s="152">
        <v>4</v>
      </c>
      <c r="F69" s="218"/>
      <c r="G69" s="189" t="str">
        <f>IF(ISBLANK(F69),"-",(F69/$D$51*$D$48*$B$70)*$D$59/$D$66)</f>
        <v>-</v>
      </c>
      <c r="H69" s="186" t="str">
        <f t="shared" si="2"/>
        <v>-</v>
      </c>
    </row>
    <row r="70" spans="1:11" ht="23.25" customHeight="1" x14ac:dyDescent="0.4">
      <c r="A70" s="126" t="s">
        <v>104</v>
      </c>
      <c r="B70" s="190">
        <f>(B69/B68)*(B67/B66)*(B65/B64)*(B63/B62)*B61</f>
        <v>1250</v>
      </c>
      <c r="C70" s="291" t="s">
        <v>105</v>
      </c>
      <c r="D70" s="285">
        <v>10.8786</v>
      </c>
      <c r="E70" s="150">
        <v>1</v>
      </c>
      <c r="F70" s="217">
        <f>25355159+25919564</f>
        <v>51274723</v>
      </c>
      <c r="G70" s="187">
        <f>IF(ISBLANK(F70),"-",(F70/$D$51*$D$48*$B$70)*$D$59/$D$70)</f>
        <v>131.07131509795116</v>
      </c>
      <c r="H70" s="185">
        <f t="shared" si="2"/>
        <v>1.0485705207836093</v>
      </c>
    </row>
    <row r="71" spans="1:11" ht="22.5" customHeight="1" x14ac:dyDescent="0.4">
      <c r="A71" s="200" t="s">
        <v>106</v>
      </c>
      <c r="B71" s="219">
        <f>(D48*B70)/D57*D59</f>
        <v>13.885121329077579</v>
      </c>
      <c r="C71" s="292"/>
      <c r="D71" s="286"/>
      <c r="E71" s="151">
        <v>2</v>
      </c>
      <c r="F71" s="211">
        <f>25342055+26169600</f>
        <v>51511655</v>
      </c>
      <c r="G71" s="188">
        <f>IF(ISBLANK(F71),"-",(F71/$D$51*$D$48*$B$70)*$D$59/$D$70)</f>
        <v>131.67697392966807</v>
      </c>
      <c r="H71" s="185">
        <f t="shared" si="2"/>
        <v>1.0534157914373445</v>
      </c>
    </row>
    <row r="72" spans="1:11" ht="23.25" customHeight="1" x14ac:dyDescent="0.4">
      <c r="A72" s="281" t="s">
        <v>75</v>
      </c>
      <c r="B72" s="282"/>
      <c r="C72" s="292"/>
      <c r="D72" s="286"/>
      <c r="E72" s="151">
        <v>3</v>
      </c>
      <c r="F72" s="211">
        <f>25185554+25961211</f>
        <v>51146765</v>
      </c>
      <c r="G72" s="188">
        <f>IF(ISBLANK(F72),"-",(F72/$D$51*$D$48*$B$70)*$D$59/$D$70)</f>
        <v>130.74422170073663</v>
      </c>
      <c r="H72" s="185">
        <f t="shared" si="2"/>
        <v>1.045953773605893</v>
      </c>
    </row>
    <row r="73" spans="1:11" ht="23.25" customHeight="1" x14ac:dyDescent="0.4">
      <c r="A73" s="283"/>
      <c r="B73" s="284"/>
      <c r="C73" s="294"/>
      <c r="D73" s="287"/>
      <c r="E73" s="152">
        <v>4</v>
      </c>
      <c r="F73" s="218"/>
      <c r="G73" s="189" t="str">
        <f>IF(ISBLANK(F73),"-",(F73/$D$51*$D$48*$B$70)*$D$59/$D$70)</f>
        <v>-</v>
      </c>
      <c r="H73" s="186" t="str">
        <f t="shared" si="2"/>
        <v>-</v>
      </c>
    </row>
    <row r="74" spans="1:11" ht="26.25" customHeight="1" x14ac:dyDescent="0.4">
      <c r="A74" s="153"/>
      <c r="B74" s="153"/>
      <c r="C74" s="153"/>
      <c r="D74" s="153"/>
      <c r="E74" s="153"/>
      <c r="F74" s="154"/>
      <c r="G74" s="144" t="s">
        <v>68</v>
      </c>
      <c r="H74" s="220">
        <f>AVERAGE(H62:H73)</f>
        <v>1.0434923794878077</v>
      </c>
    </row>
    <row r="75" spans="1:11" ht="26.25" customHeight="1" x14ac:dyDescent="0.4">
      <c r="C75" s="153"/>
      <c r="D75" s="153"/>
      <c r="E75" s="153"/>
      <c r="F75" s="154"/>
      <c r="G75" s="142" t="s">
        <v>81</v>
      </c>
      <c r="H75" s="221">
        <f>STDEV(H62:H73)/H74</f>
        <v>9.2143327210766953E-3</v>
      </c>
    </row>
    <row r="76" spans="1:11" ht="27" customHeight="1" x14ac:dyDescent="0.4">
      <c r="A76" s="153"/>
      <c r="B76" s="153"/>
      <c r="C76" s="154"/>
      <c r="D76" s="155"/>
      <c r="E76" s="155"/>
      <c r="F76" s="154"/>
      <c r="G76" s="143" t="s">
        <v>19</v>
      </c>
      <c r="H76" s="222">
        <f>COUNT(H62:H73)</f>
        <v>9</v>
      </c>
    </row>
    <row r="77" spans="1:11" ht="18.75" x14ac:dyDescent="0.3">
      <c r="A77" s="153"/>
      <c r="B77" s="153"/>
      <c r="C77" s="154"/>
      <c r="D77" s="155"/>
      <c r="E77" s="155"/>
      <c r="F77" s="155"/>
      <c r="G77" s="155"/>
      <c r="H77" s="154"/>
      <c r="I77" s="156"/>
      <c r="J77" s="159"/>
      <c r="K77" s="173"/>
    </row>
    <row r="78" spans="1:11" ht="26.25" customHeight="1" x14ac:dyDescent="0.4">
      <c r="A78" s="113" t="s">
        <v>107</v>
      </c>
      <c r="B78" s="223" t="s">
        <v>108</v>
      </c>
      <c r="C78" s="272" t="str">
        <f>B20</f>
        <v>CEFUROXIME</v>
      </c>
      <c r="D78" s="272"/>
      <c r="E78" s="174" t="s">
        <v>109</v>
      </c>
      <c r="F78" s="174"/>
      <c r="G78" s="224">
        <f>H74</f>
        <v>1.0434923794878077</v>
      </c>
      <c r="H78" s="154"/>
      <c r="I78" s="156"/>
      <c r="J78" s="159"/>
      <c r="K78" s="173"/>
    </row>
    <row r="79" spans="1:11" ht="19.5" customHeight="1" x14ac:dyDescent="0.3">
      <c r="A79" s="163"/>
      <c r="B79" s="164"/>
      <c r="C79" s="165"/>
      <c r="D79" s="165"/>
      <c r="E79" s="164"/>
      <c r="F79" s="164"/>
      <c r="G79" s="164"/>
      <c r="H79" s="164"/>
    </row>
    <row r="80" spans="1:11" ht="18.75" x14ac:dyDescent="0.3">
      <c r="A80" s="108" t="s">
        <v>1</v>
      </c>
      <c r="B80" s="272" t="s">
        <v>110</v>
      </c>
      <c r="C80" s="272"/>
      <c r="D80" s="272"/>
      <c r="E80" s="272"/>
      <c r="F80" s="272"/>
      <c r="G80" s="272"/>
      <c r="H80" s="272"/>
    </row>
    <row r="81" spans="1:8" ht="26.25" customHeight="1" x14ac:dyDescent="0.4">
      <c r="A81" s="113" t="s">
        <v>4</v>
      </c>
      <c r="B81" s="271" t="str">
        <f>B27</f>
        <v xml:space="preserve">Cefuroxime Axetil </v>
      </c>
      <c r="C81" s="271"/>
    </row>
    <row r="82" spans="1:8" ht="26.25" customHeight="1" x14ac:dyDescent="0.4">
      <c r="A82" s="115" t="s">
        <v>46</v>
      </c>
      <c r="B82" s="298" t="str">
        <f>B28</f>
        <v>WRS/C66-1</v>
      </c>
      <c r="C82" s="298"/>
    </row>
    <row r="83" spans="1:8" ht="27" customHeight="1" x14ac:dyDescent="0.4">
      <c r="A83" s="115" t="s">
        <v>6</v>
      </c>
      <c r="B83" s="206">
        <v>96.5</v>
      </c>
    </row>
    <row r="84" spans="1:8" ht="27" customHeight="1" x14ac:dyDescent="0.4">
      <c r="A84" s="115" t="s">
        <v>47</v>
      </c>
      <c r="B84" s="205">
        <v>0</v>
      </c>
      <c r="C84" s="273" t="s">
        <v>48</v>
      </c>
      <c r="D84" s="274"/>
      <c r="E84" s="274"/>
      <c r="F84" s="274"/>
      <c r="G84" s="274"/>
      <c r="H84" s="275"/>
    </row>
    <row r="85" spans="1:8" ht="19.5" customHeight="1" x14ac:dyDescent="0.3">
      <c r="A85" s="115" t="s">
        <v>49</v>
      </c>
      <c r="B85" s="232">
        <f>B83-B84</f>
        <v>96.5</v>
      </c>
      <c r="C85" s="118"/>
      <c r="D85" s="118"/>
      <c r="E85" s="118"/>
      <c r="F85" s="118"/>
      <c r="G85" s="118"/>
      <c r="H85" s="119"/>
    </row>
    <row r="86" spans="1:8" ht="27" customHeight="1" x14ac:dyDescent="0.4">
      <c r="A86" s="115" t="s">
        <v>50</v>
      </c>
      <c r="B86" s="233">
        <v>424.38600000000002</v>
      </c>
      <c r="C86" s="276" t="s">
        <v>51</v>
      </c>
      <c r="D86" s="277"/>
      <c r="E86" s="277"/>
      <c r="F86" s="277"/>
      <c r="G86" s="277"/>
      <c r="H86" s="278"/>
    </row>
    <row r="87" spans="1:8" ht="27" customHeight="1" x14ac:dyDescent="0.4">
      <c r="A87" s="115" t="s">
        <v>52</v>
      </c>
      <c r="B87" s="233">
        <v>510.47</v>
      </c>
      <c r="C87" s="276" t="s">
        <v>53</v>
      </c>
      <c r="D87" s="277"/>
      <c r="E87" s="277"/>
      <c r="F87" s="277"/>
      <c r="G87" s="277"/>
      <c r="H87" s="278"/>
    </row>
    <row r="88" spans="1:8" ht="18.75" x14ac:dyDescent="0.3">
      <c r="A88" s="115"/>
      <c r="B88" s="120"/>
      <c r="C88" s="123"/>
      <c r="D88" s="123"/>
      <c r="E88" s="123"/>
      <c r="F88" s="123"/>
      <c r="G88" s="123"/>
      <c r="H88" s="123"/>
    </row>
    <row r="89" spans="1:8" ht="18.75" x14ac:dyDescent="0.3">
      <c r="A89" s="115" t="s">
        <v>54</v>
      </c>
      <c r="B89" s="124">
        <f>B86/B87</f>
        <v>0.83136325347229023</v>
      </c>
      <c r="C89" s="109" t="s">
        <v>55</v>
      </c>
    </row>
    <row r="90" spans="1:8" ht="19.5" customHeight="1" x14ac:dyDescent="0.3">
      <c r="A90" s="115"/>
      <c r="B90" s="114"/>
      <c r="C90" s="116"/>
      <c r="D90" s="116"/>
      <c r="E90" s="116"/>
      <c r="F90" s="116"/>
      <c r="G90" s="116"/>
    </row>
    <row r="91" spans="1:8" ht="27" customHeight="1" x14ac:dyDescent="0.4">
      <c r="A91" s="125" t="s">
        <v>56</v>
      </c>
      <c r="B91" s="208">
        <v>100</v>
      </c>
      <c r="D91" s="279" t="s">
        <v>57</v>
      </c>
      <c r="E91" s="299"/>
      <c r="F91" s="170" t="s">
        <v>58</v>
      </c>
      <c r="G91" s="171"/>
      <c r="H91" s="116"/>
    </row>
    <row r="92" spans="1:8" ht="26.25" customHeight="1" x14ac:dyDescent="0.4">
      <c r="A92" s="126" t="s">
        <v>59</v>
      </c>
      <c r="B92" s="209">
        <v>1</v>
      </c>
      <c r="C92" s="128" t="s">
        <v>60</v>
      </c>
      <c r="D92" s="129" t="s">
        <v>61</v>
      </c>
      <c r="E92" s="130" t="s">
        <v>62</v>
      </c>
      <c r="F92" s="129" t="s">
        <v>61</v>
      </c>
      <c r="G92" s="130" t="s">
        <v>62</v>
      </c>
      <c r="H92" s="116"/>
    </row>
    <row r="93" spans="1:8" ht="26.25" customHeight="1" x14ac:dyDescent="0.4">
      <c r="A93" s="126" t="s">
        <v>63</v>
      </c>
      <c r="B93" s="209">
        <v>1</v>
      </c>
      <c r="C93" s="131">
        <v>1</v>
      </c>
      <c r="D93" s="210">
        <f>31224427+32947100</f>
        <v>64171527</v>
      </c>
      <c r="E93" s="166">
        <f>IF(ISBLANK(D93),"-",$D$103/$D$100*D93)</f>
        <v>70062384.601852491</v>
      </c>
      <c r="F93" s="210">
        <f>33813561+35696621</f>
        <v>69510182</v>
      </c>
      <c r="G93" s="166">
        <f>IF(ISBLANK(F93),"-",$D$103/$F$100*F93)</f>
        <v>71728758.498601362</v>
      </c>
      <c r="H93" s="116"/>
    </row>
    <row r="94" spans="1:8" ht="26.25" customHeight="1" x14ac:dyDescent="0.4">
      <c r="A94" s="126" t="s">
        <v>64</v>
      </c>
      <c r="B94" s="209">
        <v>1</v>
      </c>
      <c r="C94" s="127">
        <v>2</v>
      </c>
      <c r="D94" s="211">
        <f>31165436+32877718</f>
        <v>64043154</v>
      </c>
      <c r="E94" s="167">
        <f>IF(ISBLANK(D94),"-",$D$103/$D$100*D94)</f>
        <v>69922227.137647316</v>
      </c>
      <c r="F94" s="211">
        <f>34157298+36043167</f>
        <v>70200465</v>
      </c>
      <c r="G94" s="167">
        <f>IF(ISBLANK(F94),"-",$D$103/$F$100*F94)</f>
        <v>72441073.459921569</v>
      </c>
      <c r="H94" s="116"/>
    </row>
    <row r="95" spans="1:8" ht="26.25" customHeight="1" x14ac:dyDescent="0.4">
      <c r="A95" s="126" t="s">
        <v>65</v>
      </c>
      <c r="B95" s="209">
        <v>1</v>
      </c>
      <c r="C95" s="127">
        <v>3</v>
      </c>
      <c r="D95" s="211">
        <f>31162532+32858532</f>
        <v>64021064</v>
      </c>
      <c r="E95" s="167">
        <f>IF(ISBLANK(D95),"-",$D$103/$D$100*D95)</f>
        <v>69898109.306138426</v>
      </c>
      <c r="F95" s="211">
        <f>34094113+35954037</f>
        <v>70048150</v>
      </c>
      <c r="G95" s="167">
        <f>IF(ISBLANK(F95),"-",$D$103/$F$100*F95)</f>
        <v>72283896.978198141</v>
      </c>
    </row>
    <row r="96" spans="1:8" ht="26.25" customHeight="1" x14ac:dyDescent="0.4">
      <c r="A96" s="126" t="s">
        <v>66</v>
      </c>
      <c r="B96" s="209">
        <v>1</v>
      </c>
      <c r="C96" s="133">
        <v>4</v>
      </c>
      <c r="D96" s="212"/>
      <c r="E96" s="168" t="str">
        <f>IF(ISBLANK(D96),"-",$D$103/$D$100*D96)</f>
        <v>-</v>
      </c>
      <c r="F96" s="212"/>
      <c r="G96" s="168" t="str">
        <f>IF(ISBLANK(F96),"-",$D$103/$F$100*F96)</f>
        <v>-</v>
      </c>
    </row>
    <row r="97" spans="1:7" ht="27" customHeight="1" x14ac:dyDescent="0.4">
      <c r="A97" s="126" t="s">
        <v>67</v>
      </c>
      <c r="B97" s="209">
        <v>1</v>
      </c>
      <c r="C97" s="134" t="s">
        <v>68</v>
      </c>
      <c r="D97" s="135">
        <f>AVERAGE(D93:D96)</f>
        <v>64078581.666666664</v>
      </c>
      <c r="E97" s="136">
        <f>AVERAGE(E93:E96)</f>
        <v>69960907.015212744</v>
      </c>
      <c r="F97" s="135">
        <f>AVERAGE(F93:F96)</f>
        <v>69919599</v>
      </c>
      <c r="G97" s="136">
        <f>AVERAGE(G93:G96)</f>
        <v>72151242.978907019</v>
      </c>
    </row>
    <row r="98" spans="1:7" ht="26.25" customHeight="1" x14ac:dyDescent="0.4">
      <c r="A98" s="126" t="s">
        <v>69</v>
      </c>
      <c r="B98" s="206">
        <v>1</v>
      </c>
      <c r="C98" s="192" t="s">
        <v>70</v>
      </c>
      <c r="D98" s="242">
        <v>27.4</v>
      </c>
      <c r="E98" s="132"/>
      <c r="F98" s="213">
        <v>28.99</v>
      </c>
      <c r="G98" s="172"/>
    </row>
    <row r="99" spans="1:7" ht="26.25" customHeight="1" x14ac:dyDescent="0.4">
      <c r="A99" s="126" t="s">
        <v>71</v>
      </c>
      <c r="B99" s="206">
        <v>1</v>
      </c>
      <c r="C99" s="193" t="s">
        <v>72</v>
      </c>
      <c r="D99" s="194">
        <f>D98*$B$89</f>
        <v>22.77935314514075</v>
      </c>
      <c r="E99" s="138"/>
      <c r="F99" s="137">
        <f>F98*$B$89</f>
        <v>24.101220718161692</v>
      </c>
      <c r="G99" s="140"/>
    </row>
    <row r="100" spans="1:7" ht="19.5" customHeight="1" x14ac:dyDescent="0.3">
      <c r="A100" s="126" t="s">
        <v>73</v>
      </c>
      <c r="B100" s="191">
        <f>(B99/B98)*(B97/B96)*(B95/B94)*(B93/B92)*B91</f>
        <v>100</v>
      </c>
      <c r="C100" s="193" t="s">
        <v>74</v>
      </c>
      <c r="D100" s="195">
        <f>D99*$B$85/100</f>
        <v>21.982075785060825</v>
      </c>
      <c r="E100" s="140"/>
      <c r="F100" s="139">
        <f>F99*$B$85/100</f>
        <v>23.257677993026032</v>
      </c>
      <c r="G100" s="140"/>
    </row>
    <row r="101" spans="1:7" ht="19.5" customHeight="1" x14ac:dyDescent="0.3">
      <c r="A101" s="281" t="s">
        <v>75</v>
      </c>
      <c r="B101" s="295"/>
      <c r="C101" s="193" t="s">
        <v>76</v>
      </c>
      <c r="D101" s="194">
        <f>D100/$B$100</f>
        <v>0.21982075785060826</v>
      </c>
      <c r="E101" s="140"/>
      <c r="F101" s="141">
        <f>F100/$B$100</f>
        <v>0.23257677993026032</v>
      </c>
      <c r="G101" s="140"/>
    </row>
    <row r="102" spans="1:7" ht="27" customHeight="1" x14ac:dyDescent="0.4">
      <c r="A102" s="283"/>
      <c r="B102" s="296"/>
      <c r="C102" s="193" t="s">
        <v>77</v>
      </c>
      <c r="D102" s="241">
        <v>0.24</v>
      </c>
      <c r="E102" s="172"/>
      <c r="F102" s="172"/>
      <c r="G102" s="172"/>
    </row>
    <row r="103" spans="1:7" ht="18.75" x14ac:dyDescent="0.3">
      <c r="C103" s="193" t="s">
        <v>78</v>
      </c>
      <c r="D103" s="195">
        <f>D102*$B$100</f>
        <v>24</v>
      </c>
      <c r="E103" s="140"/>
      <c r="F103" s="140"/>
      <c r="G103" s="140"/>
    </row>
    <row r="104" spans="1:7" ht="19.5" customHeight="1" x14ac:dyDescent="0.3">
      <c r="C104" s="196" t="s">
        <v>79</v>
      </c>
      <c r="D104" s="197">
        <f>D103/B89</f>
        <v>28.868247303162686</v>
      </c>
      <c r="E104" s="158"/>
      <c r="F104" s="158"/>
      <c r="G104" s="158"/>
    </row>
    <row r="105" spans="1:7" ht="18.75" x14ac:dyDescent="0.3">
      <c r="C105" s="198" t="s">
        <v>80</v>
      </c>
      <c r="D105" s="199">
        <f>AVERAGE(E93:E96,G93:G96)</f>
        <v>71056074.997059882</v>
      </c>
      <c r="E105" s="157"/>
      <c r="F105" s="157"/>
      <c r="G105" s="157"/>
    </row>
    <row r="106" spans="1:7" ht="18.75" x14ac:dyDescent="0.3">
      <c r="C106" s="142" t="s">
        <v>81</v>
      </c>
      <c r="D106" s="145">
        <f>STDEV(E93:E96,G93:G96)/D105</f>
        <v>1.7227334287078455E-2</v>
      </c>
      <c r="E106" s="138"/>
      <c r="F106" s="138"/>
      <c r="G106" s="138"/>
    </row>
    <row r="107" spans="1:7" ht="19.5" customHeight="1" x14ac:dyDescent="0.3">
      <c r="C107" s="143" t="s">
        <v>19</v>
      </c>
      <c r="D107" s="146">
        <f>COUNT(E93:E96,G93:G96)</f>
        <v>6</v>
      </c>
      <c r="E107" s="138"/>
      <c r="F107" s="138"/>
      <c r="G107" s="138"/>
    </row>
    <row r="109" spans="1:7" ht="18.75" x14ac:dyDescent="0.3">
      <c r="A109" s="108" t="s">
        <v>1</v>
      </c>
      <c r="B109" s="147" t="s">
        <v>82</v>
      </c>
    </row>
    <row r="110" spans="1:7" ht="18.75" x14ac:dyDescent="0.3">
      <c r="A110" s="109" t="s">
        <v>83</v>
      </c>
      <c r="B110" s="111" t="str">
        <f>B21</f>
        <v>Each 5ml contains Cefuroxime 125mg</v>
      </c>
    </row>
    <row r="111" spans="1:7" ht="26.25" customHeight="1" x14ac:dyDescent="0.4">
      <c r="A111" s="201" t="s">
        <v>84</v>
      </c>
      <c r="B111" s="215">
        <v>5</v>
      </c>
      <c r="C111" s="182" t="s">
        <v>85</v>
      </c>
      <c r="D111" s="216">
        <v>125</v>
      </c>
      <c r="E111" s="182" t="str">
        <f>B20</f>
        <v>CEFUROXIME</v>
      </c>
    </row>
    <row r="112" spans="1:7" ht="18.75" x14ac:dyDescent="0.3">
      <c r="A112" s="111" t="s">
        <v>86</v>
      </c>
      <c r="B112" s="225">
        <f>B58</f>
        <v>1.1570934440897982</v>
      </c>
    </row>
    <row r="113" spans="1:8" ht="18.75" x14ac:dyDescent="0.3">
      <c r="A113" s="180" t="s">
        <v>87</v>
      </c>
      <c r="B113" s="181">
        <f>B111</f>
        <v>5</v>
      </c>
      <c r="C113" s="182" t="s">
        <v>88</v>
      </c>
      <c r="D113" s="202">
        <f>B112*B111</f>
        <v>5.7854672204489912</v>
      </c>
      <c r="E113" s="183"/>
      <c r="F113" s="183"/>
      <c r="G113" s="183"/>
      <c r="H113" s="183"/>
    </row>
    <row r="114" spans="1:8" ht="19.5" customHeight="1" x14ac:dyDescent="0.25"/>
    <row r="115" spans="1:8" ht="27" customHeight="1" x14ac:dyDescent="0.4">
      <c r="A115" s="125" t="s">
        <v>89</v>
      </c>
      <c r="B115" s="208">
        <v>100</v>
      </c>
      <c r="D115" s="149" t="s">
        <v>90</v>
      </c>
      <c r="E115" s="148" t="s">
        <v>91</v>
      </c>
      <c r="F115" s="148" t="s">
        <v>61</v>
      </c>
      <c r="G115" s="148" t="s">
        <v>92</v>
      </c>
      <c r="H115" s="128" t="s">
        <v>93</v>
      </c>
    </row>
    <row r="116" spans="1:8" ht="26.25" customHeight="1" x14ac:dyDescent="0.4">
      <c r="A116" s="126" t="s">
        <v>94</v>
      </c>
      <c r="B116" s="209">
        <v>4</v>
      </c>
      <c r="C116" s="291" t="s">
        <v>95</v>
      </c>
      <c r="D116" s="288">
        <v>13.155200000000001</v>
      </c>
      <c r="E116" s="175">
        <v>1</v>
      </c>
      <c r="F116" s="217">
        <f>31865879+33397607</f>
        <v>65263486</v>
      </c>
      <c r="G116" s="187">
        <f>IF(ISBLANK(F116),"-",(F116/$D$105*$D$102*$B$124)*$D$113/$D$116)</f>
        <v>121.18009545969372</v>
      </c>
      <c r="H116" s="229">
        <f t="shared" ref="H116:H127" si="3">IF(ISBLANK(F116),"-",G116/$D$111)</f>
        <v>0.96944076367754972</v>
      </c>
    </row>
    <row r="117" spans="1:8" ht="26.25" customHeight="1" x14ac:dyDescent="0.4">
      <c r="A117" s="126" t="s">
        <v>96</v>
      </c>
      <c r="B117" s="209">
        <v>50</v>
      </c>
      <c r="C117" s="292"/>
      <c r="D117" s="289"/>
      <c r="E117" s="176">
        <v>2</v>
      </c>
      <c r="F117" s="211">
        <f>31860401+33392075</f>
        <v>65252476</v>
      </c>
      <c r="G117" s="188">
        <f>IF(ISBLANK(F117),"-",(F117/$D$105*$D$102*$B$124)*$D$113/$D$116)</f>
        <v>121.15965228491433</v>
      </c>
      <c r="H117" s="230">
        <f t="shared" si="3"/>
        <v>0.96927721827931468</v>
      </c>
    </row>
    <row r="118" spans="1:8" ht="26.25" customHeight="1" x14ac:dyDescent="0.4">
      <c r="A118" s="126" t="s">
        <v>97</v>
      </c>
      <c r="B118" s="209">
        <v>1</v>
      </c>
      <c r="C118" s="292"/>
      <c r="D118" s="289"/>
      <c r="E118" s="176">
        <v>3</v>
      </c>
      <c r="F118" s="211">
        <f>31811582+33327081</f>
        <v>65138663</v>
      </c>
      <c r="G118" s="188">
        <f>IF(ISBLANK(F118),"-",(F118/$D$105*$D$102*$B$124)*$D$113/$D$116)</f>
        <v>120.94832630388177</v>
      </c>
      <c r="H118" s="230">
        <f t="shared" si="3"/>
        <v>0.96758661043105421</v>
      </c>
    </row>
    <row r="119" spans="1:8" ht="27" customHeight="1" x14ac:dyDescent="0.4">
      <c r="A119" s="126" t="s">
        <v>98</v>
      </c>
      <c r="B119" s="209">
        <v>1</v>
      </c>
      <c r="C119" s="293"/>
      <c r="D119" s="290"/>
      <c r="E119" s="177">
        <v>4</v>
      </c>
      <c r="F119" s="218"/>
      <c r="G119" s="189" t="str">
        <f>IF(ISBLANK(F119),"-",(F119/$D$105*$D$102*$B$124)*$D$113/$D$116)</f>
        <v>-</v>
      </c>
      <c r="H119" s="231" t="str">
        <f t="shared" si="3"/>
        <v>-</v>
      </c>
    </row>
    <row r="120" spans="1:8" ht="26.25" customHeight="1" x14ac:dyDescent="0.4">
      <c r="A120" s="126" t="s">
        <v>99</v>
      </c>
      <c r="B120" s="209">
        <v>1</v>
      </c>
      <c r="C120" s="291" t="s">
        <v>100</v>
      </c>
      <c r="D120" s="288">
        <v>13.637700000000001</v>
      </c>
      <c r="E120" s="150">
        <v>1</v>
      </c>
      <c r="F120" s="211">
        <f>33009573+34590942</f>
        <v>67600515</v>
      </c>
      <c r="G120" s="187">
        <f>IF(ISBLANK(F120),"-",(F120/$D$105*$D$102*$B$124)*$D$113/$D$120)</f>
        <v>121.07858856210298</v>
      </c>
      <c r="H120" s="229">
        <f t="shared" si="3"/>
        <v>0.96862870849682381</v>
      </c>
    </row>
    <row r="121" spans="1:8" ht="26.25" customHeight="1" x14ac:dyDescent="0.4">
      <c r="A121" s="126" t="s">
        <v>101</v>
      </c>
      <c r="B121" s="209">
        <v>1</v>
      </c>
      <c r="C121" s="292"/>
      <c r="D121" s="289"/>
      <c r="E121" s="151">
        <v>2</v>
      </c>
      <c r="F121" s="211">
        <f>33051301+34643588</f>
        <v>67694889</v>
      </c>
      <c r="G121" s="188">
        <f>IF(ISBLANK(F121),"-",(F121/$D$105*$D$102*$B$124)*$D$113/$D$120)</f>
        <v>121.24762086484444</v>
      </c>
      <c r="H121" s="230">
        <f t="shared" si="3"/>
        <v>0.96998096691875546</v>
      </c>
    </row>
    <row r="122" spans="1:8" ht="26.25" customHeight="1" x14ac:dyDescent="0.4">
      <c r="A122" s="126" t="s">
        <v>102</v>
      </c>
      <c r="B122" s="209">
        <v>1</v>
      </c>
      <c r="C122" s="292"/>
      <c r="D122" s="289"/>
      <c r="E122" s="151">
        <v>3</v>
      </c>
      <c r="F122" s="211">
        <f>33072230+34652572</f>
        <v>67724802</v>
      </c>
      <c r="G122" s="188">
        <f>IF(ISBLANK(F122),"-",(F122/$D$105*$D$102*$B$124)*$D$113/$D$120)</f>
        <v>121.30119773211622</v>
      </c>
      <c r="H122" s="230">
        <f t="shared" si="3"/>
        <v>0.97040958185692983</v>
      </c>
    </row>
    <row r="123" spans="1:8" ht="27" customHeight="1" x14ac:dyDescent="0.4">
      <c r="A123" s="126" t="s">
        <v>103</v>
      </c>
      <c r="B123" s="209">
        <v>1</v>
      </c>
      <c r="C123" s="293"/>
      <c r="D123" s="290"/>
      <c r="E123" s="152">
        <v>4</v>
      </c>
      <c r="F123" s="218"/>
      <c r="G123" s="189" t="str">
        <f>IF(ISBLANK(F123),"-",(F123/$D$105*$D$102*$B$124)*$D$113/$D$120)</f>
        <v>-</v>
      </c>
      <c r="H123" s="231" t="str">
        <f t="shared" si="3"/>
        <v>-</v>
      </c>
    </row>
    <row r="124" spans="1:8" ht="26.25" customHeight="1" x14ac:dyDescent="0.4">
      <c r="A124" s="126" t="s">
        <v>104</v>
      </c>
      <c r="B124" s="190">
        <f>(B123/B122)*(B121/B120)*(B119/B118)*(B117/B116)*B115</f>
        <v>1250</v>
      </c>
      <c r="C124" s="291" t="s">
        <v>105</v>
      </c>
      <c r="D124" s="288">
        <v>13.0451</v>
      </c>
      <c r="E124" s="150">
        <v>1</v>
      </c>
      <c r="F124" s="217">
        <f>32505052+34072347</f>
        <v>66577399</v>
      </c>
      <c r="G124" s="187">
        <f>IF(ISBLANK(F124),"-",(F124/$D$105*$D$102*$B$124)*$D$113/$D$124)</f>
        <v>124.66309061348798</v>
      </c>
      <c r="H124" s="229">
        <f t="shared" si="3"/>
        <v>0.99730472490790389</v>
      </c>
    </row>
    <row r="125" spans="1:8" ht="27" customHeight="1" x14ac:dyDescent="0.4">
      <c r="A125" s="200" t="s">
        <v>106</v>
      </c>
      <c r="B125" s="219">
        <f>(D102*B124)/D111*D113</f>
        <v>13.885121329077579</v>
      </c>
      <c r="C125" s="292"/>
      <c r="D125" s="289"/>
      <c r="E125" s="151">
        <v>2</v>
      </c>
      <c r="F125" s="211">
        <f>32491853+34060408</f>
        <v>66552261</v>
      </c>
      <c r="G125" s="188">
        <f>IF(ISBLANK(F125),"-",(F125/$D$105*$D$102*$B$124)*$D$113/$D$124)</f>
        <v>124.61602087482424</v>
      </c>
      <c r="H125" s="230">
        <f t="shared" si="3"/>
        <v>0.99692816699859399</v>
      </c>
    </row>
    <row r="126" spans="1:8" ht="26.25" customHeight="1" x14ac:dyDescent="0.4">
      <c r="A126" s="281" t="s">
        <v>75</v>
      </c>
      <c r="B126" s="282"/>
      <c r="C126" s="292"/>
      <c r="D126" s="289"/>
      <c r="E126" s="151">
        <v>3</v>
      </c>
      <c r="F126" s="211">
        <f>32461085+34026721</f>
        <v>66487806</v>
      </c>
      <c r="G126" s="188">
        <f>IF(ISBLANK(F126),"-",(F126/$D$105*$D$102*$B$124)*$D$113/$D$124)</f>
        <v>124.4953318778646</v>
      </c>
      <c r="H126" s="230">
        <f t="shared" si="3"/>
        <v>0.99596265502291681</v>
      </c>
    </row>
    <row r="127" spans="1:8" ht="27" customHeight="1" x14ac:dyDescent="0.4">
      <c r="A127" s="283"/>
      <c r="B127" s="284"/>
      <c r="C127" s="294"/>
      <c r="D127" s="290"/>
      <c r="E127" s="152">
        <v>4</v>
      </c>
      <c r="F127" s="218"/>
      <c r="G127" s="189" t="str">
        <f>IF(ISBLANK(F127),"-",(F127/$D$105*$D$102*$B$124)*$D$113/$D$124)</f>
        <v>-</v>
      </c>
      <c r="H127" s="231" t="str">
        <f t="shared" si="3"/>
        <v>-</v>
      </c>
    </row>
    <row r="128" spans="1:8" ht="26.25" customHeight="1" x14ac:dyDescent="0.4">
      <c r="A128" s="153"/>
      <c r="B128" s="153"/>
      <c r="C128" s="153"/>
      <c r="D128" s="153"/>
      <c r="E128" s="153"/>
      <c r="F128" s="154"/>
      <c r="G128" s="144" t="s">
        <v>68</v>
      </c>
      <c r="H128" s="220">
        <f>AVERAGE(H116:H127)</f>
        <v>0.97839104406553801</v>
      </c>
    </row>
    <row r="129" spans="1:9" ht="26.25" customHeight="1" x14ac:dyDescent="0.4">
      <c r="C129" s="153"/>
      <c r="D129" s="153"/>
      <c r="E129" s="153"/>
      <c r="F129" s="154"/>
      <c r="G129" s="142" t="s">
        <v>81</v>
      </c>
      <c r="H129" s="221">
        <f>STDEV(H116:H127)/H128</f>
        <v>1.4087351780031369E-2</v>
      </c>
    </row>
    <row r="130" spans="1:9" ht="27" customHeight="1" x14ac:dyDescent="0.4">
      <c r="A130" s="153"/>
      <c r="B130" s="153"/>
      <c r="C130" s="154"/>
      <c r="D130" s="155"/>
      <c r="E130" s="155"/>
      <c r="F130" s="154"/>
      <c r="G130" s="143" t="s">
        <v>19</v>
      </c>
      <c r="H130" s="222">
        <f>COUNT(H116:H127)</f>
        <v>9</v>
      </c>
    </row>
    <row r="131" spans="1:9" ht="18.75" x14ac:dyDescent="0.3">
      <c r="A131" s="153"/>
      <c r="B131" s="153"/>
      <c r="C131" s="154"/>
      <c r="D131" s="155"/>
      <c r="E131" s="155"/>
      <c r="F131" s="155"/>
      <c r="G131" s="155"/>
      <c r="H131" s="154"/>
    </row>
    <row r="132" spans="1:9" ht="26.25" customHeight="1" x14ac:dyDescent="0.4">
      <c r="A132" s="113" t="s">
        <v>107</v>
      </c>
      <c r="B132" s="223" t="s">
        <v>108</v>
      </c>
      <c r="C132" s="272" t="str">
        <f>B20</f>
        <v>CEFUROXIME</v>
      </c>
      <c r="D132" s="272"/>
      <c r="E132" s="174" t="s">
        <v>109</v>
      </c>
      <c r="F132" s="174"/>
      <c r="G132" s="224">
        <f>H128</f>
        <v>0.97839104406553801</v>
      </c>
      <c r="H132" s="154"/>
    </row>
    <row r="133" spans="1:9" ht="19.5" customHeight="1" x14ac:dyDescent="0.3">
      <c r="A133" s="227"/>
      <c r="B133" s="164"/>
      <c r="C133" s="165"/>
      <c r="D133" s="165"/>
      <c r="E133" s="164"/>
      <c r="F133" s="164"/>
      <c r="G133" s="164"/>
      <c r="H133" s="164"/>
    </row>
    <row r="134" spans="1:9" ht="45.75" customHeight="1" x14ac:dyDescent="0.3">
      <c r="A134" s="159" t="s">
        <v>27</v>
      </c>
      <c r="B134" s="203" t="s">
        <v>120</v>
      </c>
      <c r="C134" s="203"/>
      <c r="D134" s="153"/>
      <c r="E134" s="161"/>
      <c r="F134" s="156"/>
      <c r="G134" s="178"/>
      <c r="H134" s="178"/>
      <c r="I134" s="156"/>
    </row>
    <row r="135" spans="1:9" ht="41.25" customHeight="1" x14ac:dyDescent="0.3">
      <c r="A135" s="159" t="s">
        <v>28</v>
      </c>
      <c r="B135" s="204"/>
      <c r="C135" s="204"/>
      <c r="D135" s="169"/>
      <c r="E135" s="162"/>
      <c r="F135" s="156"/>
      <c r="G135" s="179"/>
      <c r="H135" s="179"/>
      <c r="I135" s="174"/>
    </row>
    <row r="136" spans="1:9" ht="18.75" x14ac:dyDescent="0.3">
      <c r="A136" s="153"/>
      <c r="B136" s="154"/>
      <c r="C136" s="155"/>
      <c r="D136" s="155"/>
      <c r="E136" s="155"/>
      <c r="F136" s="155"/>
      <c r="G136" s="154"/>
      <c r="H136" s="154"/>
      <c r="I136" s="156"/>
    </row>
    <row r="137" spans="1:9" ht="18.75" x14ac:dyDescent="0.3">
      <c r="A137" s="153"/>
      <c r="B137" s="153"/>
      <c r="C137" s="154"/>
      <c r="D137" s="155"/>
      <c r="E137" s="155"/>
      <c r="F137" s="155"/>
      <c r="G137" s="155"/>
      <c r="H137" s="154"/>
      <c r="I137" s="156"/>
    </row>
    <row r="138" spans="1:9" ht="27" customHeight="1" x14ac:dyDescent="0.3">
      <c r="A138" s="153"/>
      <c r="B138" s="153"/>
      <c r="C138" s="154"/>
      <c r="D138" s="155"/>
      <c r="E138" s="155"/>
      <c r="F138" s="155"/>
      <c r="G138" s="155"/>
      <c r="H138" s="154"/>
      <c r="I138" s="156"/>
    </row>
    <row r="139" spans="1:9" ht="18.75" x14ac:dyDescent="0.3">
      <c r="A139" s="153"/>
      <c r="B139" s="153"/>
      <c r="C139" s="154"/>
      <c r="D139" s="155"/>
      <c r="E139" s="155"/>
      <c r="F139" s="155"/>
      <c r="G139" s="155"/>
      <c r="H139" s="154"/>
      <c r="I139" s="156"/>
    </row>
    <row r="140" spans="1:9" ht="27" customHeight="1" x14ac:dyDescent="0.3">
      <c r="A140" s="153"/>
      <c r="B140" s="153"/>
      <c r="C140" s="154"/>
      <c r="D140" s="155"/>
      <c r="E140" s="155"/>
      <c r="F140" s="155"/>
      <c r="G140" s="155"/>
      <c r="H140" s="154"/>
      <c r="I140" s="156"/>
    </row>
    <row r="141" spans="1:9" ht="27" customHeight="1" x14ac:dyDescent="0.3">
      <c r="A141" s="153"/>
      <c r="B141" s="153"/>
      <c r="C141" s="154"/>
      <c r="D141" s="155"/>
      <c r="E141" s="155"/>
      <c r="F141" s="155"/>
      <c r="G141" s="155"/>
      <c r="H141" s="154"/>
      <c r="I141" s="156"/>
    </row>
    <row r="142" spans="1:9" ht="18.75" x14ac:dyDescent="0.3">
      <c r="A142" s="153"/>
      <c r="B142" s="153"/>
      <c r="C142" s="154"/>
      <c r="D142" s="155"/>
      <c r="E142" s="155"/>
      <c r="F142" s="155"/>
      <c r="G142" s="155"/>
      <c r="H142" s="154"/>
      <c r="I142" s="156"/>
    </row>
    <row r="143" spans="1:9" ht="18.75" x14ac:dyDescent="0.3">
      <c r="A143" s="153"/>
      <c r="B143" s="153"/>
      <c r="C143" s="154"/>
      <c r="D143" s="155"/>
      <c r="E143" s="155"/>
      <c r="F143" s="155"/>
      <c r="G143" s="155"/>
      <c r="H143" s="154"/>
      <c r="I143" s="156"/>
    </row>
    <row r="144" spans="1:9" ht="18.75" x14ac:dyDescent="0.3">
      <c r="A144" s="153"/>
      <c r="B144" s="153"/>
      <c r="C144" s="154"/>
      <c r="D144" s="155"/>
      <c r="E144" s="155"/>
      <c r="F144" s="155"/>
      <c r="G144" s="155"/>
      <c r="H144" s="154"/>
      <c r="I144" s="156"/>
    </row>
    <row r="250" spans="1:1" x14ac:dyDescent="0.25">
      <c r="A250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38"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  <mergeCell ref="C30:H30"/>
    <mergeCell ref="C32:H32"/>
    <mergeCell ref="C33:H33"/>
    <mergeCell ref="B81:C81"/>
    <mergeCell ref="B80:H80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A1:H7"/>
    <mergeCell ref="A8:H14"/>
    <mergeCell ref="A17:H17"/>
    <mergeCell ref="A16:H16"/>
    <mergeCell ref="B27:C27"/>
    <mergeCell ref="B26:H26"/>
    <mergeCell ref="B18:C18"/>
  </mergeCells>
  <conditionalFormatting sqref="D52">
    <cfRule type="cellIs" dxfId="3" priority="1" operator="greaterThan">
      <formula>0.02</formula>
    </cfRule>
  </conditionalFormatting>
  <conditionalFormatting sqref="H75">
    <cfRule type="cellIs" dxfId="2" priority="2" operator="greaterThan">
      <formula>0.02</formula>
    </cfRule>
  </conditionalFormatting>
  <conditionalFormatting sqref="D106">
    <cfRule type="cellIs" dxfId="1" priority="3" operator="greaterThan">
      <formula>0.02</formula>
    </cfRule>
  </conditionalFormatting>
  <conditionalFormatting sqref="H129">
    <cfRule type="cellIs" dxfId="0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3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9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SST</vt:lpstr>
      <vt:lpstr>SST (2)</vt:lpstr>
      <vt:lpstr>Relative Density</vt:lpstr>
      <vt:lpstr>Cefuroxime Axetil 1</vt:lpstr>
      <vt:lpstr>'Cefuroxime Axetil 1'!Print_Area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hp3500</cp:lastModifiedBy>
  <cp:lastPrinted>2016-03-24T09:22:11Z</cp:lastPrinted>
  <dcterms:created xsi:type="dcterms:W3CDTF">2005-07-05T10:19:27Z</dcterms:created>
  <dcterms:modified xsi:type="dcterms:W3CDTF">2016-03-24T09:23:51Z</dcterms:modified>
</cp:coreProperties>
</file>