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amoxicillin" sheetId="3" r:id="rId3"/>
  </sheets>
  <calcPr calcId="145621"/>
</workbook>
</file>

<file path=xl/calcChain.xml><?xml version="1.0" encoding="utf-8"?>
<calcChain xmlns="http://schemas.openxmlformats.org/spreadsheetml/2006/main">
  <c r="B116" i="3" l="1"/>
  <c r="C120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3" l="1"/>
  <c r="D46" i="3" s="1"/>
  <c r="I39" i="3"/>
  <c r="D101" i="3"/>
  <c r="D102" i="3" s="1"/>
  <c r="G94" i="3"/>
  <c r="D49" i="3"/>
  <c r="E41" i="3"/>
  <c r="F98" i="3"/>
  <c r="F44" i="3"/>
  <c r="F45" i="3" s="1"/>
  <c r="F46" i="3" s="1"/>
  <c r="D43" i="2"/>
  <c r="D98" i="3"/>
  <c r="D99" i="3" s="1"/>
  <c r="E35" i="2" l="1"/>
  <c r="B57" i="3"/>
  <c r="B69" i="3" s="1"/>
  <c r="E38" i="3"/>
  <c r="E39" i="3"/>
  <c r="F99" i="3"/>
  <c r="G91" i="3"/>
  <c r="E40" i="3"/>
  <c r="G39" i="3"/>
  <c r="G93" i="3"/>
  <c r="E25" i="2"/>
  <c r="E42" i="3"/>
  <c r="E29" i="2"/>
  <c r="E91" i="3"/>
  <c r="E92" i="3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1" i="2"/>
  <c r="E21" i="2"/>
  <c r="G40" i="3"/>
  <c r="G41" i="3"/>
  <c r="E37" i="2"/>
  <c r="G92" i="3"/>
  <c r="E27" i="2"/>
  <c r="G38" i="3"/>
  <c r="E33" i="2"/>
  <c r="E94" i="3"/>
  <c r="E93" i="3"/>
  <c r="E39" i="2"/>
  <c r="E23" i="2"/>
  <c r="G95" i="3" l="1"/>
  <c r="G42" i="3"/>
  <c r="D50" i="3"/>
  <c r="G71" i="3" s="1"/>
  <c r="H71" i="3" s="1"/>
  <c r="D52" i="3"/>
  <c r="E95" i="3"/>
  <c r="D105" i="3"/>
  <c r="D103" i="3"/>
  <c r="G70" i="3" l="1"/>
  <c r="H70" i="3" s="1"/>
  <c r="G60" i="3"/>
  <c r="H60" i="3" s="1"/>
  <c r="G68" i="3"/>
  <c r="H68" i="3" s="1"/>
  <c r="G61" i="3"/>
  <c r="H61" i="3" s="1"/>
  <c r="G69" i="3"/>
  <c r="H69" i="3" s="1"/>
  <c r="G63" i="3"/>
  <c r="H63" i="3" s="1"/>
  <c r="D51" i="3"/>
  <c r="G65" i="3"/>
  <c r="H65" i="3" s="1"/>
  <c r="G64" i="3"/>
  <c r="H64" i="3" s="1"/>
  <c r="G62" i="3"/>
  <c r="H62" i="3" s="1"/>
  <c r="G67" i="3"/>
  <c r="H67" i="3" s="1"/>
  <c r="G66" i="3"/>
  <c r="H66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72" i="3" l="1"/>
  <c r="H73" i="3"/>
  <c r="G72" i="3"/>
  <c r="G73" i="3" s="1"/>
  <c r="G74" i="3"/>
  <c r="E115" i="3"/>
  <c r="E116" i="3" s="1"/>
  <c r="E117" i="3"/>
  <c r="F108" i="3"/>
  <c r="F115" i="3" s="1"/>
  <c r="G120" i="3" s="1"/>
  <c r="H74" i="3"/>
  <c r="F117" i="3" l="1"/>
  <c r="G76" i="3"/>
  <c r="F116" i="3" l="1"/>
</calcChain>
</file>

<file path=xl/sharedStrings.xml><?xml version="1.0" encoding="utf-8"?>
<sst xmlns="http://schemas.openxmlformats.org/spreadsheetml/2006/main" count="237" uniqueCount="129">
  <si>
    <t>HPLC System Suitability Report</t>
  </si>
  <si>
    <t>Analysis Data</t>
  </si>
  <si>
    <t>Assay</t>
  </si>
  <si>
    <t>Sample(s)</t>
  </si>
  <si>
    <t>Reference Substance:</t>
  </si>
  <si>
    <t>CAREMOX-250</t>
  </si>
  <si>
    <t>% age Purity:</t>
  </si>
  <si>
    <t>NDQA201509346</t>
  </si>
  <si>
    <t>Weight (mg):</t>
  </si>
  <si>
    <t xml:space="preserve">Amoxicillin Trihydrate </t>
  </si>
  <si>
    <t>Standard Conc (mg/mL):</t>
  </si>
  <si>
    <t>Each capsule contains Amoxicillin Trihydrate equivalent to Amoxicillin 250mg BP</t>
  </si>
  <si>
    <t>2015-10-01 14:23:06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</si>
  <si>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</si>
  <si>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</si>
  <si>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</si>
  <si>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</si>
  <si>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</si>
  <si>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</si>
  <si>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</si>
  <si>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</si>
  <si>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</si>
  <si>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</si>
  <si>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</si>
  <si>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</si>
  <si>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</si>
  <si>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</si>
  <si>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</si>
  <si>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</si>
  <si>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</si>
  <si>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</si>
  <si>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</si>
  <si>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</si>
  <si>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</si>
  <si>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</si>
  <si>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</si>
  <si>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</si>
  <si>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</si>
  <si>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</si>
  <si>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2016-01-12 10:26:44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</si>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</sst>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4" fontId="12" fillId="6" borderId="56" xfId="0" applyNumberFormat="1" applyFont="1" applyFill="1" applyBorder="1" applyAlignment="1">
      <alignment horizontal="center"/>
    </xf>
    <xf numFmtId="164" fontId="12" fillId="6" borderId="57" xfId="0" applyNumberFormat="1" applyFont="1" applyFill="1" applyBorder="1" applyAlignment="1">
      <alignment horizontal="center"/>
    </xf>
    <xf numFmtId="166" fontId="13" fillId="3" borderId="43" xfId="0" applyNumberFormat="1" applyFont="1" applyFill="1" applyBorder="1" applyAlignment="1" applyProtection="1">
      <alignment horizontal="center"/>
      <protection locked="0"/>
    </xf>
    <xf numFmtId="166" fontId="13" fillId="3" borderId="46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26</v>
      </c>
      <c r="C59" s="29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B31" sqref="B3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2" t="s">
        <v>31</v>
      </c>
      <c r="B8" s="302"/>
      <c r="C8" s="302"/>
      <c r="D8" s="302"/>
      <c r="E8" s="302"/>
      <c r="F8" s="302"/>
      <c r="G8" s="30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3" t="s">
        <v>32</v>
      </c>
      <c r="B10" s="303"/>
      <c r="C10" s="303"/>
      <c r="D10" s="303"/>
      <c r="E10" s="303"/>
      <c r="F10" s="303"/>
      <c r="G10" s="30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0" t="s">
        <v>33</v>
      </c>
      <c r="B11" s="30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0" t="s">
        <v>34</v>
      </c>
      <c r="B12" s="30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0" t="s">
        <v>35</v>
      </c>
      <c r="B13" s="30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0" t="s">
        <v>36</v>
      </c>
      <c r="B14" s="300"/>
      <c r="C14" s="301" t="s">
        <v>11</v>
      </c>
      <c r="D14" s="301"/>
      <c r="E14" s="301"/>
      <c r="F14" s="301"/>
      <c r="G14" s="30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0" t="s">
        <v>37</v>
      </c>
      <c r="B15" s="30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0" t="s">
        <v>38</v>
      </c>
      <c r="B16" s="300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4" t="s">
        <v>1</v>
      </c>
      <c r="B18" s="304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367.45</v>
      </c>
      <c r="C21" s="83">
        <v>81.61</v>
      </c>
      <c r="D21" s="84">
        <f t="shared" ref="D21:D40" si="0">B21-C21</f>
        <v>285.83999999999997</v>
      </c>
      <c r="E21" s="85">
        <f t="shared" ref="E21:E40" si="1">(D21-$D$43)/$D$43</f>
        <v>-2.0799112059648458E-2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374.72</v>
      </c>
      <c r="C22" s="88">
        <v>79.150000000000006</v>
      </c>
      <c r="D22" s="89">
        <f t="shared" si="0"/>
        <v>295.57000000000005</v>
      </c>
      <c r="E22" s="85">
        <f t="shared" si="1"/>
        <v>1.25329080902945E-2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383.23</v>
      </c>
      <c r="C23" s="88">
        <v>81.8</v>
      </c>
      <c r="D23" s="89">
        <f t="shared" si="0"/>
        <v>301.43</v>
      </c>
      <c r="E23" s="85">
        <f t="shared" si="1"/>
        <v>3.2607485487896021E-2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365.17</v>
      </c>
      <c r="C24" s="88">
        <v>83.03</v>
      </c>
      <c r="D24" s="89">
        <f t="shared" si="0"/>
        <v>282.14</v>
      </c>
      <c r="E24" s="85">
        <f t="shared" si="1"/>
        <v>-3.3474186525710901E-2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372.27</v>
      </c>
      <c r="C25" s="88">
        <v>79.38</v>
      </c>
      <c r="D25" s="89">
        <f t="shared" si="0"/>
        <v>292.89</v>
      </c>
      <c r="E25" s="85">
        <f t="shared" si="1"/>
        <v>3.352043341903076E-3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360.33</v>
      </c>
      <c r="C26" s="88">
        <v>82.1</v>
      </c>
      <c r="D26" s="89">
        <f t="shared" si="0"/>
        <v>278.23</v>
      </c>
      <c r="E26" s="85">
        <f t="shared" si="1"/>
        <v>-4.6868657110117368E-2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373.77</v>
      </c>
      <c r="C27" s="88">
        <v>83.98</v>
      </c>
      <c r="D27" s="89">
        <f t="shared" si="0"/>
        <v>289.78999999999996</v>
      </c>
      <c r="E27" s="85">
        <f t="shared" si="1"/>
        <v>-7.267613643176382E-3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379.68</v>
      </c>
      <c r="C28" s="88">
        <v>78.459999999999994</v>
      </c>
      <c r="D28" s="89">
        <f t="shared" si="0"/>
        <v>301.22000000000003</v>
      </c>
      <c r="E28" s="85">
        <f t="shared" si="1"/>
        <v>3.1888089369552002E-2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366.68</v>
      </c>
      <c r="C29" s="88">
        <v>83.18</v>
      </c>
      <c r="D29" s="89">
        <f t="shared" si="0"/>
        <v>283.5</v>
      </c>
      <c r="E29" s="85">
        <f t="shared" si="1"/>
        <v>-2.8815240235482483E-2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379.35</v>
      </c>
      <c r="C30" s="88">
        <v>81.53</v>
      </c>
      <c r="D30" s="89">
        <f t="shared" si="0"/>
        <v>297.82000000000005</v>
      </c>
      <c r="E30" s="85">
        <f t="shared" si="1"/>
        <v>2.0240723643981148E-2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380.61</v>
      </c>
      <c r="C31" s="88">
        <v>80.66</v>
      </c>
      <c r="D31" s="89">
        <f t="shared" si="0"/>
        <v>299.95000000000005</v>
      </c>
      <c r="E31" s="85">
        <f t="shared" si="1"/>
        <v>2.7537455701471158E-2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379.43</v>
      </c>
      <c r="C32" s="88">
        <v>80.37</v>
      </c>
      <c r="D32" s="89">
        <f t="shared" si="0"/>
        <v>299.06</v>
      </c>
      <c r="E32" s="85">
        <f t="shared" si="1"/>
        <v>2.4488586438012737E-2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381.4</v>
      </c>
      <c r="C33" s="88">
        <v>81.489999999999995</v>
      </c>
      <c r="D33" s="89">
        <f t="shared" si="0"/>
        <v>299.90999999999997</v>
      </c>
      <c r="E33" s="85">
        <f t="shared" si="1"/>
        <v>2.7400427869405351E-2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372.8</v>
      </c>
      <c r="C34" s="88">
        <v>81.180000000000007</v>
      </c>
      <c r="D34" s="89">
        <f t="shared" si="0"/>
        <v>291.62</v>
      </c>
      <c r="E34" s="85">
        <f t="shared" si="1"/>
        <v>-9.9859032617776898E-4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375.04</v>
      </c>
      <c r="C35" s="88">
        <v>81.099999999999994</v>
      </c>
      <c r="D35" s="89">
        <f t="shared" si="0"/>
        <v>293.94000000000005</v>
      </c>
      <c r="E35" s="85">
        <f t="shared" si="1"/>
        <v>6.9490239336237455E-3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359.3</v>
      </c>
      <c r="C36" s="88">
        <v>77.290000000000006</v>
      </c>
      <c r="D36" s="89">
        <f t="shared" si="0"/>
        <v>282.01</v>
      </c>
      <c r="E36" s="85">
        <f t="shared" si="1"/>
        <v>-3.3919526979923897E-2</v>
      </c>
      <c r="G36" s="66"/>
      <c r="H36" s="66"/>
    </row>
    <row r="37" spans="1:15" ht="15" x14ac:dyDescent="0.3">
      <c r="A37" s="86">
        <v>17</v>
      </c>
      <c r="B37" s="90">
        <v>367.27</v>
      </c>
      <c r="C37" s="88">
        <v>79.75</v>
      </c>
      <c r="D37" s="89">
        <f t="shared" si="0"/>
        <v>287.52</v>
      </c>
      <c r="E37" s="85">
        <f t="shared" si="1"/>
        <v>-1.5043943112895737E-2</v>
      </c>
    </row>
    <row r="38" spans="1:15" ht="15" x14ac:dyDescent="0.3">
      <c r="A38" s="86">
        <v>18</v>
      </c>
      <c r="B38" s="90">
        <v>377</v>
      </c>
      <c r="C38" s="88">
        <v>84.5</v>
      </c>
      <c r="D38" s="89">
        <f t="shared" si="0"/>
        <v>292.5</v>
      </c>
      <c r="E38" s="85">
        <f t="shared" si="1"/>
        <v>2.0160219792641041E-3</v>
      </c>
    </row>
    <row r="39" spans="1:15" ht="15" x14ac:dyDescent="0.3">
      <c r="A39" s="86">
        <v>19</v>
      </c>
      <c r="B39" s="90">
        <v>375.49</v>
      </c>
      <c r="C39" s="88">
        <v>81.37</v>
      </c>
      <c r="D39" s="89">
        <f t="shared" si="0"/>
        <v>294.12</v>
      </c>
      <c r="E39" s="85">
        <f t="shared" si="1"/>
        <v>7.5656491779185053E-3</v>
      </c>
    </row>
    <row r="40" spans="1:15" ht="14.25" customHeight="1" x14ac:dyDescent="0.3">
      <c r="A40" s="91">
        <v>20</v>
      </c>
      <c r="B40" s="92">
        <v>372.83</v>
      </c>
      <c r="C40" s="93">
        <v>83.66</v>
      </c>
      <c r="D40" s="94">
        <f t="shared" si="0"/>
        <v>289.16999999999996</v>
      </c>
      <c r="E40" s="95">
        <f t="shared" si="1"/>
        <v>-9.3915450401922743E-3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7463.82</v>
      </c>
      <c r="C42" s="98">
        <f>SUM(C21:C40)</f>
        <v>1625.59</v>
      </c>
      <c r="D42" s="99">
        <f>SUM(D21:D40)</f>
        <v>5838.2300000000005</v>
      </c>
    </row>
    <row r="43" spans="1:15" ht="15.75" customHeight="1" x14ac:dyDescent="0.3">
      <c r="A43" s="100" t="s">
        <v>47</v>
      </c>
      <c r="B43" s="101">
        <f>AVERAGE(B21:B40)</f>
        <v>373.19099999999997</v>
      </c>
      <c r="C43" s="102">
        <f>AVERAGE(C21:C40)</f>
        <v>81.279499999999999</v>
      </c>
      <c r="D43" s="103">
        <f>AVERAGE(D21:D40)</f>
        <v>291.91150000000005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5">
        <f>D43</f>
        <v>291.91150000000005</v>
      </c>
      <c r="C47" s="107">
        <f>-(IF(D43&gt;300, 7.5%, 10%))</f>
        <v>-0.1</v>
      </c>
      <c r="D47" s="108">
        <f>IF(D43&lt;300, D43*0.9, D43*0.925)</f>
        <v>262.72035000000005</v>
      </c>
    </row>
    <row r="48" spans="1:15" ht="15.75" customHeight="1" x14ac:dyDescent="0.3">
      <c r="B48" s="306"/>
      <c r="C48" s="109">
        <f>+(IF(D43&gt;300, 7.5%, 10%))</f>
        <v>0.1</v>
      </c>
      <c r="D48" s="108">
        <f>IF(D43&lt;300, D43*1.1, D43*1.075)</f>
        <v>321.1026500000001</v>
      </c>
    </row>
    <row r="49" spans="1:7" ht="14.25" customHeight="1" x14ac:dyDescent="0.3">
      <c r="A49" s="110"/>
      <c r="D49" s="111"/>
    </row>
    <row r="50" spans="1:7" ht="15" customHeight="1" x14ac:dyDescent="0.3">
      <c r="B50" s="299" t="s">
        <v>26</v>
      </c>
      <c r="C50" s="299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3" zoomScale="60" zoomScaleNormal="40" zoomScalePageLayoutView="50" workbookViewId="0">
      <selection activeCell="F117" sqref="F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7" t="s">
        <v>49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50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x14ac:dyDescent="0.3">
      <c r="A15" s="119"/>
    </row>
    <row r="16" spans="1:9" ht="19.5" customHeight="1" x14ac:dyDescent="0.3">
      <c r="A16" s="341" t="s">
        <v>31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51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121" t="s">
        <v>33</v>
      </c>
      <c r="B18" s="340" t="s">
        <v>5</v>
      </c>
      <c r="C18" s="340"/>
      <c r="D18" s="284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97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45" t="s">
        <v>9</v>
      </c>
      <c r="C20" s="345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45" t="s">
        <v>11</v>
      </c>
      <c r="C21" s="345"/>
      <c r="D21" s="345"/>
      <c r="E21" s="345"/>
      <c r="F21" s="345"/>
      <c r="G21" s="345"/>
      <c r="H21" s="345"/>
      <c r="I21" s="125"/>
    </row>
    <row r="22" spans="1:14" ht="26.25" customHeight="1" x14ac:dyDescent="0.4">
      <c r="A22" s="121" t="s">
        <v>37</v>
      </c>
      <c r="B22" s="126"/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0" t="s">
        <v>128</v>
      </c>
      <c r="C26" s="340"/>
    </row>
    <row r="27" spans="1:14" ht="26.25" customHeight="1" x14ac:dyDescent="0.4">
      <c r="A27" s="130" t="s">
        <v>52</v>
      </c>
      <c r="B27" s="338"/>
      <c r="C27" s="338"/>
    </row>
    <row r="28" spans="1:14" ht="27" customHeight="1" x14ac:dyDescent="0.4">
      <c r="A28" s="130" t="s">
        <v>6</v>
      </c>
      <c r="B28" s="131">
        <v>86.6</v>
      </c>
    </row>
    <row r="29" spans="1:14" s="14" customFormat="1" ht="27" customHeight="1" x14ac:dyDescent="0.4">
      <c r="A29" s="130" t="s">
        <v>53</v>
      </c>
      <c r="B29" s="132"/>
      <c r="C29" s="315" t="s">
        <v>54</v>
      </c>
      <c r="D29" s="316"/>
      <c r="E29" s="316"/>
      <c r="F29" s="316"/>
      <c r="G29" s="317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86.6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18" t="s">
        <v>57</v>
      </c>
      <c r="D31" s="319"/>
      <c r="E31" s="319"/>
      <c r="F31" s="319"/>
      <c r="G31" s="319"/>
      <c r="H31" s="320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18" t="s">
        <v>59</v>
      </c>
      <c r="D32" s="319"/>
      <c r="E32" s="319"/>
      <c r="F32" s="319"/>
      <c r="G32" s="319"/>
      <c r="H32" s="320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25</v>
      </c>
      <c r="C36" s="120"/>
      <c r="D36" s="321" t="s">
        <v>63</v>
      </c>
      <c r="E36" s="339"/>
      <c r="F36" s="321" t="s">
        <v>64</v>
      </c>
      <c r="G36" s="322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135612046</v>
      </c>
      <c r="E38" s="154">
        <f>IF(ISBLANK(D38),"-",$D$48/$D$45*D38)</f>
        <v>161051658.62931404</v>
      </c>
      <c r="F38" s="153">
        <v>155815775</v>
      </c>
      <c r="G38" s="155">
        <f>IF(ISBLANK(F38),"-",$D$48/$F$45*F38)</f>
        <v>158945085.85021916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133792417</v>
      </c>
      <c r="E39" s="159">
        <f>IF(ISBLANK(D39),"-",$D$48/$D$45*D39)</f>
        <v>158890683.42700788</v>
      </c>
      <c r="F39" s="158">
        <v>161836367</v>
      </c>
      <c r="G39" s="160">
        <f>IF(ISBLANK(F39),"-",$D$48/$F$45*F39)</f>
        <v>165086591.81974721</v>
      </c>
      <c r="I39" s="323">
        <f>ABS((F43/D43*D42)-F42)/D42</f>
        <v>3.0019276562644826E-3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139577820</v>
      </c>
      <c r="E40" s="159">
        <f>IF(ISBLANK(D40),"-",$D$48/$D$45*D40)</f>
        <v>165761376.52892458</v>
      </c>
      <c r="F40" s="158">
        <v>159716777</v>
      </c>
      <c r="G40" s="160">
        <f>IF(ISBLANK(F40),"-",$D$48/$F$45*F40)</f>
        <v>162924433.24166188</v>
      </c>
      <c r="I40" s="323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136327427.66666666</v>
      </c>
      <c r="E42" s="169">
        <f>AVERAGE(E38:E41)</f>
        <v>161901239.5284155</v>
      </c>
      <c r="F42" s="168">
        <f>AVERAGE(F38:F41)</f>
        <v>159122973</v>
      </c>
      <c r="G42" s="170">
        <f>AVERAGE(G38:G41)</f>
        <v>162318703.63720942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29.17</v>
      </c>
      <c r="E43" s="161"/>
      <c r="F43" s="173">
        <v>33.96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29.17</v>
      </c>
      <c r="E44" s="176"/>
      <c r="F44" s="175">
        <f>F43*$B$34</f>
        <v>33.96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25</v>
      </c>
      <c r="C45" s="174" t="s">
        <v>81</v>
      </c>
      <c r="D45" s="178">
        <f>D44*$B$30/100</f>
        <v>25.261219999999998</v>
      </c>
      <c r="E45" s="179"/>
      <c r="F45" s="178">
        <f>F44*$B$30/100</f>
        <v>29.409359999999996</v>
      </c>
      <c r="H45" s="171"/>
    </row>
    <row r="46" spans="1:14" ht="19.5" customHeight="1" x14ac:dyDescent="0.3">
      <c r="A46" s="309" t="s">
        <v>82</v>
      </c>
      <c r="B46" s="310"/>
      <c r="C46" s="174" t="s">
        <v>83</v>
      </c>
      <c r="D46" s="180">
        <f>D45/$B$45</f>
        <v>1.0104487999999998</v>
      </c>
      <c r="E46" s="181"/>
      <c r="F46" s="182">
        <f>F45/$B$45</f>
        <v>1.1763743999999998</v>
      </c>
      <c r="H46" s="171"/>
    </row>
    <row r="47" spans="1:14" ht="27" customHeight="1" x14ac:dyDescent="0.4">
      <c r="A47" s="311"/>
      <c r="B47" s="312"/>
      <c r="C47" s="183" t="s">
        <v>84</v>
      </c>
      <c r="D47" s="184">
        <v>1.2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30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30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162109971.58281246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1.8373207138645126E-2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Amoxicillin Trihydrate equivalent to Amoxicillin 250mg BP</v>
      </c>
    </row>
    <row r="56" spans="1:12" ht="26.25" customHeight="1" x14ac:dyDescent="0.4">
      <c r="A56" s="198" t="s">
        <v>91</v>
      </c>
      <c r="B56" s="199">
        <v>250</v>
      </c>
      <c r="C56" s="120" t="str">
        <f>B20</f>
        <v xml:space="preserve">Amoxicillin Trihydrate </v>
      </c>
      <c r="H56" s="200"/>
    </row>
    <row r="57" spans="1:12" ht="18.75" x14ac:dyDescent="0.3">
      <c r="A57" s="197" t="s">
        <v>92</v>
      </c>
      <c r="B57" s="285">
        <f>Uniformity!D43</f>
        <v>291.91150000000005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26" t="s">
        <v>98</v>
      </c>
      <c r="D60" s="329">
        <v>96.19</v>
      </c>
      <c r="E60" s="203">
        <v>1</v>
      </c>
      <c r="F60" s="204">
        <v>202341541</v>
      </c>
      <c r="G60" s="286">
        <f>IF(ISBLANK(F60),"-",(F60/$D$50*$D$47*$B$68)*($B$57/$D$60))</f>
        <v>227.27300475528136</v>
      </c>
      <c r="H60" s="205">
        <f t="shared" ref="H60:H71" si="0">IF(ISBLANK(F60),"-",G60/$B$56)</f>
        <v>0.90909201902112546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27"/>
      <c r="D61" s="330"/>
      <c r="E61" s="206">
        <v>2</v>
      </c>
      <c r="F61" s="158">
        <v>201720034</v>
      </c>
      <c r="G61" s="287">
        <f>IF(ISBLANK(F61),"-",(F61/$D$50*$D$47*$B$68)*($B$57/$D$60))</f>
        <v>226.57491892145632</v>
      </c>
      <c r="H61" s="207">
        <f t="shared" si="0"/>
        <v>0.90629967568582526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27"/>
      <c r="D62" s="330"/>
      <c r="E62" s="206">
        <v>3</v>
      </c>
      <c r="F62" s="208">
        <v>202484442</v>
      </c>
      <c r="G62" s="287">
        <f>IF(ISBLANK(F62),"-",(F62/$D$50*$D$47*$B$68)*($B$57/$D$60))</f>
        <v>227.43351326723615</v>
      </c>
      <c r="H62" s="207">
        <f t="shared" si="0"/>
        <v>0.90973405306894461</v>
      </c>
      <c r="L62" s="133"/>
    </row>
    <row r="63" spans="1:12" ht="27" customHeight="1" x14ac:dyDescent="0.4">
      <c r="A63" s="145" t="s">
        <v>101</v>
      </c>
      <c r="B63" s="146">
        <v>1</v>
      </c>
      <c r="C63" s="337"/>
      <c r="D63" s="331"/>
      <c r="E63" s="209">
        <v>4</v>
      </c>
      <c r="F63" s="210"/>
      <c r="G63" s="287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26" t="s">
        <v>103</v>
      </c>
      <c r="D64" s="329">
        <v>107.38</v>
      </c>
      <c r="E64" s="203">
        <v>1</v>
      </c>
      <c r="F64" s="204">
        <v>227740244</v>
      </c>
      <c r="G64" s="288">
        <f>IF(ISBLANK(F64),"-",(F64/$D$50*$D$47*$B$68)*($B$57/$D$64))</f>
        <v>229.1443257048127</v>
      </c>
      <c r="H64" s="211">
        <f t="shared" si="0"/>
        <v>0.91657730281925076</v>
      </c>
    </row>
    <row r="65" spans="1:8" ht="26.25" customHeight="1" x14ac:dyDescent="0.4">
      <c r="A65" s="145" t="s">
        <v>104</v>
      </c>
      <c r="B65" s="146">
        <v>1</v>
      </c>
      <c r="C65" s="327"/>
      <c r="D65" s="330"/>
      <c r="E65" s="206">
        <v>2</v>
      </c>
      <c r="F65" s="158">
        <v>225865367</v>
      </c>
      <c r="G65" s="289">
        <f>IF(ISBLANK(F65),"-",(F65/$D$50*$D$47*$B$68)*($B$57/$D$64))</f>
        <v>227.2578895686309</v>
      </c>
      <c r="H65" s="212">
        <f t="shared" si="0"/>
        <v>0.90903155827452364</v>
      </c>
    </row>
    <row r="66" spans="1:8" ht="26.25" customHeight="1" x14ac:dyDescent="0.4">
      <c r="A66" s="145" t="s">
        <v>105</v>
      </c>
      <c r="B66" s="146">
        <v>1</v>
      </c>
      <c r="C66" s="327"/>
      <c r="D66" s="330"/>
      <c r="E66" s="206">
        <v>3</v>
      </c>
      <c r="F66" s="158">
        <v>225961068</v>
      </c>
      <c r="G66" s="289">
        <f>IF(ISBLANK(F66),"-",(F66/$D$50*$D$47*$B$68)*($B$57/$D$64))</f>
        <v>227.35418059181197</v>
      </c>
      <c r="H66" s="212">
        <f t="shared" si="0"/>
        <v>0.90941672236724791</v>
      </c>
    </row>
    <row r="67" spans="1:8" ht="27" customHeight="1" x14ac:dyDescent="0.4">
      <c r="A67" s="145" t="s">
        <v>106</v>
      </c>
      <c r="B67" s="146">
        <v>1</v>
      </c>
      <c r="C67" s="337"/>
      <c r="D67" s="331"/>
      <c r="E67" s="209">
        <v>4</v>
      </c>
      <c r="F67" s="210"/>
      <c r="G67" s="290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</v>
      </c>
      <c r="C68" s="326" t="s">
        <v>108</v>
      </c>
      <c r="D68" s="329">
        <v>92.85</v>
      </c>
      <c r="E68" s="203">
        <v>1</v>
      </c>
      <c r="F68" s="204">
        <v>193472648</v>
      </c>
      <c r="G68" s="288">
        <f>IF(ISBLANK(F68),"-",(F68/$D$50*$D$47*$B$68)*($B$57/$D$68))</f>
        <v>225.12845607361655</v>
      </c>
      <c r="H68" s="207">
        <f t="shared" si="0"/>
        <v>0.90051382429446614</v>
      </c>
    </row>
    <row r="69" spans="1:8" ht="27" customHeight="1" x14ac:dyDescent="0.4">
      <c r="A69" s="193" t="s">
        <v>109</v>
      </c>
      <c r="B69" s="215">
        <f>(D47*B68)/B56*B57</f>
        <v>70.058760000000007</v>
      </c>
      <c r="C69" s="327"/>
      <c r="D69" s="330"/>
      <c r="E69" s="206">
        <v>2</v>
      </c>
      <c r="F69" s="158">
        <v>193622580</v>
      </c>
      <c r="G69" s="289">
        <f>IF(ISBLANK(F69),"-",(F69/$D$50*$D$47*$B$68)*($B$57/$D$68))</f>
        <v>225.30291980285662</v>
      </c>
      <c r="H69" s="207">
        <f t="shared" si="0"/>
        <v>0.90121167921142653</v>
      </c>
    </row>
    <row r="70" spans="1:8" ht="26.25" customHeight="1" x14ac:dyDescent="0.4">
      <c r="A70" s="332" t="s">
        <v>82</v>
      </c>
      <c r="B70" s="333"/>
      <c r="C70" s="327"/>
      <c r="D70" s="330"/>
      <c r="E70" s="206">
        <v>3</v>
      </c>
      <c r="F70" s="158">
        <v>193719497</v>
      </c>
      <c r="G70" s="289">
        <f>IF(ISBLANK(F70),"-",(F70/$D$50*$D$47*$B$68)*($B$57/$D$68))</f>
        <v>225.4156942689263</v>
      </c>
      <c r="H70" s="207">
        <f>IF(ISBLANK(F70),"-",G70/$B$56)</f>
        <v>0.90166277707570519</v>
      </c>
    </row>
    <row r="71" spans="1:8" ht="27" customHeight="1" x14ac:dyDescent="0.4">
      <c r="A71" s="334"/>
      <c r="B71" s="335"/>
      <c r="C71" s="328"/>
      <c r="D71" s="331"/>
      <c r="E71" s="209">
        <v>4</v>
      </c>
      <c r="F71" s="210"/>
      <c r="G71" s="290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5">
        <f>AVERAGE(G60:G71)</f>
        <v>226.76498921718095</v>
      </c>
      <c r="H72" s="220">
        <f>AVERAGE(H60:H71)</f>
        <v>0.90705995686872398</v>
      </c>
    </row>
    <row r="73" spans="1:8" ht="26.25" customHeight="1" x14ac:dyDescent="0.4">
      <c r="C73" s="217"/>
      <c r="D73" s="217"/>
      <c r="E73" s="217"/>
      <c r="F73" s="221" t="s">
        <v>88</v>
      </c>
      <c r="G73" s="291">
        <f>STDEV(G60:G71)/G72</f>
        <v>5.7558607528400583E-3</v>
      </c>
      <c r="H73" s="291">
        <f>STDEV(H60:H71)/H72</f>
        <v>5.7558607528400575E-3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13" t="str">
        <f>B20</f>
        <v xml:space="preserve">Amoxicillin Trihydrate </v>
      </c>
      <c r="D76" s="313"/>
      <c r="E76" s="226" t="s">
        <v>112</v>
      </c>
      <c r="F76" s="226"/>
      <c r="G76" s="227">
        <f>H72</f>
        <v>0.90705995686872398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36" t="str">
        <f>B26</f>
        <v>amoxicillin</v>
      </c>
      <c r="C79" s="336"/>
    </row>
    <row r="80" spans="1:8" ht="26.25" customHeight="1" x14ac:dyDescent="0.4">
      <c r="A80" s="130" t="s">
        <v>52</v>
      </c>
      <c r="B80" s="336">
        <f>B27</f>
        <v>0</v>
      </c>
      <c r="C80" s="336"/>
    </row>
    <row r="81" spans="1:12" ht="27" customHeight="1" x14ac:dyDescent="0.4">
      <c r="A81" s="130" t="s">
        <v>6</v>
      </c>
      <c r="B81" s="229">
        <f>B28</f>
        <v>86.6</v>
      </c>
    </row>
    <row r="82" spans="1:12" s="14" customFormat="1" ht="27" customHeight="1" x14ac:dyDescent="0.4">
      <c r="A82" s="130" t="s">
        <v>53</v>
      </c>
      <c r="B82" s="132">
        <v>0</v>
      </c>
      <c r="C82" s="315" t="s">
        <v>54</v>
      </c>
      <c r="D82" s="316"/>
      <c r="E82" s="316"/>
      <c r="F82" s="316"/>
      <c r="G82" s="317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86.6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18" t="s">
        <v>115</v>
      </c>
      <c r="D84" s="319"/>
      <c r="E84" s="319"/>
      <c r="F84" s="319"/>
      <c r="G84" s="319"/>
      <c r="H84" s="320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18" t="s">
        <v>116</v>
      </c>
      <c r="D85" s="319"/>
      <c r="E85" s="319"/>
      <c r="F85" s="319"/>
      <c r="G85" s="319"/>
      <c r="H85" s="320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25</v>
      </c>
      <c r="D89" s="230" t="s">
        <v>63</v>
      </c>
      <c r="E89" s="231"/>
      <c r="F89" s="321" t="s">
        <v>64</v>
      </c>
      <c r="G89" s="322"/>
    </row>
    <row r="90" spans="1:12" ht="27" customHeight="1" x14ac:dyDescent="0.4">
      <c r="A90" s="145" t="s">
        <v>65</v>
      </c>
      <c r="B90" s="146">
        <v>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20</v>
      </c>
      <c r="C91" s="234">
        <v>1</v>
      </c>
      <c r="D91" s="153">
        <v>0.749</v>
      </c>
      <c r="E91" s="154">
        <f>IF(ISBLANK(D91),"-",$D$101/$D$98*D91)</f>
        <v>0.82361641898354698</v>
      </c>
      <c r="F91" s="153">
        <v>0.87490000000000001</v>
      </c>
      <c r="G91" s="155">
        <f>IF(ISBLANK(F91),"-",$D$101/$F$98*F91)</f>
        <v>0.82636200780220248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0.75370000000000004</v>
      </c>
      <c r="E92" s="159">
        <f>IF(ISBLANK(D92),"-",$D$101/$D$98*D92)</f>
        <v>0.82878463950320347</v>
      </c>
      <c r="F92" s="158">
        <v>0.87360000000000004</v>
      </c>
      <c r="G92" s="160">
        <f>IF(ISBLANK(F92),"-",$D$101/$F$98*F92)</f>
        <v>0.82513412963310562</v>
      </c>
      <c r="I92" s="323">
        <f>ABS((F96/D96*D95)-F95)/D95</f>
        <v>1.9625537956052277E-3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0.75249999999999995</v>
      </c>
      <c r="E93" s="159">
        <f>IF(ISBLANK(D93),"-",$D$101/$D$98*D93)</f>
        <v>0.82746509383861022</v>
      </c>
      <c r="F93" s="158">
        <v>0.87260000000000004</v>
      </c>
      <c r="G93" s="160">
        <f>IF(ISBLANK(F93),"-",$D$101/$F$98*F93)</f>
        <v>0.82418960796456964</v>
      </c>
      <c r="I93" s="323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346">
        <f>AVERAGE(D91:D94)</f>
        <v>0.75173333333333325</v>
      </c>
      <c r="E95" s="169">
        <f>AVERAGE(E91:E94)</f>
        <v>0.82662205077512019</v>
      </c>
      <c r="F95" s="347">
        <f>AVERAGE(F91:F94)</f>
        <v>0.87370000000000003</v>
      </c>
      <c r="G95" s="238">
        <f>AVERAGE(G91:G94)</f>
        <v>0.82522858179995928</v>
      </c>
    </row>
    <row r="96" spans="1:12" ht="26.25" customHeight="1" x14ac:dyDescent="0.4">
      <c r="A96" s="145" t="s">
        <v>76</v>
      </c>
      <c r="B96" s="131">
        <v>1</v>
      </c>
      <c r="C96" s="239" t="s">
        <v>117</v>
      </c>
      <c r="D96" s="240">
        <v>29.17</v>
      </c>
      <c r="E96" s="161"/>
      <c r="F96" s="173">
        <v>33.96</v>
      </c>
    </row>
    <row r="97" spans="1:10" ht="26.25" customHeight="1" x14ac:dyDescent="0.4">
      <c r="A97" s="145" t="s">
        <v>78</v>
      </c>
      <c r="B97" s="131">
        <v>1</v>
      </c>
      <c r="C97" s="241" t="s">
        <v>118</v>
      </c>
      <c r="D97" s="242">
        <v>29.17</v>
      </c>
      <c r="E97" s="176"/>
      <c r="F97" s="175">
        <f>F96*$B$87</f>
        <v>33.96</v>
      </c>
    </row>
    <row r="98" spans="1:10" ht="19.5" customHeight="1" x14ac:dyDescent="0.3">
      <c r="A98" s="145" t="s">
        <v>80</v>
      </c>
      <c r="B98" s="243">
        <f>(B97/B96)*(B95/B94)*(B93/B92)*(B91/B90)*B89</f>
        <v>100</v>
      </c>
      <c r="C98" s="241" t="s">
        <v>119</v>
      </c>
      <c r="D98" s="244">
        <f>D97*$B$83/100</f>
        <v>25.261219999999998</v>
      </c>
      <c r="E98" s="179"/>
      <c r="F98" s="178">
        <f>F97*$B$83/100</f>
        <v>29.409359999999996</v>
      </c>
    </row>
    <row r="99" spans="1:10" ht="19.5" customHeight="1" x14ac:dyDescent="0.3">
      <c r="A99" s="309" t="s">
        <v>82</v>
      </c>
      <c r="B99" s="324"/>
      <c r="C99" s="241" t="s">
        <v>120</v>
      </c>
      <c r="D99" s="245">
        <f>D98/$B$98</f>
        <v>0.25261219999999995</v>
      </c>
      <c r="E99" s="179"/>
      <c r="F99" s="182">
        <f>F98/$B$98</f>
        <v>0.29409359999999996</v>
      </c>
      <c r="G99" s="246"/>
      <c r="H99" s="171"/>
    </row>
    <row r="100" spans="1:10" ht="19.5" customHeight="1" x14ac:dyDescent="0.3">
      <c r="A100" s="311"/>
      <c r="B100" s="325"/>
      <c r="C100" s="241" t="s">
        <v>84</v>
      </c>
      <c r="D100" s="247">
        <f>$B$56/$B$116</f>
        <v>0.27777777777777779</v>
      </c>
      <c r="F100" s="187"/>
      <c r="G100" s="248"/>
      <c r="H100" s="171"/>
    </row>
    <row r="101" spans="1:10" ht="18.75" x14ac:dyDescent="0.3">
      <c r="C101" s="241" t="s">
        <v>85</v>
      </c>
      <c r="D101" s="242">
        <f>D100*$B$98</f>
        <v>27.777777777777779</v>
      </c>
      <c r="F101" s="187"/>
      <c r="G101" s="246"/>
      <c r="H101" s="171"/>
    </row>
    <row r="102" spans="1:10" ht="19.5" customHeight="1" x14ac:dyDescent="0.3">
      <c r="C102" s="249" t="s">
        <v>86</v>
      </c>
      <c r="D102" s="250">
        <f>D101/B34</f>
        <v>27.777777777777779</v>
      </c>
      <c r="F102" s="191"/>
      <c r="G102" s="246"/>
      <c r="H102" s="171"/>
      <c r="J102" s="251"/>
    </row>
    <row r="103" spans="1:10" ht="18.75" x14ac:dyDescent="0.3">
      <c r="C103" s="252" t="s">
        <v>121</v>
      </c>
      <c r="D103" s="253">
        <f>AVERAGE(E91:E94,G91:G94)</f>
        <v>0.82592531628753985</v>
      </c>
      <c r="F103" s="191"/>
      <c r="G103" s="254"/>
      <c r="H103" s="171"/>
      <c r="J103" s="255"/>
    </row>
    <row r="104" spans="1:10" ht="18.75" x14ac:dyDescent="0.3">
      <c r="C104" s="221" t="s">
        <v>88</v>
      </c>
      <c r="D104" s="256">
        <f>STDEV(E91:E94,G91:G94)/D103</f>
        <v>2.4037239414023341E-3</v>
      </c>
      <c r="F104" s="191"/>
      <c r="G104" s="246"/>
      <c r="H104" s="171"/>
      <c r="J104" s="255"/>
    </row>
    <row r="105" spans="1:10" ht="19.5" customHeight="1" x14ac:dyDescent="0.3">
      <c r="C105" s="223" t="s">
        <v>20</v>
      </c>
      <c r="D105" s="257">
        <f>COUNT(E91:E94,G91:G94)</f>
        <v>6</v>
      </c>
      <c r="F105" s="191"/>
      <c r="G105" s="246"/>
      <c r="H105" s="171"/>
      <c r="J105" s="255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58" t="s">
        <v>41</v>
      </c>
      <c r="D107" s="259" t="s">
        <v>67</v>
      </c>
      <c r="E107" s="260" t="s">
        <v>123</v>
      </c>
      <c r="F107" s="261" t="s">
        <v>124</v>
      </c>
    </row>
    <row r="108" spans="1:10" ht="26.25" customHeight="1" x14ac:dyDescent="0.4">
      <c r="A108" s="145" t="s">
        <v>125</v>
      </c>
      <c r="B108" s="146">
        <v>1</v>
      </c>
      <c r="C108" s="262">
        <v>1</v>
      </c>
      <c r="D108" s="348">
        <v>0.75839999999999996</v>
      </c>
      <c r="E108" s="292">
        <f t="shared" ref="E108:E113" si="1">IF(ISBLANK(D108),"-",D108/$D$103*$D$100*$B$116)</f>
        <v>229.56070756159286</v>
      </c>
      <c r="F108" s="263">
        <f t="shared" ref="F108:F113" si="2">IF(ISBLANK(D108), "-", E108/$B$56)</f>
        <v>0.91824283024637143</v>
      </c>
    </row>
    <row r="109" spans="1:10" ht="26.25" customHeight="1" x14ac:dyDescent="0.4">
      <c r="A109" s="145" t="s">
        <v>99</v>
      </c>
      <c r="B109" s="146">
        <v>1</v>
      </c>
      <c r="C109" s="262">
        <v>2</v>
      </c>
      <c r="D109" s="348">
        <v>0.76449999999999996</v>
      </c>
      <c r="E109" s="293">
        <f t="shared" si="1"/>
        <v>231.40712148053498</v>
      </c>
      <c r="F109" s="264">
        <f t="shared" si="2"/>
        <v>0.92562848592213998</v>
      </c>
    </row>
    <row r="110" spans="1:10" ht="26.25" customHeight="1" x14ac:dyDescent="0.4">
      <c r="A110" s="145" t="s">
        <v>100</v>
      </c>
      <c r="B110" s="146">
        <v>1</v>
      </c>
      <c r="C110" s="262">
        <v>3</v>
      </c>
      <c r="D110" s="348">
        <v>0.76419999999999999</v>
      </c>
      <c r="E110" s="293">
        <f t="shared" si="1"/>
        <v>231.31631423861978</v>
      </c>
      <c r="F110" s="264">
        <f t="shared" si="2"/>
        <v>0.92526525695447914</v>
      </c>
    </row>
    <row r="111" spans="1:10" ht="26.25" customHeight="1" x14ac:dyDescent="0.4">
      <c r="A111" s="145" t="s">
        <v>101</v>
      </c>
      <c r="B111" s="146">
        <v>1</v>
      </c>
      <c r="C111" s="262">
        <v>4</v>
      </c>
      <c r="D111" s="348">
        <v>0.74160000000000004</v>
      </c>
      <c r="E111" s="293">
        <f t="shared" si="1"/>
        <v>224.4755020143424</v>
      </c>
      <c r="F111" s="264">
        <f t="shared" si="2"/>
        <v>0.89790200805736964</v>
      </c>
    </row>
    <row r="112" spans="1:10" ht="26.25" customHeight="1" x14ac:dyDescent="0.4">
      <c r="A112" s="145" t="s">
        <v>102</v>
      </c>
      <c r="B112" s="146">
        <v>1</v>
      </c>
      <c r="C112" s="262">
        <v>5</v>
      </c>
      <c r="D112" s="348">
        <v>0.75090000000000001</v>
      </c>
      <c r="E112" s="293">
        <f t="shared" si="1"/>
        <v>227.29052651371313</v>
      </c>
      <c r="F112" s="264">
        <f t="shared" si="2"/>
        <v>0.90916210605485248</v>
      </c>
    </row>
    <row r="113" spans="1:10" ht="26.25" customHeight="1" x14ac:dyDescent="0.4">
      <c r="A113" s="145" t="s">
        <v>104</v>
      </c>
      <c r="B113" s="146">
        <v>1</v>
      </c>
      <c r="C113" s="265">
        <v>6</v>
      </c>
      <c r="D113" s="349">
        <v>0.73460000000000003</v>
      </c>
      <c r="E113" s="294">
        <f t="shared" si="1"/>
        <v>222.3566663696547</v>
      </c>
      <c r="F113" s="266">
        <f t="shared" si="2"/>
        <v>0.88942666547861882</v>
      </c>
    </row>
    <row r="114" spans="1:10" ht="26.25" customHeight="1" x14ac:dyDescent="0.4">
      <c r="A114" s="145" t="s">
        <v>105</v>
      </c>
      <c r="B114" s="146">
        <v>1</v>
      </c>
      <c r="C114" s="262"/>
      <c r="D114" s="218"/>
      <c r="E114" s="119"/>
      <c r="F114" s="267"/>
    </row>
    <row r="115" spans="1:10" ht="26.25" customHeight="1" x14ac:dyDescent="0.4">
      <c r="A115" s="145" t="s">
        <v>106</v>
      </c>
      <c r="B115" s="146">
        <v>1</v>
      </c>
      <c r="C115" s="262"/>
      <c r="D115" s="268" t="s">
        <v>75</v>
      </c>
      <c r="E115" s="296">
        <f>AVERAGE(E108:E113)</f>
        <v>227.73447302974299</v>
      </c>
      <c r="F115" s="269">
        <f>AVERAGE(F108:F113)</f>
        <v>0.91093789211897203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0"/>
      <c r="D116" s="237" t="s">
        <v>88</v>
      </c>
      <c r="E116" s="271">
        <f>STDEV(E108:E113)/E115</f>
        <v>1.6358386184590377E-2</v>
      </c>
      <c r="F116" s="271">
        <f>STDEV(F108:F113)/F115</f>
        <v>1.6358386184590377E-2</v>
      </c>
      <c r="I116" s="119"/>
    </row>
    <row r="117" spans="1:10" ht="27" customHeight="1" x14ac:dyDescent="0.4">
      <c r="A117" s="309" t="s">
        <v>82</v>
      </c>
      <c r="B117" s="310"/>
      <c r="C117" s="272"/>
      <c r="D117" s="273" t="s">
        <v>20</v>
      </c>
      <c r="E117" s="274">
        <f>COUNT(E108:E113)</f>
        <v>6</v>
      </c>
      <c r="F117" s="274">
        <f>COUNT(F108:F113)</f>
        <v>6</v>
      </c>
      <c r="I117" s="119"/>
      <c r="J117" s="255"/>
    </row>
    <row r="118" spans="1:10" ht="19.5" customHeight="1" x14ac:dyDescent="0.3">
      <c r="A118" s="311"/>
      <c r="B118" s="31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3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13" t="str">
        <f>B20</f>
        <v xml:space="preserve">Amoxicillin Trihydrate </v>
      </c>
      <c r="D120" s="313"/>
      <c r="E120" s="226" t="s">
        <v>127</v>
      </c>
      <c r="F120" s="226"/>
      <c r="G120" s="227">
        <f>F115</f>
        <v>0.91093789211897203</v>
      </c>
      <c r="H120" s="119"/>
      <c r="I120" s="119"/>
    </row>
    <row r="121" spans="1:10" ht="19.5" customHeight="1" x14ac:dyDescent="0.3">
      <c r="A121" s="275"/>
      <c r="B121" s="275"/>
      <c r="C121" s="276"/>
      <c r="D121" s="276"/>
      <c r="E121" s="276"/>
      <c r="F121" s="276"/>
      <c r="G121" s="276"/>
      <c r="H121" s="276"/>
    </row>
    <row r="122" spans="1:10" ht="18.75" x14ac:dyDescent="0.3">
      <c r="B122" s="314" t="s">
        <v>26</v>
      </c>
      <c r="C122" s="314"/>
      <c r="E122" s="232" t="s">
        <v>27</v>
      </c>
      <c r="F122" s="277"/>
      <c r="G122" s="314" t="s">
        <v>28</v>
      </c>
      <c r="H122" s="314"/>
    </row>
    <row r="123" spans="1:10" ht="69.95" customHeight="1" x14ac:dyDescent="0.3">
      <c r="A123" s="278" t="s">
        <v>29</v>
      </c>
      <c r="B123" s="279"/>
      <c r="C123" s="279"/>
      <c r="E123" s="279"/>
      <c r="F123" s="119"/>
      <c r="G123" s="280"/>
      <c r="H123" s="280"/>
    </row>
    <row r="124" spans="1:10" ht="69.95" customHeight="1" x14ac:dyDescent="0.3">
      <c r="A124" s="278" t="s">
        <v>30</v>
      </c>
      <c r="B124" s="281"/>
      <c r="C124" s="281"/>
      <c r="E124" s="281"/>
      <c r="F124" s="119"/>
      <c r="G124" s="282"/>
      <c r="H124" s="282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amoxicillin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2016-02-04T12:52:08Z</cp:lastPrinted>
  <dcterms:created xsi:type="dcterms:W3CDTF">2005-07-05T10:19:27Z</dcterms:created>
  <dcterms:modified xsi:type="dcterms:W3CDTF">2016-02-24T06:08:22Z</dcterms:modified>
  <cp:category/>
</cp:coreProperties>
</file>