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amoxicillin" sheetId="3" r:id="rId3"/>
    <sheet name="Sheet1" sheetId="4" r:id="rId4"/>
  </sheets>
  <definedNames>
    <definedName name="_xlnm.Print_Area" localSheetId="2">amoxicillin!$A$1:$N$124</definedName>
  </definedNames>
  <calcPr calcId="145621"/>
</workbook>
</file>

<file path=xl/calcChain.xml><?xml version="1.0" encoding="utf-8"?>
<calcChain xmlns="http://schemas.openxmlformats.org/spreadsheetml/2006/main">
  <c r="H63" i="3" l="1"/>
  <c r="H62" i="3"/>
  <c r="H61" i="3"/>
  <c r="H60" i="3"/>
  <c r="G61" i="3"/>
  <c r="B32" i="1"/>
  <c r="E30" i="1"/>
  <c r="D30" i="1"/>
  <c r="C30" i="1"/>
  <c r="B30" i="1"/>
  <c r="B31" i="1" s="1"/>
  <c r="F34" i="4" l="1"/>
  <c r="E34" i="4" l="1"/>
  <c r="E94" i="3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D45" i="3" l="1"/>
  <c r="E39" i="3" s="1"/>
  <c r="I92" i="3"/>
  <c r="D101" i="3"/>
  <c r="I39" i="3"/>
  <c r="D49" i="3"/>
  <c r="E41" i="3"/>
  <c r="F98" i="3"/>
  <c r="F99" i="3" s="1"/>
  <c r="F44" i="3"/>
  <c r="F45" i="3" s="1"/>
  <c r="F46" i="3" s="1"/>
  <c r="D43" i="2"/>
  <c r="E35" i="2" s="1"/>
  <c r="D97" i="3"/>
  <c r="D98" i="3" s="1"/>
  <c r="D99" i="3" s="1"/>
  <c r="E21" i="2" l="1"/>
  <c r="E27" i="2"/>
  <c r="B57" i="3"/>
  <c r="B69" i="3" s="1"/>
  <c r="E25" i="2"/>
  <c r="E33" i="2"/>
  <c r="E38" i="3"/>
  <c r="E42" i="3" s="1"/>
  <c r="D46" i="3"/>
  <c r="E40" i="3"/>
  <c r="D102" i="3"/>
  <c r="G91" i="3"/>
  <c r="G93" i="3"/>
  <c r="G94" i="3"/>
  <c r="G38" i="3"/>
  <c r="G39" i="3"/>
  <c r="E29" i="2"/>
  <c r="E93" i="3"/>
  <c r="D48" i="2"/>
  <c r="B47" i="2"/>
  <c r="C48" i="2"/>
  <c r="D47" i="2"/>
  <c r="C47" i="2"/>
  <c r="E40" i="2"/>
  <c r="E38" i="2"/>
  <c r="E36" i="2"/>
  <c r="E34" i="2"/>
  <c r="E32" i="2"/>
  <c r="E30" i="2"/>
  <c r="E28" i="2"/>
  <c r="E26" i="2"/>
  <c r="E24" i="2"/>
  <c r="E22" i="2"/>
  <c r="E39" i="2"/>
  <c r="E23" i="2"/>
  <c r="G40" i="3"/>
  <c r="G41" i="3"/>
  <c r="E37" i="2"/>
  <c r="E91" i="3"/>
  <c r="E92" i="3"/>
  <c r="E31" i="2"/>
  <c r="G92" i="3"/>
  <c r="D52" i="3" l="1"/>
  <c r="G42" i="3"/>
  <c r="G95" i="3"/>
  <c r="D50" i="3"/>
  <c r="E95" i="3"/>
  <c r="D105" i="3"/>
  <c r="D103" i="3"/>
  <c r="G68" i="3"/>
  <c r="H68" i="3" s="1"/>
  <c r="G70" i="3"/>
  <c r="H70" i="3" s="1"/>
  <c r="G63" i="3"/>
  <c r="G69" i="3" l="1"/>
  <c r="H69" i="3" s="1"/>
  <c r="G66" i="3"/>
  <c r="H66" i="3" s="1"/>
  <c r="D51" i="3"/>
  <c r="G62" i="3"/>
  <c r="G67" i="3"/>
  <c r="H67" i="3" s="1"/>
  <c r="G64" i="3"/>
  <c r="H64" i="3" s="1"/>
  <c r="G65" i="3"/>
  <c r="H65" i="3" s="1"/>
  <c r="G60" i="3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F115" i="3" s="1"/>
  <c r="H74" i="3"/>
  <c r="H72" i="3"/>
  <c r="G76" i="3" s="1"/>
  <c r="F117" i="3" l="1"/>
  <c r="H73" i="3"/>
  <c r="G120" i="3" l="1"/>
  <c r="F116" i="3"/>
</calcChain>
</file>

<file path=xl/sharedStrings.xml><?xml version="1.0" encoding="utf-8"?>
<sst xmlns="http://schemas.openxmlformats.org/spreadsheetml/2006/main" count="235" uniqueCount="129">
  <si>
    <t>HPLC System Suitability Report</t>
  </si>
  <si>
    <t>Analysis Data</t>
  </si>
  <si>
    <t>Assay</t>
  </si>
  <si>
    <t>Sample(s)</t>
  </si>
  <si>
    <t>Reference Substance:</t>
  </si>
  <si>
    <t>MAXACIL-250</t>
  </si>
  <si>
    <t>% age Purity:</t>
  </si>
  <si>
    <t>NDQA201509347</t>
  </si>
  <si>
    <t>Weight (mg):</t>
  </si>
  <si>
    <t>Amoxicillin</t>
  </si>
  <si>
    <t>Standard Conc (mg/mL):</t>
  </si>
  <si>
    <t>Each capsule contains Amoxicillin as Trihydrate 250mg</t>
  </si>
  <si>
    <t>2015-10-01 14:28:26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</si>
  <si>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</si>
  <si>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</si>
  <si>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</si>
  <si>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</si>
  <si>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</si>
  <si>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</si>
  <si>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</si>
  <si>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</si>
  <si>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</si>
  <si>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</si>
  <si>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</si>
  <si>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</si>
  <si>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</si>
  <si>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</si>
  <si>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</si>
  <si>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</si>
  <si>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</si>
  <si>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</si>
  <si>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</si>
  <si>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</si>
  <si>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</si>
  <si>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</si>
  <si>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</si>
  <si>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</si>
  <si>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</si>
  <si>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</si>
  <si>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2016-01-12 10:05:40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</si>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</sst>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166" fontId="12" fillId="6" borderId="56" xfId="0" applyNumberFormat="1" applyFont="1" applyFill="1" applyBorder="1" applyAlignment="1">
      <alignment horizontal="center"/>
    </xf>
    <xf numFmtId="166" fontId="12" fillId="6" borderId="57" xfId="0" applyNumberFormat="1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166" fontId="13" fillId="3" borderId="43" xfId="0" applyNumberFormat="1" applyFont="1" applyFill="1" applyBorder="1" applyAlignment="1" applyProtection="1">
      <alignment horizontal="center"/>
      <protection locked="0"/>
    </xf>
    <xf numFmtId="166" fontId="13" fillId="3" borderId="46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A18" sqref="A18:E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36"/>
      <c r="D18" s="36"/>
      <c r="E18" s="36"/>
    </row>
    <row r="19" spans="1:6" ht="16.5" customHeight="1" x14ac:dyDescent="0.3">
      <c r="A19" s="11" t="s">
        <v>6</v>
      </c>
      <c r="B19" s="12">
        <v>86.6</v>
      </c>
      <c r="C19" s="36"/>
      <c r="D19" s="36"/>
      <c r="E19" s="36"/>
    </row>
    <row r="20" spans="1:6" ht="16.5" customHeight="1" x14ac:dyDescent="0.3">
      <c r="A20" s="8" t="s">
        <v>8</v>
      </c>
      <c r="B20" s="12">
        <v>29.17</v>
      </c>
      <c r="C20" s="36"/>
      <c r="D20" s="36"/>
      <c r="E20" s="36"/>
    </row>
    <row r="21" spans="1:6" ht="16.5" customHeight="1" x14ac:dyDescent="0.3">
      <c r="A21" s="8" t="s">
        <v>10</v>
      </c>
      <c r="B21" s="13">
        <v>1.2</v>
      </c>
      <c r="C21" s="36"/>
      <c r="D21" s="36"/>
      <c r="E21" s="36"/>
    </row>
    <row r="22" spans="1:6" ht="15.75" customHeight="1" x14ac:dyDescent="0.25">
      <c r="A22" s="36"/>
      <c r="B22" s="36"/>
      <c r="C22" s="36"/>
      <c r="D22" s="36"/>
      <c r="E22" s="36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6" ht="16.5" customHeight="1" x14ac:dyDescent="0.3">
      <c r="A24" s="17">
        <v>1</v>
      </c>
      <c r="B24" s="18">
        <v>139985282</v>
      </c>
      <c r="C24" s="18">
        <v>7794.1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136901555</v>
      </c>
      <c r="C25" s="18">
        <v>7790.4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134888957</v>
      </c>
      <c r="C26" s="18">
        <v>7823.1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134611212</v>
      </c>
      <c r="C27" s="18">
        <v>7823.1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134278013</v>
      </c>
      <c r="C28" s="18">
        <v>7810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134380247</v>
      </c>
      <c r="C29" s="21">
        <v>7833.2</v>
      </c>
      <c r="D29" s="22">
        <v>1.1000000000000001</v>
      </c>
      <c r="E29" s="22">
        <v>4</v>
      </c>
    </row>
    <row r="30" spans="1:6" ht="16.5" customHeight="1" x14ac:dyDescent="0.3">
      <c r="A30" s="23" t="s">
        <v>18</v>
      </c>
      <c r="B30" s="24">
        <f>AVERAGE(B24:B29)</f>
        <v>135840877.66666666</v>
      </c>
      <c r="C30" s="25">
        <f>AVERAGE(C24:C29)</f>
        <v>7812.3166666666657</v>
      </c>
      <c r="D30" s="26">
        <f>AVERAGE(D24:D29)</f>
        <v>1.0999999999999999</v>
      </c>
      <c r="E30" s="26">
        <f>AVERAGE(E24:E29)</f>
        <v>4.5</v>
      </c>
    </row>
    <row r="31" spans="1:6" ht="16.5" customHeight="1" x14ac:dyDescent="0.3">
      <c r="A31" s="27" t="s">
        <v>19</v>
      </c>
      <c r="B31" s="28">
        <f>(STDEV(B24:B29)/B30)</f>
        <v>1.6557882579635939E-2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8" t="s">
        <v>26</v>
      </c>
      <c r="C59" s="29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7" workbookViewId="0">
      <selection activeCell="C39" sqref="C39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4" t="s">
        <v>31</v>
      </c>
      <c r="B8" s="304"/>
      <c r="C8" s="304"/>
      <c r="D8" s="304"/>
      <c r="E8" s="304"/>
      <c r="F8" s="304"/>
      <c r="G8" s="30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5" t="s">
        <v>32</v>
      </c>
      <c r="B10" s="305"/>
      <c r="C10" s="305"/>
      <c r="D10" s="305"/>
      <c r="E10" s="305"/>
      <c r="F10" s="305"/>
      <c r="G10" s="30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99" t="s">
        <v>33</v>
      </c>
      <c r="B11" s="29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99" t="s">
        <v>34</v>
      </c>
      <c r="B12" s="29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99" t="s">
        <v>35</v>
      </c>
      <c r="B13" s="29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99" t="s">
        <v>36</v>
      </c>
      <c r="B14" s="299"/>
      <c r="C14" s="303" t="s">
        <v>11</v>
      </c>
      <c r="D14" s="303"/>
      <c r="E14" s="303"/>
      <c r="F14" s="303"/>
      <c r="G14" s="30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99" t="s">
        <v>37</v>
      </c>
      <c r="B15" s="299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99" t="s">
        <v>38</v>
      </c>
      <c r="B16" s="299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0" t="s">
        <v>1</v>
      </c>
      <c r="B18" s="300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345.47</v>
      </c>
      <c r="C21" s="83">
        <v>62.79</v>
      </c>
      <c r="D21" s="84">
        <f t="shared" ref="D21:D40" si="0">B21-C21</f>
        <v>282.68</v>
      </c>
      <c r="E21" s="85">
        <f t="shared" ref="E21:E40" si="1">(D21-$D$43)/$D$43</f>
        <v>-2.5812454767894712E-2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342.89</v>
      </c>
      <c r="C22" s="88">
        <v>62.26</v>
      </c>
      <c r="D22" s="89">
        <f t="shared" si="0"/>
        <v>280.63</v>
      </c>
      <c r="E22" s="85">
        <f t="shared" si="1"/>
        <v>-3.2877278836544163E-2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365.46</v>
      </c>
      <c r="C23" s="88">
        <v>63.28</v>
      </c>
      <c r="D23" s="89">
        <f t="shared" si="0"/>
        <v>302.17999999999995</v>
      </c>
      <c r="E23" s="85">
        <f t="shared" si="1"/>
        <v>4.1389530275355593E-2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359.43</v>
      </c>
      <c r="C24" s="88">
        <v>62.62</v>
      </c>
      <c r="D24" s="89">
        <f t="shared" si="0"/>
        <v>296.81</v>
      </c>
      <c r="E24" s="85">
        <f t="shared" si="1"/>
        <v>2.2883137471137561E-2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354.23</v>
      </c>
      <c r="C25" s="88">
        <v>64.349999999999994</v>
      </c>
      <c r="D25" s="89">
        <f t="shared" si="0"/>
        <v>289.88</v>
      </c>
      <c r="E25" s="85">
        <f t="shared" si="1"/>
        <v>-9.9941413654071895E-4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350.81</v>
      </c>
      <c r="C26" s="88">
        <v>62.72</v>
      </c>
      <c r="D26" s="89">
        <f t="shared" si="0"/>
        <v>288.09000000000003</v>
      </c>
      <c r="E26" s="85">
        <f t="shared" si="1"/>
        <v>-7.1682117379466654E-3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349.01</v>
      </c>
      <c r="C27" s="88">
        <v>62.65</v>
      </c>
      <c r="D27" s="89">
        <f t="shared" si="0"/>
        <v>286.36</v>
      </c>
      <c r="E27" s="85">
        <f t="shared" si="1"/>
        <v>-1.3130234000758183E-2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348.97</v>
      </c>
      <c r="C28" s="88">
        <v>62.64</v>
      </c>
      <c r="D28" s="89">
        <f t="shared" si="0"/>
        <v>286.33000000000004</v>
      </c>
      <c r="E28" s="85">
        <f t="shared" si="1"/>
        <v>-1.3233621670055398E-2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344.54</v>
      </c>
      <c r="C29" s="88">
        <v>64.28</v>
      </c>
      <c r="D29" s="89">
        <f t="shared" si="0"/>
        <v>280.26</v>
      </c>
      <c r="E29" s="85">
        <f t="shared" si="1"/>
        <v>-3.4152393424544319E-2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357.25</v>
      </c>
      <c r="C30" s="88">
        <v>63.44</v>
      </c>
      <c r="D30" s="89">
        <f t="shared" si="0"/>
        <v>293.81</v>
      </c>
      <c r="E30" s="85">
        <f t="shared" si="1"/>
        <v>1.2544370541406714E-2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346.91</v>
      </c>
      <c r="C31" s="88">
        <v>63.95</v>
      </c>
      <c r="D31" s="89">
        <f t="shared" si="0"/>
        <v>282.96000000000004</v>
      </c>
      <c r="E31" s="85">
        <f t="shared" si="1"/>
        <v>-2.4847503187786397E-2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344.24</v>
      </c>
      <c r="C32" s="88">
        <v>62.65</v>
      </c>
      <c r="D32" s="89">
        <f t="shared" si="0"/>
        <v>281.59000000000003</v>
      </c>
      <c r="E32" s="85">
        <f t="shared" si="1"/>
        <v>-2.9568873419030167E-2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348.11</v>
      </c>
      <c r="C33" s="88">
        <v>64.42</v>
      </c>
      <c r="D33" s="89">
        <f t="shared" si="0"/>
        <v>283.69</v>
      </c>
      <c r="E33" s="85">
        <f t="shared" si="1"/>
        <v>-2.2331736568218692E-2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381.5</v>
      </c>
      <c r="C34" s="88">
        <v>61.58</v>
      </c>
      <c r="D34" s="89">
        <f t="shared" si="0"/>
        <v>319.92</v>
      </c>
      <c r="E34" s="85">
        <f t="shared" si="1"/>
        <v>0.10252610538649756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345.9</v>
      </c>
      <c r="C35" s="88">
        <v>63.21</v>
      </c>
      <c r="D35" s="89">
        <f t="shared" si="0"/>
        <v>282.69</v>
      </c>
      <c r="E35" s="85">
        <f t="shared" si="1"/>
        <v>-2.5777992211462309E-2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353.98</v>
      </c>
      <c r="C36" s="88">
        <v>63.6</v>
      </c>
      <c r="D36" s="89">
        <f t="shared" si="0"/>
        <v>290.38</v>
      </c>
      <c r="E36" s="85">
        <f t="shared" si="1"/>
        <v>7.2371368508108872E-4</v>
      </c>
      <c r="G36" s="66"/>
      <c r="H36" s="66"/>
    </row>
    <row r="37" spans="1:15" ht="15" x14ac:dyDescent="0.3">
      <c r="A37" s="86">
        <v>17</v>
      </c>
      <c r="B37" s="90">
        <v>353.67</v>
      </c>
      <c r="C37" s="88">
        <v>62.06</v>
      </c>
      <c r="D37" s="89">
        <f t="shared" si="0"/>
        <v>291.61</v>
      </c>
      <c r="E37" s="85">
        <f t="shared" si="1"/>
        <v>4.9626081262707988E-3</v>
      </c>
    </row>
    <row r="38" spans="1:15" ht="15" x14ac:dyDescent="0.3">
      <c r="A38" s="86">
        <v>18</v>
      </c>
      <c r="B38" s="90">
        <v>365.79</v>
      </c>
      <c r="C38" s="88">
        <v>64.08</v>
      </c>
      <c r="D38" s="89">
        <f t="shared" si="0"/>
        <v>301.71000000000004</v>
      </c>
      <c r="E38" s="85">
        <f t="shared" si="1"/>
        <v>3.9769790123031397E-2</v>
      </c>
    </row>
    <row r="39" spans="1:15" ht="15" x14ac:dyDescent="0.3">
      <c r="A39" s="86">
        <v>19</v>
      </c>
      <c r="B39" s="90">
        <v>340.17</v>
      </c>
      <c r="C39" s="88">
        <v>62.95</v>
      </c>
      <c r="D39" s="89">
        <f t="shared" si="0"/>
        <v>277.22000000000003</v>
      </c>
      <c r="E39" s="85">
        <f t="shared" si="1"/>
        <v>-4.4629010580004784E-2</v>
      </c>
    </row>
    <row r="40" spans="1:15" ht="14.25" customHeight="1" x14ac:dyDescent="0.3">
      <c r="A40" s="91">
        <v>20</v>
      </c>
      <c r="B40" s="92">
        <v>365.98</v>
      </c>
      <c r="C40" s="93">
        <v>61.38</v>
      </c>
      <c r="D40" s="94">
        <f t="shared" si="0"/>
        <v>304.60000000000002</v>
      </c>
      <c r="E40" s="95">
        <f t="shared" si="1"/>
        <v>4.9729468932005395E-2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7064.3099999999995</v>
      </c>
      <c r="C42" s="98">
        <f>SUM(C21:C40)</f>
        <v>1260.9100000000001</v>
      </c>
      <c r="D42" s="99">
        <f>SUM(D21:D40)</f>
        <v>5803.4000000000005</v>
      </c>
    </row>
    <row r="43" spans="1:15" ht="15.75" customHeight="1" x14ac:dyDescent="0.3">
      <c r="A43" s="100" t="s">
        <v>47</v>
      </c>
      <c r="B43" s="101">
        <f>AVERAGE(B21:B40)</f>
        <v>353.21549999999996</v>
      </c>
      <c r="C43" s="102">
        <f>AVERAGE(C21:C40)</f>
        <v>63.045500000000004</v>
      </c>
      <c r="D43" s="103">
        <f>AVERAGE(D21:D40)</f>
        <v>290.17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01">
        <f>D43</f>
        <v>290.17</v>
      </c>
      <c r="C47" s="107">
        <f>-(IF(D43&gt;300, 7.5%, 10%))</f>
        <v>-0.1</v>
      </c>
      <c r="D47" s="108">
        <f>IF(D43&lt;300, D43*0.9, D43*0.925)</f>
        <v>261.15300000000002</v>
      </c>
    </row>
    <row r="48" spans="1:15" ht="15.75" customHeight="1" x14ac:dyDescent="0.3">
      <c r="B48" s="302"/>
      <c r="C48" s="109">
        <f>+(IF(D43&gt;300, 7.5%, 10%))</f>
        <v>0.1</v>
      </c>
      <c r="D48" s="108">
        <f>IF(D43&lt;300, D43*1.1, D43*1.075)</f>
        <v>319.18700000000007</v>
      </c>
    </row>
    <row r="49" spans="1:7" ht="14.25" customHeight="1" x14ac:dyDescent="0.3">
      <c r="A49" s="110"/>
      <c r="D49" s="111"/>
    </row>
    <row r="50" spans="1:7" ht="15" customHeight="1" x14ac:dyDescent="0.3">
      <c r="B50" s="298" t="s">
        <v>26</v>
      </c>
      <c r="C50" s="298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5" zoomScale="60" zoomScaleNormal="40" zoomScalePageLayoutView="50" workbookViewId="0">
      <selection activeCell="D108" sqref="D108: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4" t="s">
        <v>49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 x14ac:dyDescent="0.25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 x14ac:dyDescent="0.25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 x14ac:dyDescent="0.25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 x14ac:dyDescent="0.25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 x14ac:dyDescent="0.25">
      <c r="A7" s="334"/>
      <c r="B7" s="334"/>
      <c r="C7" s="334"/>
      <c r="D7" s="334"/>
      <c r="E7" s="334"/>
      <c r="F7" s="334"/>
      <c r="G7" s="334"/>
      <c r="H7" s="334"/>
      <c r="I7" s="334"/>
    </row>
    <row r="8" spans="1:9" x14ac:dyDescent="0.25">
      <c r="A8" s="335" t="s">
        <v>50</v>
      </c>
      <c r="B8" s="335"/>
      <c r="C8" s="335"/>
      <c r="D8" s="335"/>
      <c r="E8" s="335"/>
      <c r="F8" s="335"/>
      <c r="G8" s="335"/>
      <c r="H8" s="335"/>
      <c r="I8" s="335"/>
    </row>
    <row r="9" spans="1:9" x14ac:dyDescent="0.25">
      <c r="A9" s="335"/>
      <c r="B9" s="335"/>
      <c r="C9" s="335"/>
      <c r="D9" s="335"/>
      <c r="E9" s="335"/>
      <c r="F9" s="335"/>
      <c r="G9" s="335"/>
      <c r="H9" s="335"/>
      <c r="I9" s="335"/>
    </row>
    <row r="10" spans="1:9" x14ac:dyDescent="0.25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 x14ac:dyDescent="0.25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 x14ac:dyDescent="0.25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 x14ac:dyDescent="0.25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 x14ac:dyDescent="0.25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 x14ac:dyDescent="0.3">
      <c r="A15" s="119"/>
    </row>
    <row r="16" spans="1:9" ht="19.5" customHeight="1" x14ac:dyDescent="0.3">
      <c r="A16" s="307" t="s">
        <v>31</v>
      </c>
      <c r="B16" s="308"/>
      <c r="C16" s="308"/>
      <c r="D16" s="308"/>
      <c r="E16" s="308"/>
      <c r="F16" s="308"/>
      <c r="G16" s="308"/>
      <c r="H16" s="309"/>
    </row>
    <row r="17" spans="1:14" ht="20.25" customHeight="1" x14ac:dyDescent="0.25">
      <c r="A17" s="310" t="s">
        <v>51</v>
      </c>
      <c r="B17" s="310"/>
      <c r="C17" s="310"/>
      <c r="D17" s="310"/>
      <c r="E17" s="310"/>
      <c r="F17" s="310"/>
      <c r="G17" s="310"/>
      <c r="H17" s="310"/>
    </row>
    <row r="18" spans="1:14" ht="26.25" customHeight="1" x14ac:dyDescent="0.4">
      <c r="A18" s="121" t="s">
        <v>33</v>
      </c>
      <c r="B18" s="306" t="s">
        <v>5</v>
      </c>
      <c r="C18" s="306"/>
      <c r="D18" s="283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96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1" t="s">
        <v>9</v>
      </c>
      <c r="C20" s="311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1" t="s">
        <v>11</v>
      </c>
      <c r="C21" s="311"/>
      <c r="D21" s="311"/>
      <c r="E21" s="311"/>
      <c r="F21" s="311"/>
      <c r="G21" s="311"/>
      <c r="H21" s="311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06" t="s">
        <v>128</v>
      </c>
      <c r="C26" s="306"/>
    </row>
    <row r="27" spans="1:14" ht="26.25" customHeight="1" x14ac:dyDescent="0.4">
      <c r="A27" s="130" t="s">
        <v>52</v>
      </c>
      <c r="B27" s="312"/>
      <c r="C27" s="312"/>
    </row>
    <row r="28" spans="1:14" ht="27" customHeight="1" x14ac:dyDescent="0.4">
      <c r="A28" s="130" t="s">
        <v>6</v>
      </c>
      <c r="B28" s="131">
        <v>86.6</v>
      </c>
    </row>
    <row r="29" spans="1:14" s="14" customFormat="1" ht="27" customHeight="1" x14ac:dyDescent="0.4">
      <c r="A29" s="130" t="s">
        <v>53</v>
      </c>
      <c r="B29" s="132"/>
      <c r="C29" s="313" t="s">
        <v>54</v>
      </c>
      <c r="D29" s="314"/>
      <c r="E29" s="314"/>
      <c r="F29" s="314"/>
      <c r="G29" s="315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86.6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16" t="s">
        <v>57</v>
      </c>
      <c r="D31" s="317"/>
      <c r="E31" s="317"/>
      <c r="F31" s="317"/>
      <c r="G31" s="317"/>
      <c r="H31" s="318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16" t="s">
        <v>59</v>
      </c>
      <c r="D32" s="317"/>
      <c r="E32" s="317"/>
      <c r="F32" s="317"/>
      <c r="G32" s="317"/>
      <c r="H32" s="318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25</v>
      </c>
      <c r="C36" s="120"/>
      <c r="D36" s="319" t="s">
        <v>63</v>
      </c>
      <c r="E36" s="320"/>
      <c r="F36" s="319" t="s">
        <v>64</v>
      </c>
      <c r="G36" s="321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135612046</v>
      </c>
      <c r="E38" s="154">
        <f>IF(ISBLANK(D38),"-",$D$48/$D$45*D38)</f>
        <v>161051658.62931404</v>
      </c>
      <c r="F38" s="153">
        <v>155815775</v>
      </c>
      <c r="G38" s="155">
        <f>IF(ISBLANK(F38),"-",$D$48/$F$45*F38)</f>
        <v>158945085.85021916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133792417</v>
      </c>
      <c r="E39" s="159">
        <f>IF(ISBLANK(D39),"-",$D$48/$D$45*D39)</f>
        <v>158890683.42700788</v>
      </c>
      <c r="F39" s="158">
        <v>161836367</v>
      </c>
      <c r="G39" s="160">
        <f>IF(ISBLANK(F39),"-",$D$48/$F$45*F39)</f>
        <v>165086591.81974721</v>
      </c>
      <c r="I39" s="323">
        <f>ABS((F43/D43*D42)-F42)/D42</f>
        <v>3.0019276562644826E-3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139577820</v>
      </c>
      <c r="E40" s="159">
        <f>IF(ISBLANK(D40),"-",$D$48/$D$45*D40)</f>
        <v>165761376.52892458</v>
      </c>
      <c r="F40" s="158">
        <v>159716777</v>
      </c>
      <c r="G40" s="160">
        <f>IF(ISBLANK(F40),"-",$D$48/$F$45*F40)</f>
        <v>162924433.24166188</v>
      </c>
      <c r="I40" s="323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136327427.66666666</v>
      </c>
      <c r="E42" s="169">
        <f>AVERAGE(E38:E41)</f>
        <v>161901239.5284155</v>
      </c>
      <c r="F42" s="168">
        <f>AVERAGE(F38:F41)</f>
        <v>159122973</v>
      </c>
      <c r="G42" s="170">
        <f>AVERAGE(G38:G41)</f>
        <v>162318703.63720942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29.17</v>
      </c>
      <c r="E43" s="161"/>
      <c r="F43" s="173">
        <v>33.96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29.17</v>
      </c>
      <c r="E44" s="176"/>
      <c r="F44" s="175">
        <f>F43*$B$34</f>
        <v>33.96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25.261219999999998</v>
      </c>
      <c r="E45" s="179"/>
      <c r="F45" s="178">
        <f>F44*$B$30/100</f>
        <v>29.409359999999996</v>
      </c>
      <c r="H45" s="171"/>
    </row>
    <row r="46" spans="1:14" ht="19.5" customHeight="1" x14ac:dyDescent="0.3">
      <c r="A46" s="324" t="s">
        <v>82</v>
      </c>
      <c r="B46" s="325"/>
      <c r="C46" s="174" t="s">
        <v>83</v>
      </c>
      <c r="D46" s="180">
        <f>D45/$B$45</f>
        <v>1.0104487999999998</v>
      </c>
      <c r="E46" s="181"/>
      <c r="F46" s="182">
        <f>F45/$B$45</f>
        <v>1.1763743999999998</v>
      </c>
      <c r="H46" s="171"/>
    </row>
    <row r="47" spans="1:14" ht="27" customHeight="1" x14ac:dyDescent="0.4">
      <c r="A47" s="326"/>
      <c r="B47" s="327"/>
      <c r="C47" s="183" t="s">
        <v>84</v>
      </c>
      <c r="D47" s="184">
        <v>1.2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30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30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162109971.58281246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1.8373207138645126E-2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Amoxicillin as Trihydrate 250mg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>Amoxicillin</v>
      </c>
      <c r="H56" s="200"/>
    </row>
    <row r="57" spans="1:12" ht="18.75" x14ac:dyDescent="0.3">
      <c r="A57" s="197" t="s">
        <v>92</v>
      </c>
      <c r="B57" s="284">
        <f>Uniformity!D43</f>
        <v>290.17</v>
      </c>
      <c r="H57" s="200"/>
    </row>
    <row r="58" spans="1:12" ht="19.5" customHeight="1" thickBot="1" x14ac:dyDescent="0.35">
      <c r="H58" s="200"/>
    </row>
    <row r="59" spans="1:12" s="14" customFormat="1" ht="27" customHeight="1" thickBot="1" x14ac:dyDescent="0.45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347" t="s">
        <v>95</v>
      </c>
      <c r="H59" s="349" t="s">
        <v>96</v>
      </c>
      <c r="I59" s="348"/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28" t="s">
        <v>98</v>
      </c>
      <c r="D60" s="331">
        <v>76.47</v>
      </c>
      <c r="E60" s="203">
        <v>1</v>
      </c>
      <c r="F60" s="204">
        <v>159665302</v>
      </c>
      <c r="G60" s="285">
        <f>IF(ISBLANK(F60),"-",(F60/$D$50*$D$47*$B$68)*($B$57/$D$60))</f>
        <v>224.24020771585606</v>
      </c>
      <c r="H60" s="206">
        <f t="shared" ref="H60:H71" si="0">IF(ISBLANK(F60),"-",G60/$B$56)</f>
        <v>0.89696083086342426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29"/>
      <c r="D61" s="332"/>
      <c r="E61" s="205">
        <v>2</v>
      </c>
      <c r="F61" s="158">
        <v>159681428</v>
      </c>
      <c r="G61" s="286">
        <f>IF(ISBLANK(F61),"-",(F61/$D$50*$D$47*$B$68)*($B$57/$D$60))</f>
        <v>224.26285570226466</v>
      </c>
      <c r="H61" s="206">
        <f t="shared" si="0"/>
        <v>0.89705142280905859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29"/>
      <c r="D62" s="332"/>
      <c r="E62" s="205">
        <v>3</v>
      </c>
      <c r="F62" s="207">
        <v>158958294</v>
      </c>
      <c r="G62" s="286">
        <f>IF(ISBLANK(F62),"-",(F62/$D$50*$D$47*$B$68)*($B$57/$D$60))</f>
        <v>223.24725797166698</v>
      </c>
      <c r="H62" s="206">
        <f t="shared" si="0"/>
        <v>0.89298903188666789</v>
      </c>
      <c r="L62" s="133"/>
    </row>
    <row r="63" spans="1:12" ht="27" customHeight="1" thickBot="1" x14ac:dyDescent="0.45">
      <c r="A63" s="145" t="s">
        <v>101</v>
      </c>
      <c r="B63" s="146">
        <v>1</v>
      </c>
      <c r="C63" s="330"/>
      <c r="D63" s="333"/>
      <c r="E63" s="208">
        <v>4</v>
      </c>
      <c r="F63" s="209"/>
      <c r="G63" s="286" t="str">
        <f>IF(ISBLANK(F63),"-",(F63/$D$50*$D$47*$B$68)*($B$57/$D$60))</f>
        <v>-</v>
      </c>
      <c r="H63" s="215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28" t="s">
        <v>103</v>
      </c>
      <c r="D64" s="331">
        <v>102.1</v>
      </c>
      <c r="E64" s="203">
        <v>1</v>
      </c>
      <c r="F64" s="204">
        <v>219028191</v>
      </c>
      <c r="G64" s="287">
        <f>IF(ISBLANK(F64),"-",(F64/$D$50*$D$47*$B$68)*($B$57/$D$64))</f>
        <v>230.39248264441679</v>
      </c>
      <c r="H64" s="210">
        <f t="shared" si="0"/>
        <v>0.92156993057766712</v>
      </c>
    </row>
    <row r="65" spans="1:8" ht="26.25" customHeight="1" x14ac:dyDescent="0.4">
      <c r="A65" s="145" t="s">
        <v>104</v>
      </c>
      <c r="B65" s="146">
        <v>1</v>
      </c>
      <c r="C65" s="329"/>
      <c r="D65" s="332"/>
      <c r="E65" s="205">
        <v>2</v>
      </c>
      <c r="F65" s="158">
        <v>221147169</v>
      </c>
      <c r="G65" s="288">
        <f>IF(ISBLANK(F65),"-",(F65/$D$50*$D$47*$B$68)*($B$57/$D$64))</f>
        <v>232.62140395294782</v>
      </c>
      <c r="H65" s="211">
        <f t="shared" si="0"/>
        <v>0.93048561581179123</v>
      </c>
    </row>
    <row r="66" spans="1:8" ht="26.25" customHeight="1" x14ac:dyDescent="0.4">
      <c r="A66" s="145" t="s">
        <v>105</v>
      </c>
      <c r="B66" s="146">
        <v>1</v>
      </c>
      <c r="C66" s="329"/>
      <c r="D66" s="332"/>
      <c r="E66" s="205">
        <v>3</v>
      </c>
      <c r="F66" s="158">
        <v>217769568</v>
      </c>
      <c r="G66" s="288">
        <f>IF(ISBLANK(F66),"-",(F66/$D$50*$D$47*$B$68)*($B$57/$D$64))</f>
        <v>229.06855590987439</v>
      </c>
      <c r="H66" s="211">
        <f t="shared" si="0"/>
        <v>0.91627422363949751</v>
      </c>
    </row>
    <row r="67" spans="1:8" ht="27" customHeight="1" x14ac:dyDescent="0.4">
      <c r="A67" s="145" t="s">
        <v>106</v>
      </c>
      <c r="B67" s="146">
        <v>1</v>
      </c>
      <c r="C67" s="330"/>
      <c r="D67" s="333"/>
      <c r="E67" s="208">
        <v>4</v>
      </c>
      <c r="F67" s="209"/>
      <c r="G67" s="289" t="str">
        <f>IF(ISBLANK(F67),"-",(F67/$D$50*$D$47*$B$68)*($B$57/$D$64))</f>
        <v>-</v>
      </c>
      <c r="H67" s="212" t="str">
        <f t="shared" si="0"/>
        <v>-</v>
      </c>
    </row>
    <row r="68" spans="1:8" ht="26.25" customHeight="1" x14ac:dyDescent="0.4">
      <c r="A68" s="145" t="s">
        <v>107</v>
      </c>
      <c r="B68" s="213">
        <f>(B67/B66)*(B65/B64)*(B63/B62)*(B61/B60)*B59</f>
        <v>50</v>
      </c>
      <c r="C68" s="328" t="s">
        <v>108</v>
      </c>
      <c r="D68" s="331">
        <v>82.65</v>
      </c>
      <c r="E68" s="203">
        <v>1</v>
      </c>
      <c r="F68" s="204">
        <v>175888307</v>
      </c>
      <c r="G68" s="287">
        <f>IF(ISBLANK(F68),"-",(F68/$D$50*$D$47*$B$68)*($B$57/$D$68))</f>
        <v>228.55363939252621</v>
      </c>
      <c r="H68" s="206">
        <f t="shared" si="0"/>
        <v>0.91421455757010484</v>
      </c>
    </row>
    <row r="69" spans="1:8" ht="27" customHeight="1" x14ac:dyDescent="0.4">
      <c r="A69" s="193" t="s">
        <v>109</v>
      </c>
      <c r="B69" s="214">
        <f>(D47*B68)/B56*B57</f>
        <v>69.640799999999999</v>
      </c>
      <c r="C69" s="329"/>
      <c r="D69" s="332"/>
      <c r="E69" s="205">
        <v>2</v>
      </c>
      <c r="F69" s="158">
        <v>176079928</v>
      </c>
      <c r="G69" s="288">
        <f>IF(ISBLANK(F69),"-",(F69/$D$50*$D$47*$B$68)*($B$57/$D$68))</f>
        <v>228.80263648437966</v>
      </c>
      <c r="H69" s="206">
        <f t="shared" si="0"/>
        <v>0.9152105459375186</v>
      </c>
    </row>
    <row r="70" spans="1:8" ht="26.25" customHeight="1" x14ac:dyDescent="0.4">
      <c r="A70" s="341" t="s">
        <v>82</v>
      </c>
      <c r="B70" s="342"/>
      <c r="C70" s="329"/>
      <c r="D70" s="332"/>
      <c r="E70" s="205">
        <v>3</v>
      </c>
      <c r="F70" s="158">
        <v>176397866</v>
      </c>
      <c r="G70" s="288">
        <f>IF(ISBLANK(F70),"-",(F70/$D$50*$D$47*$B$68)*($B$57/$D$68))</f>
        <v>229.21577302677173</v>
      </c>
      <c r="H70" s="206">
        <f t="shared" si="0"/>
        <v>0.91686309210708694</v>
      </c>
    </row>
    <row r="71" spans="1:8" ht="27" customHeight="1" x14ac:dyDescent="0.4">
      <c r="A71" s="343"/>
      <c r="B71" s="344"/>
      <c r="C71" s="340"/>
      <c r="D71" s="333"/>
      <c r="E71" s="208">
        <v>4</v>
      </c>
      <c r="F71" s="209"/>
      <c r="G71" s="289" t="str">
        <f>IF(ISBLANK(F71),"-",(F71/$D$50*$D$47*$B$68)*($B$57/$D$68))</f>
        <v>-</v>
      </c>
      <c r="H71" s="215" t="str">
        <f t="shared" si="0"/>
        <v>-</v>
      </c>
    </row>
    <row r="72" spans="1:8" ht="26.25" customHeight="1" x14ac:dyDescent="0.4">
      <c r="A72" s="216"/>
      <c r="B72" s="216"/>
      <c r="C72" s="216"/>
      <c r="D72" s="216"/>
      <c r="E72" s="216"/>
      <c r="F72" s="218" t="s">
        <v>75</v>
      </c>
      <c r="G72" s="294">
        <f>AVERAGE(G60:G71)</f>
        <v>227.82275697785605</v>
      </c>
      <c r="H72" s="219">
        <f>AVERAGE(H60:H71)</f>
        <v>0.91129102791142413</v>
      </c>
    </row>
    <row r="73" spans="1:8" ht="26.25" customHeight="1" x14ac:dyDescent="0.4">
      <c r="C73" s="216"/>
      <c r="D73" s="216"/>
      <c r="E73" s="216"/>
      <c r="F73" s="220" t="s">
        <v>88</v>
      </c>
      <c r="G73" s="290">
        <f>STDEV(G60:G71)/G72</f>
        <v>1.3972094130443577E-2</v>
      </c>
      <c r="H73" s="290">
        <f>STDEV(H60:H71)/H72</f>
        <v>1.3972094130443573E-2</v>
      </c>
    </row>
    <row r="74" spans="1:8" ht="27" customHeight="1" x14ac:dyDescent="0.4">
      <c r="A74" s="216"/>
      <c r="B74" s="216"/>
      <c r="C74" s="217"/>
      <c r="D74" s="217"/>
      <c r="E74" s="221"/>
      <c r="F74" s="222" t="s">
        <v>20</v>
      </c>
      <c r="G74" s="223">
        <f>COUNT(G60:G71)</f>
        <v>9</v>
      </c>
      <c r="H74" s="223">
        <f>COUNT(H60:H71)</f>
        <v>9</v>
      </c>
    </row>
    <row r="76" spans="1:8" ht="26.25" customHeight="1" x14ac:dyDescent="0.4">
      <c r="A76" s="129" t="s">
        <v>110</v>
      </c>
      <c r="B76" s="224" t="s">
        <v>111</v>
      </c>
      <c r="C76" s="336" t="str">
        <f>B20</f>
        <v>Amoxicillin</v>
      </c>
      <c r="D76" s="336"/>
      <c r="E76" s="225" t="s">
        <v>112</v>
      </c>
      <c r="F76" s="225"/>
      <c r="G76" s="226">
        <f>H72</f>
        <v>0.91129102791142413</v>
      </c>
      <c r="H76" s="227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2" t="str">
        <f>B26</f>
        <v>amoxicillin</v>
      </c>
      <c r="C79" s="322"/>
    </row>
    <row r="80" spans="1:8" ht="26.25" customHeight="1" x14ac:dyDescent="0.4">
      <c r="A80" s="130" t="s">
        <v>52</v>
      </c>
      <c r="B80" s="322">
        <f>B27</f>
        <v>0</v>
      </c>
      <c r="C80" s="322"/>
    </row>
    <row r="81" spans="1:12" ht="27" customHeight="1" x14ac:dyDescent="0.4">
      <c r="A81" s="130" t="s">
        <v>6</v>
      </c>
      <c r="B81" s="228">
        <f>B28</f>
        <v>86.6</v>
      </c>
    </row>
    <row r="82" spans="1:12" s="14" customFormat="1" ht="27" customHeight="1" x14ac:dyDescent="0.4">
      <c r="A82" s="130" t="s">
        <v>53</v>
      </c>
      <c r="B82" s="132">
        <v>0</v>
      </c>
      <c r="C82" s="313" t="s">
        <v>54</v>
      </c>
      <c r="D82" s="314"/>
      <c r="E82" s="314"/>
      <c r="F82" s="314"/>
      <c r="G82" s="315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86.6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16" t="s">
        <v>115</v>
      </c>
      <c r="D84" s="317"/>
      <c r="E84" s="317"/>
      <c r="F84" s="317"/>
      <c r="G84" s="317"/>
      <c r="H84" s="318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16" t="s">
        <v>116</v>
      </c>
      <c r="D85" s="317"/>
      <c r="E85" s="317"/>
      <c r="F85" s="317"/>
      <c r="G85" s="317"/>
      <c r="H85" s="318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29" t="s">
        <v>63</v>
      </c>
      <c r="E89" s="230"/>
      <c r="F89" s="319" t="s">
        <v>64</v>
      </c>
      <c r="G89" s="321"/>
    </row>
    <row r="90" spans="1:12" ht="27" customHeight="1" x14ac:dyDescent="0.4">
      <c r="A90" s="145" t="s">
        <v>65</v>
      </c>
      <c r="B90" s="146">
        <v>5</v>
      </c>
      <c r="C90" s="231" t="s">
        <v>66</v>
      </c>
      <c r="D90" s="148" t="s">
        <v>67</v>
      </c>
      <c r="E90" s="149" t="s">
        <v>68</v>
      </c>
      <c r="F90" s="148" t="s">
        <v>67</v>
      </c>
      <c r="G90" s="232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20</v>
      </c>
      <c r="C91" s="233">
        <v>1</v>
      </c>
      <c r="D91" s="153">
        <v>0.749</v>
      </c>
      <c r="E91" s="154">
        <f>IF(ISBLANK(D91),"-",$D$101/$D$98*D91)</f>
        <v>0.82361641898354698</v>
      </c>
      <c r="F91" s="153">
        <v>0.87490000000000001</v>
      </c>
      <c r="G91" s="155">
        <f>IF(ISBLANK(F91),"-",$D$101/$F$98*F91)</f>
        <v>0.82636200780220248</v>
      </c>
      <c r="I91" s="156"/>
    </row>
    <row r="92" spans="1:12" ht="26.25" customHeight="1" x14ac:dyDescent="0.4">
      <c r="A92" s="145" t="s">
        <v>71</v>
      </c>
      <c r="B92" s="146">
        <v>1</v>
      </c>
      <c r="C92" s="217">
        <v>2</v>
      </c>
      <c r="D92" s="158">
        <v>0.75370000000000004</v>
      </c>
      <c r="E92" s="159">
        <f>IF(ISBLANK(D92),"-",$D$101/$D$98*D92)</f>
        <v>0.82878463950320347</v>
      </c>
      <c r="F92" s="158">
        <v>0.87360000000000004</v>
      </c>
      <c r="G92" s="160">
        <f>IF(ISBLANK(F92),"-",$D$101/$F$98*F92)</f>
        <v>0.82513412963310562</v>
      </c>
      <c r="I92" s="323">
        <f>ABS((F96/D96*D95)-F95)/D95</f>
        <v>1.9625537956052277E-3</v>
      </c>
    </row>
    <row r="93" spans="1:12" ht="26.25" customHeight="1" x14ac:dyDescent="0.4">
      <c r="A93" s="145" t="s">
        <v>72</v>
      </c>
      <c r="B93" s="146">
        <v>1</v>
      </c>
      <c r="C93" s="217">
        <v>3</v>
      </c>
      <c r="D93" s="158">
        <v>0.75249999999999995</v>
      </c>
      <c r="E93" s="159">
        <f>IF(ISBLANK(D93),"-",$D$101/$D$98*D93)</f>
        <v>0.82746509383861022</v>
      </c>
      <c r="F93" s="158">
        <v>0.87260000000000004</v>
      </c>
      <c r="G93" s="160">
        <f>IF(ISBLANK(F93),"-",$D$101/$F$98*F93)</f>
        <v>0.82418960796456964</v>
      </c>
      <c r="I93" s="323"/>
    </row>
    <row r="94" spans="1:12" ht="27" customHeight="1" x14ac:dyDescent="0.4">
      <c r="A94" s="145" t="s">
        <v>73</v>
      </c>
      <c r="B94" s="146">
        <v>1</v>
      </c>
      <c r="C94" s="234">
        <v>4</v>
      </c>
      <c r="D94" s="163"/>
      <c r="E94" s="164" t="str">
        <f>IF(ISBLANK(D94),"-",$D$101/$D$98*D94)</f>
        <v>-</v>
      </c>
      <c r="F94" s="235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6" t="s">
        <v>75</v>
      </c>
      <c r="D95" s="345">
        <f>AVERAGE(D91:D94)</f>
        <v>0.75173333333333325</v>
      </c>
      <c r="E95" s="169">
        <f>AVERAGE(E91:E94)</f>
        <v>0.82662205077512019</v>
      </c>
      <c r="F95" s="346">
        <f>AVERAGE(F91:F94)</f>
        <v>0.87370000000000003</v>
      </c>
      <c r="G95" s="237">
        <f>AVERAGE(G91:G94)</f>
        <v>0.82522858179995928</v>
      </c>
    </row>
    <row r="96" spans="1:12" ht="26.25" customHeight="1" x14ac:dyDescent="0.4">
      <c r="A96" s="145" t="s">
        <v>76</v>
      </c>
      <c r="B96" s="131">
        <v>1</v>
      </c>
      <c r="C96" s="238" t="s">
        <v>117</v>
      </c>
      <c r="D96" s="239">
        <v>29.17</v>
      </c>
      <c r="E96" s="161"/>
      <c r="F96" s="173">
        <v>33.96</v>
      </c>
    </row>
    <row r="97" spans="1:10" ht="26.25" customHeight="1" x14ac:dyDescent="0.4">
      <c r="A97" s="145" t="s">
        <v>78</v>
      </c>
      <c r="B97" s="131">
        <v>1</v>
      </c>
      <c r="C97" s="240" t="s">
        <v>118</v>
      </c>
      <c r="D97" s="241">
        <f>D96*$B$87</f>
        <v>29.17</v>
      </c>
      <c r="E97" s="176"/>
      <c r="F97" s="175">
        <f>F96*$B$87</f>
        <v>33.96</v>
      </c>
    </row>
    <row r="98" spans="1:10" ht="19.5" customHeight="1" x14ac:dyDescent="0.3">
      <c r="A98" s="145" t="s">
        <v>80</v>
      </c>
      <c r="B98" s="242">
        <f>(B97/B96)*(B95/B94)*(B93/B92)*(B91/B90)*B89</f>
        <v>100</v>
      </c>
      <c r="C98" s="240" t="s">
        <v>119</v>
      </c>
      <c r="D98" s="243">
        <f>D97*$B$83/100</f>
        <v>25.261219999999998</v>
      </c>
      <c r="E98" s="179"/>
      <c r="F98" s="178">
        <f>F97*$B$83/100</f>
        <v>29.409359999999996</v>
      </c>
    </row>
    <row r="99" spans="1:10" ht="19.5" customHeight="1" x14ac:dyDescent="0.3">
      <c r="A99" s="324" t="s">
        <v>82</v>
      </c>
      <c r="B99" s="338"/>
      <c r="C99" s="240" t="s">
        <v>120</v>
      </c>
      <c r="D99" s="244">
        <f>D98/$B$98</f>
        <v>0.25261219999999995</v>
      </c>
      <c r="E99" s="179"/>
      <c r="F99" s="182">
        <f>F98/$B$98</f>
        <v>0.29409359999999996</v>
      </c>
      <c r="G99" s="245"/>
      <c r="H99" s="171"/>
    </row>
    <row r="100" spans="1:10" ht="19.5" customHeight="1" x14ac:dyDescent="0.3">
      <c r="A100" s="326"/>
      <c r="B100" s="339"/>
      <c r="C100" s="240" t="s">
        <v>84</v>
      </c>
      <c r="D100" s="246">
        <f>$B$56/$B$116</f>
        <v>0.27777777777777779</v>
      </c>
      <c r="F100" s="187"/>
      <c r="G100" s="247"/>
      <c r="H100" s="171"/>
    </row>
    <row r="101" spans="1:10" ht="18.75" x14ac:dyDescent="0.3">
      <c r="C101" s="240" t="s">
        <v>85</v>
      </c>
      <c r="D101" s="241">
        <f>D100*$B$98</f>
        <v>27.777777777777779</v>
      </c>
      <c r="F101" s="187"/>
      <c r="G101" s="245"/>
      <c r="H101" s="171"/>
    </row>
    <row r="102" spans="1:10" ht="19.5" customHeight="1" x14ac:dyDescent="0.3">
      <c r="C102" s="248" t="s">
        <v>86</v>
      </c>
      <c r="D102" s="249">
        <f>D101/B34</f>
        <v>27.777777777777779</v>
      </c>
      <c r="F102" s="191"/>
      <c r="G102" s="245"/>
      <c r="H102" s="171"/>
      <c r="J102" s="250"/>
    </row>
    <row r="103" spans="1:10" ht="18.75" x14ac:dyDescent="0.3">
      <c r="C103" s="251" t="s">
        <v>121</v>
      </c>
      <c r="D103" s="252">
        <f>AVERAGE(E91:E94,G91:G94)</f>
        <v>0.82592531628753985</v>
      </c>
      <c r="F103" s="191"/>
      <c r="G103" s="253"/>
      <c r="H103" s="171"/>
      <c r="J103" s="254"/>
    </row>
    <row r="104" spans="1:10" ht="18.75" x14ac:dyDescent="0.3">
      <c r="C104" s="220" t="s">
        <v>88</v>
      </c>
      <c r="D104" s="255">
        <f>STDEV(E91:E94,G91:G94)/D103</f>
        <v>2.4037239414023341E-3</v>
      </c>
      <c r="F104" s="191"/>
      <c r="G104" s="245"/>
      <c r="H104" s="171"/>
      <c r="J104" s="254"/>
    </row>
    <row r="105" spans="1:10" ht="19.5" customHeight="1" x14ac:dyDescent="0.3">
      <c r="C105" s="222" t="s">
        <v>20</v>
      </c>
      <c r="D105" s="256">
        <f>COUNT(E91:E94,G91:G94)</f>
        <v>6</v>
      </c>
      <c r="F105" s="191"/>
      <c r="G105" s="245"/>
      <c r="H105" s="171"/>
      <c r="J105" s="254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57" t="s">
        <v>41</v>
      </c>
      <c r="D107" s="258" t="s">
        <v>67</v>
      </c>
      <c r="E107" s="259" t="s">
        <v>123</v>
      </c>
      <c r="F107" s="260" t="s">
        <v>124</v>
      </c>
    </row>
    <row r="108" spans="1:10" ht="26.25" customHeight="1" x14ac:dyDescent="0.4">
      <c r="A108" s="145" t="s">
        <v>125</v>
      </c>
      <c r="B108" s="146">
        <v>1</v>
      </c>
      <c r="C108" s="261">
        <v>1</v>
      </c>
      <c r="D108" s="350">
        <v>0.84989999999999999</v>
      </c>
      <c r="E108" s="291">
        <f t="shared" ref="E108:E113" si="1">IF(ISBLANK(D108),"-",D108/$D$103*$D$100*$B$116)</f>
        <v>257.2569163457249</v>
      </c>
      <c r="F108" s="262">
        <f t="shared" ref="F108:F113" si="2">IF(ISBLANK(D108), "-", E108/$B$56)</f>
        <v>1.0290276653828996</v>
      </c>
    </row>
    <row r="109" spans="1:10" ht="26.25" customHeight="1" x14ac:dyDescent="0.4">
      <c r="A109" s="145" t="s">
        <v>99</v>
      </c>
      <c r="B109" s="146">
        <v>1</v>
      </c>
      <c r="C109" s="261">
        <v>2</v>
      </c>
      <c r="D109" s="350">
        <v>0.87390000000000001</v>
      </c>
      <c r="E109" s="292">
        <f t="shared" si="1"/>
        <v>264.52149569893987</v>
      </c>
      <c r="F109" s="263">
        <f t="shared" si="2"/>
        <v>1.0580859827957594</v>
      </c>
    </row>
    <row r="110" spans="1:10" ht="26.25" customHeight="1" x14ac:dyDescent="0.4">
      <c r="A110" s="145" t="s">
        <v>100</v>
      </c>
      <c r="B110" s="146">
        <v>1</v>
      </c>
      <c r="C110" s="261">
        <v>3</v>
      </c>
      <c r="D110" s="350">
        <v>0.82410000000000005</v>
      </c>
      <c r="E110" s="292">
        <f t="shared" si="1"/>
        <v>249.44749354101884</v>
      </c>
      <c r="F110" s="263">
        <f t="shared" si="2"/>
        <v>0.99778997416407533</v>
      </c>
    </row>
    <row r="111" spans="1:10" ht="26.25" customHeight="1" x14ac:dyDescent="0.4">
      <c r="A111" s="145" t="s">
        <v>101</v>
      </c>
      <c r="B111" s="146">
        <v>1</v>
      </c>
      <c r="C111" s="261">
        <v>4</v>
      </c>
      <c r="D111" s="350">
        <v>0.85970000000000002</v>
      </c>
      <c r="E111" s="292">
        <f t="shared" si="1"/>
        <v>260.22328624828765</v>
      </c>
      <c r="F111" s="263">
        <f t="shared" si="2"/>
        <v>1.0408931449931507</v>
      </c>
    </row>
    <row r="112" spans="1:10" ht="26.25" customHeight="1" x14ac:dyDescent="0.4">
      <c r="A112" s="145" t="s">
        <v>102</v>
      </c>
      <c r="B112" s="146">
        <v>1</v>
      </c>
      <c r="C112" s="261">
        <v>5</v>
      </c>
      <c r="D112" s="350">
        <v>0.85760000000000003</v>
      </c>
      <c r="E112" s="292">
        <f t="shared" si="1"/>
        <v>259.58763555488133</v>
      </c>
      <c r="F112" s="263">
        <f t="shared" si="2"/>
        <v>1.0383505422195254</v>
      </c>
    </row>
    <row r="113" spans="1:10" ht="26.25" customHeight="1" x14ac:dyDescent="0.4">
      <c r="A113" s="145" t="s">
        <v>104</v>
      </c>
      <c r="B113" s="146">
        <v>1</v>
      </c>
      <c r="C113" s="264">
        <v>6</v>
      </c>
      <c r="D113" s="351">
        <v>0.85319999999999996</v>
      </c>
      <c r="E113" s="293">
        <f t="shared" si="1"/>
        <v>258.25579600679197</v>
      </c>
      <c r="F113" s="265">
        <f t="shared" si="2"/>
        <v>1.033023184027168</v>
      </c>
    </row>
    <row r="114" spans="1:10" ht="26.25" customHeight="1" x14ac:dyDescent="0.4">
      <c r="A114" s="145" t="s">
        <v>105</v>
      </c>
      <c r="B114" s="146">
        <v>1</v>
      </c>
      <c r="C114" s="261"/>
      <c r="D114" s="217"/>
      <c r="E114" s="119"/>
      <c r="F114" s="266"/>
    </row>
    <row r="115" spans="1:10" ht="26.25" customHeight="1" x14ac:dyDescent="0.4">
      <c r="A115" s="145" t="s">
        <v>106</v>
      </c>
      <c r="B115" s="146">
        <v>1</v>
      </c>
      <c r="C115" s="261"/>
      <c r="D115" s="267" t="s">
        <v>75</v>
      </c>
      <c r="E115" s="295">
        <f>AVERAGE(E108:E113)</f>
        <v>258.21543723260743</v>
      </c>
      <c r="F115" s="268">
        <f>AVERAGE(F108:F113)</f>
        <v>1.0328617489304297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69"/>
      <c r="D116" s="236" t="s">
        <v>88</v>
      </c>
      <c r="E116" s="270">
        <f>STDEV(E108:E113)/E115</f>
        <v>1.9245427630459201E-2</v>
      </c>
      <c r="F116" s="270">
        <f>STDEV(F108:F113)/F115</f>
        <v>1.9245427630459201E-2</v>
      </c>
      <c r="I116" s="119"/>
    </row>
    <row r="117" spans="1:10" ht="27" customHeight="1" x14ac:dyDescent="0.4">
      <c r="A117" s="324" t="s">
        <v>82</v>
      </c>
      <c r="B117" s="325"/>
      <c r="C117" s="271"/>
      <c r="D117" s="272" t="s">
        <v>20</v>
      </c>
      <c r="E117" s="273">
        <f>COUNT(E108:E113)</f>
        <v>6</v>
      </c>
      <c r="F117" s="273">
        <f>COUNT(F108:F113)</f>
        <v>6</v>
      </c>
      <c r="I117" s="119"/>
      <c r="J117" s="254"/>
    </row>
    <row r="118" spans="1:10" ht="19.5" customHeight="1" x14ac:dyDescent="0.3">
      <c r="A118" s="326"/>
      <c r="B118" s="327"/>
      <c r="C118" s="119"/>
      <c r="D118" s="119"/>
      <c r="E118" s="119"/>
      <c r="F118" s="217"/>
      <c r="G118" s="119"/>
      <c r="H118" s="119"/>
      <c r="I118" s="119"/>
    </row>
    <row r="119" spans="1:10" ht="18.75" x14ac:dyDescent="0.3">
      <c r="A119" s="282"/>
      <c r="B119" s="141"/>
      <c r="C119" s="119"/>
      <c r="D119" s="119"/>
      <c r="E119" s="119"/>
      <c r="F119" s="217"/>
      <c r="G119" s="119"/>
      <c r="H119" s="119"/>
      <c r="I119" s="119"/>
    </row>
    <row r="120" spans="1:10" ht="26.25" customHeight="1" x14ac:dyDescent="0.4">
      <c r="A120" s="129" t="s">
        <v>110</v>
      </c>
      <c r="B120" s="224" t="s">
        <v>126</v>
      </c>
      <c r="C120" s="336" t="str">
        <f>B20</f>
        <v>Amoxicillin</v>
      </c>
      <c r="D120" s="336"/>
      <c r="E120" s="225" t="s">
        <v>127</v>
      </c>
      <c r="F120" s="225"/>
      <c r="G120" s="226">
        <f>F115</f>
        <v>1.0328617489304297</v>
      </c>
      <c r="H120" s="119"/>
      <c r="I120" s="119"/>
    </row>
    <row r="121" spans="1:10" ht="19.5" customHeight="1" x14ac:dyDescent="0.3">
      <c r="A121" s="274"/>
      <c r="B121" s="274"/>
      <c r="C121" s="275"/>
      <c r="D121" s="275"/>
      <c r="E121" s="275"/>
      <c r="F121" s="275"/>
      <c r="G121" s="275"/>
      <c r="H121" s="275"/>
    </row>
    <row r="122" spans="1:10" ht="18.75" x14ac:dyDescent="0.3">
      <c r="B122" s="337" t="s">
        <v>26</v>
      </c>
      <c r="C122" s="337"/>
      <c r="E122" s="231" t="s">
        <v>27</v>
      </c>
      <c r="F122" s="276"/>
      <c r="G122" s="337" t="s">
        <v>28</v>
      </c>
      <c r="H122" s="337"/>
    </row>
    <row r="123" spans="1:10" ht="69.95" customHeight="1" x14ac:dyDescent="0.3">
      <c r="A123" s="277" t="s">
        <v>29</v>
      </c>
      <c r="B123" s="278"/>
      <c r="C123" s="278"/>
      <c r="E123" s="278"/>
      <c r="F123" s="119"/>
      <c r="G123" s="279"/>
      <c r="H123" s="279"/>
    </row>
    <row r="124" spans="1:10" ht="69.95" customHeight="1" x14ac:dyDescent="0.3">
      <c r="A124" s="277" t="s">
        <v>30</v>
      </c>
      <c r="B124" s="280"/>
      <c r="C124" s="280"/>
      <c r="E124" s="280"/>
      <c r="F124" s="119"/>
      <c r="G124" s="281"/>
      <c r="H124" s="281"/>
    </row>
    <row r="125" spans="1:10" ht="18.75" x14ac:dyDescent="0.3">
      <c r="A125" s="216"/>
      <c r="B125" s="216"/>
      <c r="C125" s="217"/>
      <c r="D125" s="217"/>
      <c r="E125" s="217"/>
      <c r="F125" s="221"/>
      <c r="G125" s="217"/>
      <c r="H125" s="217"/>
      <c r="I125" s="119"/>
    </row>
    <row r="126" spans="1:10" ht="18.75" x14ac:dyDescent="0.3">
      <c r="A126" s="216"/>
      <c r="B126" s="216"/>
      <c r="C126" s="217"/>
      <c r="D126" s="217"/>
      <c r="E126" s="217"/>
      <c r="F126" s="221"/>
      <c r="G126" s="217"/>
      <c r="H126" s="217"/>
      <c r="I126" s="119"/>
    </row>
    <row r="127" spans="1:10" ht="18.75" x14ac:dyDescent="0.3">
      <c r="A127" s="216"/>
      <c r="B127" s="216"/>
      <c r="C127" s="217"/>
      <c r="D127" s="217"/>
      <c r="E127" s="217"/>
      <c r="F127" s="221"/>
      <c r="G127" s="217"/>
      <c r="H127" s="217"/>
      <c r="I127" s="119"/>
    </row>
    <row r="128" spans="1:10" ht="18.75" x14ac:dyDescent="0.3">
      <c r="A128" s="216"/>
      <c r="B128" s="216"/>
      <c r="C128" s="217"/>
      <c r="D128" s="217"/>
      <c r="E128" s="217"/>
      <c r="F128" s="221"/>
      <c r="G128" s="217"/>
      <c r="H128" s="217"/>
      <c r="I128" s="119"/>
    </row>
    <row r="129" spans="1:9" ht="18.75" x14ac:dyDescent="0.3">
      <c r="A129" s="216"/>
      <c r="B129" s="216"/>
      <c r="C129" s="217"/>
      <c r="D129" s="217"/>
      <c r="E129" s="217"/>
      <c r="F129" s="221"/>
      <c r="G129" s="217"/>
      <c r="H129" s="217"/>
      <c r="I129" s="119"/>
    </row>
    <row r="130" spans="1:9" ht="18.75" x14ac:dyDescent="0.3">
      <c r="A130" s="216"/>
      <c r="B130" s="216"/>
      <c r="C130" s="217"/>
      <c r="D130" s="217"/>
      <c r="E130" s="217"/>
      <c r="F130" s="221"/>
      <c r="G130" s="217"/>
      <c r="H130" s="217"/>
      <c r="I130" s="119"/>
    </row>
    <row r="131" spans="1:9" ht="18.75" x14ac:dyDescent="0.3">
      <c r="A131" s="216"/>
      <c r="B131" s="216"/>
      <c r="C131" s="217"/>
      <c r="D131" s="217"/>
      <c r="E131" s="217"/>
      <c r="F131" s="221"/>
      <c r="G131" s="217"/>
      <c r="H131" s="217"/>
      <c r="I131" s="119"/>
    </row>
    <row r="132" spans="1:9" ht="18.75" x14ac:dyDescent="0.3">
      <c r="A132" s="216"/>
      <c r="B132" s="216"/>
      <c r="C132" s="217"/>
      <c r="D132" s="217"/>
      <c r="E132" s="217"/>
      <c r="F132" s="221"/>
      <c r="G132" s="217"/>
      <c r="H132" s="217"/>
      <c r="I132" s="119"/>
    </row>
    <row r="133" spans="1:9" ht="18.75" x14ac:dyDescent="0.3">
      <c r="A133" s="216"/>
      <c r="B133" s="216"/>
      <c r="C133" s="217"/>
      <c r="D133" s="217"/>
      <c r="E133" s="217"/>
      <c r="F133" s="221"/>
      <c r="G133" s="217"/>
      <c r="H133" s="217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horizontalDpi="4294967295" verticalDpi="4294967295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4:F34"/>
  <sheetViews>
    <sheetView workbookViewId="0">
      <selection activeCell="F35" sqref="F35"/>
    </sheetView>
  </sheetViews>
  <sheetFormatPr defaultRowHeight="12.75" x14ac:dyDescent="0.2"/>
  <sheetData>
    <row r="34" spans="5:6" x14ac:dyDescent="0.2">
      <c r="E34">
        <f>250/900</f>
        <v>0.27777777777777779</v>
      </c>
      <c r="F34">
        <f>30/25*5/20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amoxicillin</vt:lpstr>
      <vt:lpstr>Sheet1</vt:lpstr>
      <vt:lpstr>amoxicillin!Print_Area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2016-02-24T06:48:19Z</cp:lastPrinted>
  <dcterms:created xsi:type="dcterms:W3CDTF">2005-07-05T10:19:27Z</dcterms:created>
  <dcterms:modified xsi:type="dcterms:W3CDTF">2016-02-24T06:51:17Z</dcterms:modified>
  <cp:category/>
</cp:coreProperties>
</file>