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30" windowHeight="11445" activeTab="3"/>
  </bookViews>
  <sheets>
    <sheet name="SST (ASSAY) (2)" sheetId="7" r:id="rId1"/>
    <sheet name="SST (DISS) (2)" sheetId="8" r:id="rId2"/>
    <sheet name="Uniformity" sheetId="2" r:id="rId3"/>
    <sheet name="amoxicillin Trihydrate" sheetId="3" r:id="rId4"/>
    <sheet name="Clavulanic acid" sheetId="4" r:id="rId5"/>
  </sheets>
  <definedNames>
    <definedName name="_xlnm.Print_Area" localSheetId="2">Uniformity!$A$1:$O$54</definedName>
  </definedNames>
  <calcPr calcId="145621"/>
</workbook>
</file>

<file path=xl/calcChain.xml><?xml version="1.0" encoding="utf-8"?>
<calcChain xmlns="http://schemas.openxmlformats.org/spreadsheetml/2006/main">
  <c r="G74" i="3" l="1"/>
  <c r="G72" i="3"/>
  <c r="G73" i="3"/>
  <c r="H72" i="3"/>
  <c r="H74" i="3"/>
  <c r="H73" i="3"/>
  <c r="G70" i="3"/>
  <c r="H70" i="3" s="1"/>
  <c r="H69" i="3"/>
  <c r="G69" i="3"/>
  <c r="G68" i="3"/>
  <c r="H68" i="3" s="1"/>
  <c r="B30" i="8" l="1"/>
  <c r="C30" i="8"/>
  <c r="D30" i="8"/>
  <c r="E30" i="8"/>
  <c r="B31" i="8"/>
  <c r="B32" i="8"/>
  <c r="B51" i="8"/>
  <c r="C51" i="8"/>
  <c r="D51" i="8"/>
  <c r="E51" i="8"/>
  <c r="B52" i="8"/>
  <c r="B53" i="8"/>
  <c r="B30" i="7"/>
  <c r="C30" i="7"/>
  <c r="D30" i="7"/>
  <c r="E30" i="7"/>
  <c r="B31" i="7"/>
  <c r="B32" i="7"/>
  <c r="B51" i="7"/>
  <c r="C51" i="7"/>
  <c r="D51" i="7"/>
  <c r="E51" i="7"/>
  <c r="B52" i="7"/>
  <c r="B53" i="7"/>
  <c r="J45" i="3" l="1"/>
  <c r="F115" i="3" l="1"/>
  <c r="B69" i="3" l="1"/>
  <c r="C120" i="4"/>
  <c r="B116" i="4"/>
  <c r="D100" i="4"/>
  <c r="B98" i="4"/>
  <c r="D101" i="4" s="1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I39" i="4"/>
  <c r="B34" i="4"/>
  <c r="D44" i="4" s="1"/>
  <c r="D45" i="4" s="1"/>
  <c r="B30" i="4"/>
  <c r="C120" i="3"/>
  <c r="B116" i="3"/>
  <c r="D100" i="3"/>
  <c r="B98" i="3"/>
  <c r="D101" i="3" s="1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4" i="3"/>
  <c r="F42" i="3"/>
  <c r="I39" i="3" s="1"/>
  <c r="D42" i="3"/>
  <c r="B34" i="3"/>
  <c r="D44" i="3" s="1"/>
  <c r="B30" i="3"/>
  <c r="D49" i="2"/>
  <c r="C49" i="2"/>
  <c r="C46" i="2"/>
  <c r="D50" i="2" s="1"/>
  <c r="C45" i="2"/>
  <c r="D43" i="2"/>
  <c r="D40" i="2"/>
  <c r="D39" i="2"/>
  <c r="D36" i="2"/>
  <c r="D35" i="2"/>
  <c r="D32" i="2"/>
  <c r="D31" i="2"/>
  <c r="D28" i="2"/>
  <c r="D27" i="2"/>
  <c r="D24" i="2"/>
  <c r="C19" i="2"/>
  <c r="I92" i="3" l="1"/>
  <c r="I92" i="4"/>
  <c r="F44" i="4"/>
  <c r="F45" i="4" s="1"/>
  <c r="F46" i="4" s="1"/>
  <c r="D49" i="4"/>
  <c r="F98" i="4"/>
  <c r="F99" i="4" s="1"/>
  <c r="F45" i="3"/>
  <c r="F46" i="3" s="1"/>
  <c r="D45" i="3"/>
  <c r="D46" i="3" s="1"/>
  <c r="D102" i="3"/>
  <c r="D49" i="3"/>
  <c r="E40" i="3"/>
  <c r="G38" i="3"/>
  <c r="G41" i="3"/>
  <c r="E41" i="3"/>
  <c r="G39" i="3"/>
  <c r="F98" i="3"/>
  <c r="F99" i="3" s="1"/>
  <c r="E38" i="4"/>
  <c r="D46" i="4"/>
  <c r="E39" i="4"/>
  <c r="G41" i="4"/>
  <c r="G39" i="4"/>
  <c r="G40" i="4"/>
  <c r="D102" i="4"/>
  <c r="B57" i="3"/>
  <c r="E41" i="4"/>
  <c r="B57" i="4"/>
  <c r="B69" i="4" s="1"/>
  <c r="D97" i="3"/>
  <c r="D98" i="3" s="1"/>
  <c r="D99" i="3" s="1"/>
  <c r="D97" i="4"/>
  <c r="D98" i="4" s="1"/>
  <c r="D99" i="4" s="1"/>
  <c r="D25" i="2"/>
  <c r="D29" i="2"/>
  <c r="D33" i="2"/>
  <c r="D37" i="2"/>
  <c r="D41" i="2"/>
  <c r="C50" i="2"/>
  <c r="D26" i="2"/>
  <c r="D30" i="2"/>
  <c r="D34" i="2"/>
  <c r="D38" i="2"/>
  <c r="D42" i="2"/>
  <c r="B49" i="2"/>
  <c r="G38" i="4"/>
  <c r="E40" i="4"/>
  <c r="E93" i="3" l="1"/>
  <c r="G91" i="4"/>
  <c r="G93" i="4"/>
  <c r="G92" i="4"/>
  <c r="E92" i="4"/>
  <c r="E91" i="4"/>
  <c r="G42" i="4"/>
  <c r="G94" i="4"/>
  <c r="G95" i="4" s="1"/>
  <c r="E39" i="3"/>
  <c r="E38" i="3"/>
  <c r="G91" i="3"/>
  <c r="G40" i="3"/>
  <c r="G92" i="3"/>
  <c r="G93" i="3"/>
  <c r="G42" i="3"/>
  <c r="D52" i="3"/>
  <c r="D52" i="4"/>
  <c r="D50" i="4"/>
  <c r="E42" i="4"/>
  <c r="E94" i="3"/>
  <c r="E94" i="4"/>
  <c r="E93" i="4"/>
  <c r="E91" i="3"/>
  <c r="E92" i="3"/>
  <c r="G95" i="3" l="1"/>
  <c r="E95" i="4"/>
  <c r="D103" i="4"/>
  <c r="E108" i="4" s="1"/>
  <c r="D105" i="4"/>
  <c r="D50" i="3"/>
  <c r="E42" i="3"/>
  <c r="G68" i="4"/>
  <c r="H68" i="4" s="1"/>
  <c r="H71" i="4"/>
  <c r="G69" i="4"/>
  <c r="H69" i="4" s="1"/>
  <c r="G62" i="4"/>
  <c r="H62" i="4" s="1"/>
  <c r="G60" i="4"/>
  <c r="D51" i="4"/>
  <c r="G70" i="4"/>
  <c r="H70" i="4" s="1"/>
  <c r="G63" i="4"/>
  <c r="H63" i="4" s="1"/>
  <c r="G61" i="4"/>
  <c r="H61" i="4" s="1"/>
  <c r="E95" i="3"/>
  <c r="D105" i="3"/>
  <c r="D103" i="3"/>
  <c r="G66" i="3"/>
  <c r="H66" i="3" s="1"/>
  <c r="G64" i="3"/>
  <c r="H64" i="3" s="1"/>
  <c r="G60" i="3"/>
  <c r="G62" i="3"/>
  <c r="H62" i="3" s="1"/>
  <c r="D51" i="3"/>
  <c r="G67" i="3"/>
  <c r="H67" i="3" s="1"/>
  <c r="G65" i="3"/>
  <c r="H65" i="3" s="1"/>
  <c r="G63" i="3"/>
  <c r="H63" i="3" s="1"/>
  <c r="G61" i="3"/>
  <c r="H61" i="3" s="1"/>
  <c r="E112" i="4" l="1"/>
  <c r="F112" i="4" s="1"/>
  <c r="E109" i="4"/>
  <c r="F109" i="4" s="1"/>
  <c r="E110" i="4"/>
  <c r="F110" i="4" s="1"/>
  <c r="E113" i="4"/>
  <c r="F113" i="4" s="1"/>
  <c r="D104" i="4"/>
  <c r="H60" i="3"/>
  <c r="E112" i="3"/>
  <c r="F112" i="3" s="1"/>
  <c r="E110" i="3"/>
  <c r="F110" i="3" s="1"/>
  <c r="E108" i="3"/>
  <c r="E113" i="3"/>
  <c r="F113" i="3" s="1"/>
  <c r="E109" i="3"/>
  <c r="F109" i="3" s="1"/>
  <c r="D104" i="3"/>
  <c r="F108" i="4"/>
  <c r="H60" i="4"/>
  <c r="G74" i="4"/>
  <c r="G72" i="4"/>
  <c r="G73" i="4" s="1"/>
  <c r="F115" i="4" l="1"/>
  <c r="G120" i="4" s="1"/>
  <c r="E115" i="4"/>
  <c r="E116" i="4" s="1"/>
  <c r="E117" i="4"/>
  <c r="H74" i="4"/>
  <c r="H72" i="4"/>
  <c r="G76" i="4" s="1"/>
  <c r="E115" i="3"/>
  <c r="E116" i="3" s="1"/>
  <c r="E117" i="3"/>
  <c r="F108" i="3"/>
  <c r="F117" i="4"/>
  <c r="G76" i="3"/>
  <c r="F116" i="4" l="1"/>
  <c r="H73" i="4"/>
  <c r="F117" i="3"/>
  <c r="G120" i="3" l="1"/>
  <c r="F116" i="3"/>
</calcChain>
</file>

<file path=xl/sharedStrings.xml><?xml version="1.0" encoding="utf-8"?>
<sst xmlns="http://schemas.openxmlformats.org/spreadsheetml/2006/main" count="439" uniqueCount="131">
  <si>
    <t>HPLC System Suitability Report</t>
  </si>
  <si>
    <t>Analysis Data</t>
  </si>
  <si>
    <t>Sample(s)</t>
  </si>
  <si>
    <t>Reference Substance:</t>
  </si>
  <si>
    <t>CLAXY 625</t>
  </si>
  <si>
    <t>% age Purity:</t>
  </si>
  <si>
    <t>NDQA201509354</t>
  </si>
  <si>
    <t>Weight (mg):</t>
  </si>
  <si>
    <t>Amoxicillin &amp; Clavulanic Acid</t>
  </si>
  <si>
    <t>Standard Conc (mg/mL):</t>
  </si>
  <si>
    <t>Each film coate tablet contains: Amoxicillin Trihydrate USP Eq. to Amoxicillin 500mg
Diluted Potassium Clavulanate BP Eq. to Clavulanic acid 125mg</t>
  </si>
  <si>
    <t>2015-10-01 15:21:02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</si>
  <si>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</si>
  <si>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</si>
  <si>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</si>
  <si>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</si>
  <si>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</si>
  <si>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</si>
  <si>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</si>
  <si>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</si>
  <si>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</si>
  <si>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</si>
  <si>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</si>
  <si>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</si>
  <si>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</si>
  <si>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</si>
  <si>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</si>
  <si>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</si>
  <si>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</si>
  <si>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</si>
  <si>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</si>
  <si>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</si>
  <si>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</si>
  <si>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</si>
  <si>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</si>
  <si>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</si>
  <si>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</si>
  <si>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</si>
  <si>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</si>
  <si>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</si>
  <si>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</si>
  <si>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</si>
  <si>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</si>
  <si>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</si>
  <si>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</si>
  <si>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</si>
  <si>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</si>
  <si>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</si>
  <si>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</si>
  <si>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</si>
  <si>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</si>
  <si>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</si>
  <si>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</si>
  <si>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</si>
  <si>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</si>
  <si>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</si>
  <si>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</si>
  <si>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</si>
  <si>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</si>
  <si>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</si>
  <si>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</si>
  <si>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</si>
  <si>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</si>
  <si>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</si>
  <si>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</si>
  <si>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</si>
  <si>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</si>
  <si>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</si>
  <si>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</si>
  <si>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</si>
  <si>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</si>
  <si>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</si>
  <si>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</si>
  <si>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</si>
  <si>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</si>
  <si>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</si>
  <si>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</si>
  <si>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</si>
  <si>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</si>
  <si>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</si>
  <si>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</si>
  <si>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</si>
  <si>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</si>
  <si>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</si>
  <si>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</si>
  <si>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</si>
  <si>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</si>
  <si>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</si>
  <si>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</si>
  <si>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</si>
  <si>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</si>
  <si>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</si>
  <si>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</si>
  <si>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</si>
  <si>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</si>
  <si>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</si>
  <si>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</si>
  <si>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</si>
  <si>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</si>
  <si>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</si>
  <si>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</si>
  <si>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</si>
  <si>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</si>
  <si>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</si>
  <si>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</si>
  <si>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</si>
  <si>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</si>
  <si>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</si>
  <si>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</si>
  <si>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</si>
  <si>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</si>
  <si>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</si>
  <si>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</si>
  <si>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</si>
  <si>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</si>
  <si>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</si>
  <si>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</si>
  <si>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</si>
  <si>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</si>
  <si>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</si>
  <si>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</si>
  <si>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</si>
  <si>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</si>
  <si>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</si>
  <si>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Amoxicillin</t>
  </si>
  <si>
    <t>CLAVULANATE</t>
  </si>
  <si>
    <t>ASSAY</t>
  </si>
  <si>
    <t>CLAVULANIC LITHIUM</t>
  </si>
  <si>
    <t>ASSAY CLAVULANIC LITHIUM</t>
  </si>
  <si>
    <t>9652..2</t>
  </si>
  <si>
    <t>DISSOLUTION- CLAVULANIC LITHIUM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</si>
</sst>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8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1"/>
      <color rgb="FF000000"/>
      <name val="Book Antiqua"/>
      <family val="1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theme="0" tint="-0.249977111117893"/>
        <bgColor indexed="64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4" fillId="2" borderId="0"/>
  </cellStyleXfs>
  <cellXfs count="51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24" fillId="2" borderId="0" xfId="1" applyFill="1"/>
    <xf numFmtId="0" fontId="2" fillId="2" borderId="0" xfId="1" applyFont="1" applyFill="1"/>
    <xf numFmtId="0" fontId="2" fillId="2" borderId="11" xfId="1" applyFont="1" applyFill="1" applyBorder="1"/>
    <xf numFmtId="0" fontId="1" fillId="2" borderId="11" xfId="1" applyFont="1" applyFill="1" applyBorder="1"/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10" fontId="2" fillId="2" borderId="9" xfId="1" applyNumberFormat="1" applyFont="1" applyFill="1" applyBorder="1"/>
    <xf numFmtId="0" fontId="2" fillId="2" borderId="0" xfId="1" applyFont="1" applyFill="1" applyAlignment="1">
      <alignment horizontal="center"/>
    </xf>
    <xf numFmtId="0" fontId="2" fillId="2" borderId="9" xfId="1" applyFont="1" applyFill="1" applyBorder="1"/>
    <xf numFmtId="0" fontId="6" fillId="2" borderId="0" xfId="1" applyFont="1" applyFill="1" applyProtection="1">
      <protection locked="0"/>
    </xf>
    <xf numFmtId="0" fontId="6" fillId="2" borderId="0" xfId="1" applyFont="1" applyFill="1" applyAlignment="1" applyProtection="1">
      <alignment horizontal="left"/>
      <protection locked="0"/>
    </xf>
    <xf numFmtId="0" fontId="5" fillId="2" borderId="0" xfId="1" applyFont="1" applyFill="1"/>
    <xf numFmtId="0" fontId="6" fillId="2" borderId="0" xfId="1" applyFont="1" applyFill="1"/>
    <xf numFmtId="0" fontId="6" fillId="2" borderId="8" xfId="1" applyFont="1" applyFill="1" applyBorder="1"/>
    <xf numFmtId="0" fontId="6" fillId="2" borderId="7" xfId="1" applyFont="1" applyFill="1" applyBorder="1"/>
    <xf numFmtId="0" fontId="5" fillId="2" borderId="7" xfId="1" applyFont="1" applyFill="1" applyBorder="1" applyAlignment="1">
      <alignment horizontal="center"/>
    </xf>
    <xf numFmtId="0" fontId="5" fillId="4" borderId="1" xfId="1" applyFont="1" applyFill="1" applyBorder="1" applyAlignment="1">
      <alignment horizontal="center"/>
    </xf>
    <xf numFmtId="0" fontId="6" fillId="2" borderId="5" xfId="1" applyFont="1" applyFill="1" applyBorder="1"/>
    <xf numFmtId="0" fontId="6" fillId="2" borderId="6" xfId="1" applyFont="1" applyFill="1" applyBorder="1"/>
    <xf numFmtId="165" fontId="5" fillId="2" borderId="0" xfId="1" applyNumberFormat="1" applyFont="1" applyFill="1" applyAlignment="1">
      <alignment horizontal="center"/>
    </xf>
    <xf numFmtId="10" fontId="5" fillId="5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2" fontId="5" fillId="4" borderId="1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1" fontId="5" fillId="4" borderId="2" xfId="1" applyNumberFormat="1" applyFont="1" applyFill="1" applyBorder="1" applyAlignment="1">
      <alignment horizontal="center"/>
    </xf>
    <xf numFmtId="0" fontId="6" fillId="2" borderId="4" xfId="1" applyFont="1" applyFill="1" applyBorder="1"/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0" fontId="6" fillId="2" borderId="3" xfId="1" applyFont="1" applyFill="1" applyBorder="1" applyAlignment="1">
      <alignment horizontal="center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0" xfId="1" applyFont="1" applyFill="1" applyAlignment="1">
      <alignment horizontal="left"/>
    </xf>
    <xf numFmtId="2" fontId="5" fillId="2" borderId="0" xfId="1" applyNumberFormat="1" applyFont="1" applyFill="1" applyAlignment="1">
      <alignment horizontal="center"/>
    </xf>
    <xf numFmtId="0" fontId="25" fillId="2" borderId="0" xfId="1" applyFont="1" applyFill="1" applyAlignment="1">
      <alignment horizontal="left"/>
    </xf>
    <xf numFmtId="0" fontId="4" fillId="2" borderId="0" xfId="1" applyFont="1" applyFill="1"/>
    <xf numFmtId="0" fontId="26" fillId="2" borderId="0" xfId="1" applyFont="1" applyFill="1"/>
    <xf numFmtId="0" fontId="26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2" fillId="2" borderId="0" xfId="1" applyFont="1" applyFill="1" applyAlignment="1">
      <alignment horizontal="right"/>
    </xf>
    <xf numFmtId="0" fontId="1" fillId="2" borderId="0" xfId="1" applyFont="1" applyFill="1"/>
    <xf numFmtId="0" fontId="4" fillId="2" borderId="0" xfId="1" applyFont="1" applyFill="1" applyAlignment="1">
      <alignment horizontal="left"/>
    </xf>
    <xf numFmtId="0" fontId="27" fillId="3" borderId="5" xfId="1" applyFont="1" applyFill="1" applyBorder="1" applyAlignment="1" applyProtection="1">
      <alignment horizontal="center"/>
      <protection locked="0"/>
    </xf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166" fontId="11" fillId="8" borderId="14" xfId="0" applyNumberFormat="1" applyFont="1" applyFill="1" applyBorder="1" applyAlignment="1">
      <alignment horizontal="center"/>
    </xf>
    <xf numFmtId="10" fontId="11" fillId="8" borderId="24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41"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0" workbookViewId="0">
      <selection activeCell="B23" sqref="B23"/>
    </sheetView>
  </sheetViews>
  <sheetFormatPr defaultRowHeight="13.5" x14ac:dyDescent="0.25"/>
  <cols>
    <col min="1" max="1" width="27.5703125" style="416" customWidth="1"/>
    <col min="2" max="2" width="20.42578125" style="416" customWidth="1"/>
    <col min="3" max="3" width="31.85546875" style="416" customWidth="1"/>
    <col min="4" max="4" width="25.85546875" style="416" customWidth="1"/>
    <col min="5" max="5" width="25.7109375" style="416" customWidth="1"/>
    <col min="6" max="6" width="23.140625" style="416" customWidth="1"/>
    <col min="7" max="7" width="28.42578125" style="416" customWidth="1"/>
    <col min="8" max="8" width="21.5703125" style="416" customWidth="1"/>
    <col min="9" max="9" width="9.140625" style="416" customWidth="1"/>
    <col min="10" max="16384" width="9.140625" style="415"/>
  </cols>
  <sheetData>
    <row r="14" spans="1:6" s="416" customFormat="1" ht="15" customHeight="1" x14ac:dyDescent="0.3">
      <c r="A14" s="460"/>
      <c r="C14" s="459"/>
      <c r="F14" s="459"/>
    </row>
    <row r="15" spans="1:6" s="416" customFormat="1" ht="18.75" customHeight="1" x14ac:dyDescent="0.3">
      <c r="A15" s="463" t="s">
        <v>0</v>
      </c>
      <c r="B15" s="463"/>
      <c r="C15" s="463"/>
      <c r="D15" s="463"/>
      <c r="E15" s="463"/>
    </row>
    <row r="16" spans="1:6" s="416" customFormat="1" ht="16.5" customHeight="1" x14ac:dyDescent="0.3">
      <c r="A16" s="455" t="s">
        <v>1</v>
      </c>
      <c r="B16" s="454" t="s">
        <v>128</v>
      </c>
    </row>
    <row r="17" spans="1:5" s="416" customFormat="1" ht="16.5" customHeight="1" x14ac:dyDescent="0.3">
      <c r="A17" s="452" t="s">
        <v>2</v>
      </c>
      <c r="B17" s="452" t="s">
        <v>4</v>
      </c>
      <c r="D17" s="458"/>
      <c r="E17" s="429"/>
    </row>
    <row r="18" spans="1:5" s="416" customFormat="1" ht="16.5" customHeight="1" x14ac:dyDescent="0.3">
      <c r="A18" s="428" t="s">
        <v>3</v>
      </c>
      <c r="B18" s="457" t="s">
        <v>127</v>
      </c>
      <c r="C18" s="429"/>
      <c r="D18" s="429"/>
      <c r="E18" s="429"/>
    </row>
    <row r="19" spans="1:5" s="416" customFormat="1" ht="16.5" customHeight="1" x14ac:dyDescent="0.3">
      <c r="A19" s="428" t="s">
        <v>5</v>
      </c>
      <c r="B19" s="453">
        <v>86.6</v>
      </c>
      <c r="C19" s="429"/>
      <c r="D19" s="429"/>
      <c r="E19" s="429"/>
    </row>
    <row r="20" spans="1:5" s="416" customFormat="1" ht="16.5" customHeight="1" x14ac:dyDescent="0.3">
      <c r="A20" s="452" t="s">
        <v>7</v>
      </c>
      <c r="B20" s="453">
        <v>23.96</v>
      </c>
      <c r="C20" s="429"/>
      <c r="D20" s="429"/>
      <c r="E20" s="429"/>
    </row>
    <row r="21" spans="1:5" s="416" customFormat="1" ht="16.5" customHeight="1" x14ac:dyDescent="0.3">
      <c r="A21" s="452" t="s">
        <v>9</v>
      </c>
      <c r="B21" s="451">
        <v>0.5</v>
      </c>
      <c r="C21" s="429"/>
      <c r="D21" s="429"/>
      <c r="E21" s="429"/>
    </row>
    <row r="22" spans="1:5" s="416" customFormat="1" ht="15.75" customHeight="1" x14ac:dyDescent="0.25">
      <c r="A22" s="429"/>
      <c r="B22" s="429"/>
      <c r="C22" s="429"/>
      <c r="D22" s="429"/>
      <c r="E22" s="429"/>
    </row>
    <row r="23" spans="1:5" s="416" customFormat="1" ht="16.5" customHeight="1" x14ac:dyDescent="0.3">
      <c r="A23" s="449" t="s">
        <v>12</v>
      </c>
      <c r="B23" s="450" t="s">
        <v>13</v>
      </c>
      <c r="C23" s="449" t="s">
        <v>14</v>
      </c>
      <c r="D23" s="449" t="s">
        <v>15</v>
      </c>
      <c r="E23" s="449" t="s">
        <v>16</v>
      </c>
    </row>
    <row r="24" spans="1:5" s="416" customFormat="1" ht="16.5" customHeight="1" x14ac:dyDescent="0.3">
      <c r="A24" s="445">
        <v>1</v>
      </c>
      <c r="B24" s="447">
        <v>18797798</v>
      </c>
      <c r="C24" s="447">
        <v>6752.95</v>
      </c>
      <c r="D24" s="446">
        <v>1.1000000000000001</v>
      </c>
      <c r="E24" s="448">
        <v>3.93</v>
      </c>
    </row>
    <row r="25" spans="1:5" s="416" customFormat="1" ht="16.5" customHeight="1" x14ac:dyDescent="0.3">
      <c r="A25" s="445">
        <v>2</v>
      </c>
      <c r="B25" s="447">
        <v>18847483</v>
      </c>
      <c r="C25" s="447">
        <v>7492.35</v>
      </c>
      <c r="D25" s="446">
        <v>1.1200000000000001</v>
      </c>
      <c r="E25" s="446">
        <v>3.93</v>
      </c>
    </row>
    <row r="26" spans="1:5" s="416" customFormat="1" ht="16.5" customHeight="1" x14ac:dyDescent="0.3">
      <c r="A26" s="445">
        <v>3</v>
      </c>
      <c r="B26" s="447">
        <v>18870478</v>
      </c>
      <c r="C26" s="447">
        <v>7165.69</v>
      </c>
      <c r="D26" s="446">
        <v>1.1100000000000001</v>
      </c>
      <c r="E26" s="446">
        <v>3.93</v>
      </c>
    </row>
    <row r="27" spans="1:5" s="416" customFormat="1" ht="16.5" customHeight="1" x14ac:dyDescent="0.3">
      <c r="A27" s="445">
        <v>4</v>
      </c>
      <c r="B27" s="447">
        <v>18731309</v>
      </c>
      <c r="C27" s="447">
        <v>7168.71</v>
      </c>
      <c r="D27" s="446">
        <v>1.1000000000000001</v>
      </c>
      <c r="E27" s="446">
        <v>3.93</v>
      </c>
    </row>
    <row r="28" spans="1:5" s="416" customFormat="1" ht="16.5" customHeight="1" x14ac:dyDescent="0.3">
      <c r="A28" s="445">
        <v>5</v>
      </c>
      <c r="B28" s="447">
        <v>18877543</v>
      </c>
      <c r="C28" s="447">
        <v>7384.84</v>
      </c>
      <c r="D28" s="446">
        <v>1.1299999999999999</v>
      </c>
      <c r="E28" s="446">
        <v>3.92</v>
      </c>
    </row>
    <row r="29" spans="1:5" s="416" customFormat="1" ht="16.5" customHeight="1" x14ac:dyDescent="0.3">
      <c r="A29" s="445">
        <v>6</v>
      </c>
      <c r="B29" s="444">
        <v>18854279</v>
      </c>
      <c r="C29" s="444">
        <v>7408.73</v>
      </c>
      <c r="D29" s="443">
        <v>1.1100000000000001</v>
      </c>
      <c r="E29" s="443">
        <v>3.92</v>
      </c>
    </row>
    <row r="30" spans="1:5" s="416" customFormat="1" ht="16.5" customHeight="1" x14ac:dyDescent="0.3">
      <c r="A30" s="442" t="s">
        <v>17</v>
      </c>
      <c r="B30" s="441">
        <f>AVERAGE(B24:B29)</f>
        <v>18829815</v>
      </c>
      <c r="C30" s="440">
        <f>AVERAGE(C24:C29)</f>
        <v>7228.8783333333313</v>
      </c>
      <c r="D30" s="439">
        <f>AVERAGE(D24:D29)</f>
        <v>1.1116666666666666</v>
      </c>
      <c r="E30" s="439">
        <f>AVERAGE(E24:E29)</f>
        <v>3.9266666666666672</v>
      </c>
    </row>
    <row r="31" spans="1:5" s="416" customFormat="1" ht="16.5" customHeight="1" x14ac:dyDescent="0.3">
      <c r="A31" s="438" t="s">
        <v>18</v>
      </c>
      <c r="B31" s="437">
        <f>(STDEV(B24:B29)/B30)</f>
        <v>2.9636145743629897E-3</v>
      </c>
      <c r="C31" s="436"/>
      <c r="D31" s="436"/>
      <c r="E31" s="435"/>
    </row>
    <row r="32" spans="1:5" s="416" customFormat="1" ht="16.5" customHeight="1" x14ac:dyDescent="0.3">
      <c r="A32" s="434" t="s">
        <v>19</v>
      </c>
      <c r="B32" s="433">
        <f>COUNT(B24:B29)</f>
        <v>6</v>
      </c>
      <c r="C32" s="432"/>
      <c r="D32" s="431"/>
      <c r="E32" s="430"/>
    </row>
    <row r="33" spans="1:5" s="416" customFormat="1" ht="15.75" customHeight="1" x14ac:dyDescent="0.25">
      <c r="A33" s="429"/>
      <c r="B33" s="429"/>
      <c r="C33" s="429"/>
      <c r="D33" s="429"/>
      <c r="E33" s="429"/>
    </row>
    <row r="34" spans="1:5" s="416" customFormat="1" ht="16.5" customHeight="1" x14ac:dyDescent="0.3">
      <c r="A34" s="428" t="s">
        <v>20</v>
      </c>
      <c r="B34" s="427" t="s">
        <v>21</v>
      </c>
      <c r="C34" s="426"/>
      <c r="D34" s="426"/>
      <c r="E34" s="426"/>
    </row>
    <row r="35" spans="1:5" s="416" customFormat="1" ht="16.5" customHeight="1" x14ac:dyDescent="0.3">
      <c r="A35" s="428"/>
      <c r="B35" s="427" t="s">
        <v>22</v>
      </c>
      <c r="C35" s="426"/>
      <c r="D35" s="426"/>
      <c r="E35" s="426"/>
    </row>
    <row r="36" spans="1:5" s="416" customFormat="1" ht="16.5" customHeight="1" x14ac:dyDescent="0.3">
      <c r="A36" s="428"/>
      <c r="B36" s="427" t="s">
        <v>23</v>
      </c>
      <c r="C36" s="426"/>
      <c r="D36" s="426"/>
      <c r="E36" s="426"/>
    </row>
    <row r="37" spans="1:5" s="416" customFormat="1" ht="15.75" customHeight="1" x14ac:dyDescent="0.3">
      <c r="A37" s="429"/>
      <c r="B37" s="456" t="s">
        <v>127</v>
      </c>
      <c r="C37" s="429"/>
      <c r="D37" s="429"/>
      <c r="E37" s="429"/>
    </row>
    <row r="38" spans="1:5" s="416" customFormat="1" ht="16.5" customHeight="1" x14ac:dyDescent="0.3">
      <c r="A38" s="455" t="s">
        <v>1</v>
      </c>
      <c r="B38" s="454" t="s">
        <v>126</v>
      </c>
    </row>
    <row r="39" spans="1:5" s="416" customFormat="1" ht="16.5" customHeight="1" x14ac:dyDescent="0.3">
      <c r="A39" s="428" t="s">
        <v>3</v>
      </c>
      <c r="B39" s="452" t="s">
        <v>124</v>
      </c>
      <c r="C39" s="429"/>
      <c r="D39" s="429"/>
      <c r="E39" s="429"/>
    </row>
    <row r="40" spans="1:5" s="416" customFormat="1" ht="16.5" customHeight="1" x14ac:dyDescent="0.3">
      <c r="A40" s="428" t="s">
        <v>5</v>
      </c>
      <c r="B40" s="453">
        <v>96.4</v>
      </c>
      <c r="C40" s="429"/>
      <c r="D40" s="429"/>
      <c r="E40" s="429"/>
    </row>
    <row r="41" spans="1:5" s="416" customFormat="1" ht="16.5" customHeight="1" x14ac:dyDescent="0.3">
      <c r="A41" s="452" t="s">
        <v>7</v>
      </c>
      <c r="B41" s="453">
        <v>23.1</v>
      </c>
      <c r="C41" s="429"/>
      <c r="D41" s="429"/>
      <c r="E41" s="429"/>
    </row>
    <row r="42" spans="1:5" s="416" customFormat="1" ht="16.5" customHeight="1" x14ac:dyDescent="0.3">
      <c r="A42" s="452" t="s">
        <v>9</v>
      </c>
      <c r="B42" s="451">
        <v>0.125</v>
      </c>
      <c r="C42" s="429"/>
      <c r="D42" s="429"/>
      <c r="E42" s="429"/>
    </row>
    <row r="43" spans="1:5" s="416" customFormat="1" ht="15.75" customHeight="1" x14ac:dyDescent="0.25">
      <c r="A43" s="429"/>
      <c r="B43" s="429"/>
      <c r="C43" s="429"/>
      <c r="D43" s="429"/>
      <c r="E43" s="429"/>
    </row>
    <row r="44" spans="1:5" s="416" customFormat="1" ht="16.5" customHeight="1" x14ac:dyDescent="0.3">
      <c r="A44" s="449" t="s">
        <v>12</v>
      </c>
      <c r="B44" s="450" t="s">
        <v>13</v>
      </c>
      <c r="C44" s="449" t="s">
        <v>14</v>
      </c>
      <c r="D44" s="449" t="s">
        <v>15</v>
      </c>
      <c r="E44" s="449" t="s">
        <v>16</v>
      </c>
    </row>
    <row r="45" spans="1:5" s="416" customFormat="1" ht="16.5" customHeight="1" x14ac:dyDescent="0.3">
      <c r="A45" s="445">
        <v>1</v>
      </c>
      <c r="B45" s="447">
        <v>54897024</v>
      </c>
      <c r="C45" s="447">
        <v>6315.21</v>
      </c>
      <c r="D45" s="446">
        <v>1.06</v>
      </c>
      <c r="E45" s="448">
        <v>5.74</v>
      </c>
    </row>
    <row r="46" spans="1:5" s="416" customFormat="1" ht="16.5" customHeight="1" x14ac:dyDescent="0.3">
      <c r="A46" s="445">
        <v>2</v>
      </c>
      <c r="B46" s="447">
        <v>54649940</v>
      </c>
      <c r="C46" s="447">
        <v>5808.15</v>
      </c>
      <c r="D46" s="446">
        <v>1.04</v>
      </c>
      <c r="E46" s="446">
        <v>5.74</v>
      </c>
    </row>
    <row r="47" spans="1:5" s="416" customFormat="1" ht="16.5" customHeight="1" x14ac:dyDescent="0.3">
      <c r="A47" s="445">
        <v>3</v>
      </c>
      <c r="B47" s="447">
        <v>54908859</v>
      </c>
      <c r="C47" s="447">
        <v>6114.82</v>
      </c>
      <c r="D47" s="446">
        <v>1.04</v>
      </c>
      <c r="E47" s="446">
        <v>5.74</v>
      </c>
    </row>
    <row r="48" spans="1:5" s="416" customFormat="1" ht="16.5" customHeight="1" x14ac:dyDescent="0.3">
      <c r="A48" s="445">
        <v>4</v>
      </c>
      <c r="B48" s="447">
        <v>54491641</v>
      </c>
      <c r="C48" s="447">
        <v>6120.91</v>
      </c>
      <c r="D48" s="446">
        <v>1.05</v>
      </c>
      <c r="E48" s="446">
        <v>5.74</v>
      </c>
    </row>
    <row r="49" spans="1:7" s="416" customFormat="1" ht="16.5" customHeight="1" x14ac:dyDescent="0.3">
      <c r="A49" s="445">
        <v>5</v>
      </c>
      <c r="B49" s="447">
        <v>54824952</v>
      </c>
      <c r="C49" s="447">
        <v>6242.11</v>
      </c>
      <c r="D49" s="446">
        <v>1.1299999999999999</v>
      </c>
      <c r="E49" s="446">
        <v>5.73</v>
      </c>
    </row>
    <row r="50" spans="1:7" s="416" customFormat="1" ht="16.5" customHeight="1" x14ac:dyDescent="0.3">
      <c r="A50" s="445">
        <v>6</v>
      </c>
      <c r="B50" s="444">
        <v>54869338</v>
      </c>
      <c r="C50" s="444">
        <v>6258.24</v>
      </c>
      <c r="D50" s="443">
        <v>1.05</v>
      </c>
      <c r="E50" s="443">
        <v>5.73</v>
      </c>
    </row>
    <row r="51" spans="1:7" s="416" customFormat="1" ht="16.5" customHeight="1" x14ac:dyDescent="0.3">
      <c r="A51" s="442" t="s">
        <v>17</v>
      </c>
      <c r="B51" s="441">
        <f>AVERAGE(B45:B50)</f>
        <v>54773625.666666664</v>
      </c>
      <c r="C51" s="440">
        <f>AVERAGE(C45:C50)</f>
        <v>6143.2400000000007</v>
      </c>
      <c r="D51" s="439">
        <f>AVERAGE(D45:D50)</f>
        <v>1.0616666666666668</v>
      </c>
      <c r="E51" s="439">
        <f>AVERAGE(E45:E50)</f>
        <v>5.7366666666666672</v>
      </c>
    </row>
    <row r="52" spans="1:7" s="416" customFormat="1" ht="16.5" customHeight="1" x14ac:dyDescent="0.3">
      <c r="A52" s="438" t="s">
        <v>18</v>
      </c>
      <c r="B52" s="437">
        <f>(STDEV(B45:B50)/B51)</f>
        <v>3.0563260480438877E-3</v>
      </c>
      <c r="C52" s="436"/>
      <c r="D52" s="436"/>
      <c r="E52" s="435"/>
    </row>
    <row r="53" spans="1:7" s="416" customFormat="1" ht="16.5" customHeight="1" x14ac:dyDescent="0.3">
      <c r="A53" s="434" t="s">
        <v>19</v>
      </c>
      <c r="B53" s="433">
        <f>COUNT(B45:B50)</f>
        <v>6</v>
      </c>
      <c r="C53" s="432"/>
      <c r="D53" s="431"/>
      <c r="E53" s="430"/>
    </row>
    <row r="54" spans="1:7" s="416" customFormat="1" ht="15.75" customHeight="1" x14ac:dyDescent="0.25">
      <c r="A54" s="429"/>
      <c r="B54" s="429"/>
      <c r="C54" s="429"/>
      <c r="D54" s="429"/>
      <c r="E54" s="429"/>
    </row>
    <row r="55" spans="1:7" s="416" customFormat="1" ht="16.5" customHeight="1" x14ac:dyDescent="0.3">
      <c r="A55" s="428" t="s">
        <v>20</v>
      </c>
      <c r="B55" s="427" t="s">
        <v>21</v>
      </c>
      <c r="C55" s="426"/>
      <c r="D55" s="426"/>
      <c r="E55" s="426"/>
    </row>
    <row r="56" spans="1:7" s="416" customFormat="1" ht="16.5" customHeight="1" x14ac:dyDescent="0.3">
      <c r="A56" s="428"/>
      <c r="B56" s="427" t="s">
        <v>22</v>
      </c>
      <c r="C56" s="426"/>
      <c r="D56" s="426"/>
      <c r="E56" s="426"/>
    </row>
    <row r="57" spans="1:7" s="416" customFormat="1" ht="16.5" customHeight="1" x14ac:dyDescent="0.3">
      <c r="A57" s="428"/>
      <c r="B57" s="427" t="s">
        <v>23</v>
      </c>
      <c r="C57" s="426"/>
      <c r="D57" s="426"/>
      <c r="E57" s="426"/>
    </row>
    <row r="58" spans="1:7" s="416" customFormat="1" ht="14.25" customHeight="1" thickBot="1" x14ac:dyDescent="0.3">
      <c r="A58" s="425"/>
      <c r="B58" s="424"/>
      <c r="D58" s="423"/>
      <c r="F58" s="415"/>
      <c r="G58" s="415"/>
    </row>
    <row r="59" spans="1:7" s="416" customFormat="1" ht="15" customHeight="1" x14ac:dyDescent="0.3">
      <c r="B59" s="464" t="s">
        <v>25</v>
      </c>
      <c r="C59" s="464"/>
      <c r="E59" s="421" t="s">
        <v>26</v>
      </c>
      <c r="F59" s="422"/>
      <c r="G59" s="421" t="s">
        <v>27</v>
      </c>
    </row>
    <row r="60" spans="1:7" s="416" customFormat="1" ht="15" customHeight="1" x14ac:dyDescent="0.3">
      <c r="A60" s="419" t="s">
        <v>28</v>
      </c>
      <c r="B60" s="420"/>
      <c r="C60" s="420"/>
      <c r="E60" s="420"/>
      <c r="G60" s="420"/>
    </row>
    <row r="61" spans="1:7" s="416" customFormat="1" ht="15" customHeight="1" x14ac:dyDescent="0.3">
      <c r="A61" s="419" t="s">
        <v>29</v>
      </c>
      <c r="B61" s="418"/>
      <c r="C61" s="418"/>
      <c r="E61" s="418"/>
      <c r="G61" s="417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2" workbookViewId="0">
      <selection activeCell="B44" sqref="B44"/>
    </sheetView>
  </sheetViews>
  <sheetFormatPr defaultRowHeight="13.5" x14ac:dyDescent="0.25"/>
  <cols>
    <col min="1" max="1" width="27.5703125" style="416" customWidth="1"/>
    <col min="2" max="2" width="20.42578125" style="416" customWidth="1"/>
    <col min="3" max="3" width="31.85546875" style="416" customWidth="1"/>
    <col min="4" max="4" width="25.85546875" style="416" customWidth="1"/>
    <col min="5" max="5" width="25.7109375" style="416" customWidth="1"/>
    <col min="6" max="6" width="23.140625" style="416" customWidth="1"/>
    <col min="7" max="7" width="28.42578125" style="416" customWidth="1"/>
    <col min="8" max="8" width="21.5703125" style="416" customWidth="1"/>
    <col min="9" max="9" width="9.140625" style="416" customWidth="1"/>
    <col min="10" max="16384" width="9.140625" style="415"/>
  </cols>
  <sheetData>
    <row r="14" spans="1:6" s="416" customFormat="1" ht="15" customHeight="1" x14ac:dyDescent="0.3">
      <c r="A14" s="460"/>
      <c r="C14" s="459"/>
      <c r="F14" s="459"/>
    </row>
    <row r="15" spans="1:6" s="416" customFormat="1" ht="18.75" customHeight="1" x14ac:dyDescent="0.3">
      <c r="A15" s="463" t="s">
        <v>0</v>
      </c>
      <c r="B15" s="463"/>
      <c r="C15" s="463"/>
      <c r="D15" s="463"/>
      <c r="E15" s="463"/>
    </row>
    <row r="16" spans="1:6" s="416" customFormat="1" ht="16.5" customHeight="1" x14ac:dyDescent="0.3">
      <c r="A16" s="455" t="s">
        <v>1</v>
      </c>
      <c r="B16" s="454" t="s">
        <v>130</v>
      </c>
    </row>
    <row r="17" spans="1:5" s="416" customFormat="1" ht="16.5" customHeight="1" x14ac:dyDescent="0.3">
      <c r="A17" s="452" t="s">
        <v>2</v>
      </c>
      <c r="B17" s="452" t="s">
        <v>4</v>
      </c>
      <c r="D17" s="458"/>
      <c r="E17" s="429"/>
    </row>
    <row r="18" spans="1:5" s="416" customFormat="1" ht="16.5" customHeight="1" x14ac:dyDescent="0.3">
      <c r="A18" s="428" t="s">
        <v>3</v>
      </c>
      <c r="B18" s="457" t="s">
        <v>127</v>
      </c>
      <c r="C18" s="429"/>
      <c r="D18" s="429"/>
      <c r="E18" s="429"/>
    </row>
    <row r="19" spans="1:5" s="416" customFormat="1" ht="16.5" customHeight="1" x14ac:dyDescent="0.3">
      <c r="A19" s="428" t="s">
        <v>5</v>
      </c>
      <c r="B19" s="453">
        <v>86.6</v>
      </c>
      <c r="C19" s="429"/>
      <c r="D19" s="429"/>
      <c r="E19" s="429"/>
    </row>
    <row r="20" spans="1:5" s="416" customFormat="1" ht="16.5" customHeight="1" x14ac:dyDescent="0.3">
      <c r="A20" s="452" t="s">
        <v>7</v>
      </c>
      <c r="B20" s="453">
        <v>23.96</v>
      </c>
      <c r="C20" s="429"/>
      <c r="D20" s="429"/>
      <c r="E20" s="429"/>
    </row>
    <row r="21" spans="1:5" s="416" customFormat="1" ht="16.5" customHeight="1" x14ac:dyDescent="0.3">
      <c r="A21" s="452" t="s">
        <v>9</v>
      </c>
      <c r="B21" s="451">
        <v>0.5</v>
      </c>
      <c r="C21" s="429"/>
      <c r="D21" s="429"/>
      <c r="E21" s="429"/>
    </row>
    <row r="22" spans="1:5" s="416" customFormat="1" ht="15.75" customHeight="1" x14ac:dyDescent="0.25">
      <c r="A22" s="429"/>
      <c r="B22" s="429"/>
      <c r="C22" s="429"/>
      <c r="D22" s="429"/>
      <c r="E22" s="429"/>
    </row>
    <row r="23" spans="1:5" s="416" customFormat="1" ht="16.5" customHeight="1" x14ac:dyDescent="0.3">
      <c r="A23" s="449" t="s">
        <v>12</v>
      </c>
      <c r="B23" s="450" t="s">
        <v>13</v>
      </c>
      <c r="C23" s="449" t="s">
        <v>14</v>
      </c>
      <c r="D23" s="449" t="s">
        <v>15</v>
      </c>
      <c r="E23" s="449" t="s">
        <v>16</v>
      </c>
    </row>
    <row r="24" spans="1:5" s="416" customFormat="1" ht="16.5" customHeight="1" x14ac:dyDescent="0.3">
      <c r="A24" s="445">
        <v>1</v>
      </c>
      <c r="B24" s="447">
        <v>49622398</v>
      </c>
      <c r="C24" s="447">
        <v>9571</v>
      </c>
      <c r="D24" s="446">
        <v>1.2</v>
      </c>
      <c r="E24" s="448">
        <v>4.5</v>
      </c>
    </row>
    <row r="25" spans="1:5" s="416" customFormat="1" ht="16.5" customHeight="1" x14ac:dyDescent="0.3">
      <c r="A25" s="445">
        <v>2</v>
      </c>
      <c r="B25" s="447">
        <v>48777801</v>
      </c>
      <c r="C25" s="447">
        <v>9517</v>
      </c>
      <c r="D25" s="446">
        <v>1.2</v>
      </c>
      <c r="E25" s="446">
        <v>4.4000000000000004</v>
      </c>
    </row>
    <row r="26" spans="1:5" s="416" customFormat="1" ht="16.5" customHeight="1" x14ac:dyDescent="0.3">
      <c r="A26" s="445">
        <v>3</v>
      </c>
      <c r="B26" s="447">
        <v>48323247</v>
      </c>
      <c r="C26" s="447">
        <v>9326.1</v>
      </c>
      <c r="D26" s="446">
        <v>1.2</v>
      </c>
      <c r="E26" s="446">
        <v>4.3</v>
      </c>
    </row>
    <row r="27" spans="1:5" s="416" customFormat="1" ht="16.5" customHeight="1" x14ac:dyDescent="0.3">
      <c r="A27" s="445">
        <v>4</v>
      </c>
      <c r="B27" s="447">
        <v>49622398</v>
      </c>
      <c r="C27" s="447">
        <v>9571</v>
      </c>
      <c r="D27" s="446">
        <v>1.2</v>
      </c>
      <c r="E27" s="446">
        <v>4.5</v>
      </c>
    </row>
    <row r="28" spans="1:5" s="416" customFormat="1" ht="16.5" customHeight="1" x14ac:dyDescent="0.3">
      <c r="A28" s="445">
        <v>5</v>
      </c>
      <c r="B28" s="447">
        <v>48723771</v>
      </c>
      <c r="C28" s="447">
        <v>9841.6</v>
      </c>
      <c r="D28" s="446">
        <v>1.1000000000000001</v>
      </c>
      <c r="E28" s="446">
        <v>4.5999999999999996</v>
      </c>
    </row>
    <row r="29" spans="1:5" s="416" customFormat="1" ht="16.5" customHeight="1" x14ac:dyDescent="0.3">
      <c r="A29" s="445">
        <v>6</v>
      </c>
      <c r="B29" s="444">
        <v>49344139</v>
      </c>
      <c r="C29" s="462" t="s">
        <v>129</v>
      </c>
      <c r="D29" s="443">
        <v>1.2</v>
      </c>
      <c r="E29" s="443">
        <v>4.5</v>
      </c>
    </row>
    <row r="30" spans="1:5" s="416" customFormat="1" ht="16.5" customHeight="1" x14ac:dyDescent="0.3">
      <c r="A30" s="442" t="s">
        <v>17</v>
      </c>
      <c r="B30" s="441">
        <f>AVERAGE(B24:B29)</f>
        <v>49068959</v>
      </c>
      <c r="C30" s="440">
        <f>AVERAGE(C24:C29)</f>
        <v>9565.34</v>
      </c>
      <c r="D30" s="439">
        <f>AVERAGE(D24:D29)</f>
        <v>1.1833333333333333</v>
      </c>
      <c r="E30" s="439">
        <f>AVERAGE(E24:E29)</f>
        <v>4.4666666666666659</v>
      </c>
    </row>
    <row r="31" spans="1:5" s="416" customFormat="1" ht="16.5" customHeight="1" x14ac:dyDescent="0.3">
      <c r="A31" s="438" t="s">
        <v>18</v>
      </c>
      <c r="B31" s="437">
        <f>(STDEV(B24:B29)/B30)</f>
        <v>1.0968356510689819E-2</v>
      </c>
      <c r="C31" s="436"/>
      <c r="D31" s="436"/>
      <c r="E31" s="435"/>
    </row>
    <row r="32" spans="1:5" s="416" customFormat="1" ht="16.5" customHeight="1" x14ac:dyDescent="0.3">
      <c r="A32" s="434" t="s">
        <v>19</v>
      </c>
      <c r="B32" s="433">
        <f>COUNT(B24:B29)</f>
        <v>6</v>
      </c>
      <c r="C32" s="432"/>
      <c r="D32" s="431"/>
      <c r="E32" s="430"/>
    </row>
    <row r="33" spans="1:5" s="416" customFormat="1" ht="15.75" customHeight="1" x14ac:dyDescent="0.25">
      <c r="A33" s="429"/>
      <c r="B33" s="429"/>
      <c r="C33" s="429"/>
      <c r="D33" s="429"/>
      <c r="E33" s="429"/>
    </row>
    <row r="34" spans="1:5" s="416" customFormat="1" ht="16.5" customHeight="1" x14ac:dyDescent="0.3">
      <c r="A34" s="428" t="s">
        <v>20</v>
      </c>
      <c r="B34" s="427" t="s">
        <v>21</v>
      </c>
      <c r="C34" s="426"/>
      <c r="D34" s="426"/>
      <c r="E34" s="426"/>
    </row>
    <row r="35" spans="1:5" s="416" customFormat="1" ht="16.5" customHeight="1" x14ac:dyDescent="0.3">
      <c r="A35" s="428"/>
      <c r="B35" s="427" t="s">
        <v>22</v>
      </c>
      <c r="C35" s="426"/>
      <c r="D35" s="426"/>
      <c r="E35" s="426"/>
    </row>
    <row r="36" spans="1:5" s="416" customFormat="1" ht="16.5" customHeight="1" x14ac:dyDescent="0.3">
      <c r="A36" s="428"/>
      <c r="B36" s="427" t="s">
        <v>23</v>
      </c>
      <c r="C36" s="426"/>
      <c r="D36" s="426"/>
      <c r="E36" s="426"/>
    </row>
    <row r="37" spans="1:5" s="416" customFormat="1" ht="15.75" customHeight="1" x14ac:dyDescent="0.3">
      <c r="A37" s="429"/>
      <c r="B37" s="456" t="s">
        <v>127</v>
      </c>
      <c r="C37" s="429"/>
      <c r="D37" s="429"/>
      <c r="E37" s="429"/>
    </row>
    <row r="38" spans="1:5" s="416" customFormat="1" ht="16.5" customHeight="1" x14ac:dyDescent="0.3">
      <c r="A38" s="455" t="s">
        <v>1</v>
      </c>
      <c r="B38" s="461" t="s">
        <v>24</v>
      </c>
    </row>
    <row r="39" spans="1:5" s="416" customFormat="1" ht="16.5" customHeight="1" x14ac:dyDescent="0.3">
      <c r="A39" s="428" t="s">
        <v>3</v>
      </c>
      <c r="B39" s="452" t="s">
        <v>124</v>
      </c>
      <c r="C39" s="429"/>
      <c r="D39" s="429"/>
      <c r="E39" s="429"/>
    </row>
    <row r="40" spans="1:5" s="416" customFormat="1" ht="16.5" customHeight="1" x14ac:dyDescent="0.3">
      <c r="A40" s="428" t="s">
        <v>5</v>
      </c>
      <c r="B40" s="453">
        <v>96.4</v>
      </c>
      <c r="C40" s="429"/>
      <c r="D40" s="429"/>
      <c r="E40" s="429"/>
    </row>
    <row r="41" spans="1:5" s="416" customFormat="1" ht="16.5" customHeight="1" x14ac:dyDescent="0.3">
      <c r="A41" s="452" t="s">
        <v>7</v>
      </c>
      <c r="B41" s="453">
        <v>23.1</v>
      </c>
      <c r="C41" s="429"/>
      <c r="D41" s="429"/>
      <c r="E41" s="429"/>
    </row>
    <row r="42" spans="1:5" s="416" customFormat="1" ht="16.5" customHeight="1" x14ac:dyDescent="0.3">
      <c r="A42" s="452" t="s">
        <v>9</v>
      </c>
      <c r="B42" s="451">
        <v>0.125</v>
      </c>
      <c r="C42" s="429"/>
      <c r="D42" s="429"/>
      <c r="E42" s="429"/>
    </row>
    <row r="43" spans="1:5" s="416" customFormat="1" ht="15.75" customHeight="1" x14ac:dyDescent="0.25">
      <c r="A43" s="429"/>
      <c r="B43" s="429"/>
      <c r="C43" s="429"/>
      <c r="D43" s="429"/>
      <c r="E43" s="429"/>
    </row>
    <row r="44" spans="1:5" s="416" customFormat="1" ht="16.5" customHeight="1" x14ac:dyDescent="0.3">
      <c r="A44" s="449" t="s">
        <v>12</v>
      </c>
      <c r="B44" s="450" t="s">
        <v>13</v>
      </c>
      <c r="C44" s="449" t="s">
        <v>14</v>
      </c>
      <c r="D44" s="449" t="s">
        <v>15</v>
      </c>
      <c r="E44" s="449" t="s">
        <v>16</v>
      </c>
    </row>
    <row r="45" spans="1:5" s="416" customFormat="1" ht="16.5" customHeight="1" x14ac:dyDescent="0.3">
      <c r="A45" s="445">
        <v>1</v>
      </c>
      <c r="B45" s="447">
        <v>113104485</v>
      </c>
      <c r="C45" s="447">
        <v>7135.2</v>
      </c>
      <c r="D45" s="446">
        <v>1</v>
      </c>
      <c r="E45" s="448">
        <v>7.8</v>
      </c>
    </row>
    <row r="46" spans="1:5" s="416" customFormat="1" ht="16.5" customHeight="1" x14ac:dyDescent="0.3">
      <c r="A46" s="445">
        <v>2</v>
      </c>
      <c r="B46" s="447">
        <v>112525467</v>
      </c>
      <c r="C46" s="447">
        <v>7010.6</v>
      </c>
      <c r="D46" s="446">
        <v>1</v>
      </c>
      <c r="E46" s="446">
        <v>7.6</v>
      </c>
    </row>
    <row r="47" spans="1:5" s="416" customFormat="1" ht="16.5" customHeight="1" x14ac:dyDescent="0.3">
      <c r="A47" s="445">
        <v>3</v>
      </c>
      <c r="B47" s="447">
        <v>108739959</v>
      </c>
      <c r="C47" s="447">
        <v>7012.2</v>
      </c>
      <c r="D47" s="446">
        <v>1</v>
      </c>
      <c r="E47" s="446">
        <v>7.6</v>
      </c>
    </row>
    <row r="48" spans="1:5" s="416" customFormat="1" ht="16.5" customHeight="1" x14ac:dyDescent="0.3">
      <c r="A48" s="445">
        <v>4</v>
      </c>
      <c r="B48" s="447">
        <v>110031634</v>
      </c>
      <c r="C48" s="447">
        <v>5874.6</v>
      </c>
      <c r="D48" s="446">
        <v>1</v>
      </c>
      <c r="E48" s="446">
        <v>7.5</v>
      </c>
    </row>
    <row r="49" spans="1:7" s="416" customFormat="1" ht="16.5" customHeight="1" x14ac:dyDescent="0.3">
      <c r="A49" s="445">
        <v>5</v>
      </c>
      <c r="B49" s="447">
        <v>109871362</v>
      </c>
      <c r="C49" s="447">
        <v>6808</v>
      </c>
      <c r="D49" s="446">
        <v>1</v>
      </c>
      <c r="E49" s="446">
        <v>7.4</v>
      </c>
    </row>
    <row r="50" spans="1:7" s="416" customFormat="1" ht="16.5" customHeight="1" x14ac:dyDescent="0.3">
      <c r="A50" s="445">
        <v>6</v>
      </c>
      <c r="B50" s="444"/>
      <c r="C50" s="444"/>
      <c r="D50" s="443"/>
      <c r="E50" s="443"/>
    </row>
    <row r="51" spans="1:7" s="416" customFormat="1" ht="16.5" customHeight="1" x14ac:dyDescent="0.3">
      <c r="A51" s="442" t="s">
        <v>17</v>
      </c>
      <c r="B51" s="441">
        <f>AVERAGE(B45:B50)</f>
        <v>110854581.40000001</v>
      </c>
      <c r="C51" s="440">
        <f>AVERAGE(C45:C50)</f>
        <v>6768.12</v>
      </c>
      <c r="D51" s="439">
        <f>AVERAGE(D45:D50)</f>
        <v>1</v>
      </c>
      <c r="E51" s="439">
        <f>AVERAGE(E45:E50)</f>
        <v>7.58</v>
      </c>
    </row>
    <row r="52" spans="1:7" s="416" customFormat="1" ht="16.5" customHeight="1" x14ac:dyDescent="0.3">
      <c r="A52" s="438" t="s">
        <v>18</v>
      </c>
      <c r="B52" s="437">
        <f>(STDEV(B45:B50)/B51)</f>
        <v>1.6858038119941625E-2</v>
      </c>
      <c r="C52" s="436"/>
      <c r="D52" s="436"/>
      <c r="E52" s="435"/>
    </row>
    <row r="53" spans="1:7" s="416" customFormat="1" ht="16.5" customHeight="1" x14ac:dyDescent="0.3">
      <c r="A53" s="434" t="s">
        <v>19</v>
      </c>
      <c r="B53" s="433">
        <f>COUNT(B45:B50)</f>
        <v>5</v>
      </c>
      <c r="C53" s="432"/>
      <c r="D53" s="431"/>
      <c r="E53" s="430"/>
    </row>
    <row r="54" spans="1:7" s="416" customFormat="1" ht="15.75" customHeight="1" x14ac:dyDescent="0.25">
      <c r="A54" s="429"/>
      <c r="B54" s="429"/>
      <c r="C54" s="429"/>
      <c r="D54" s="429"/>
      <c r="E54" s="429"/>
    </row>
    <row r="55" spans="1:7" s="416" customFormat="1" ht="16.5" customHeight="1" x14ac:dyDescent="0.3">
      <c r="A55" s="428" t="s">
        <v>20</v>
      </c>
      <c r="B55" s="427" t="s">
        <v>21</v>
      </c>
      <c r="C55" s="426"/>
      <c r="D55" s="426"/>
      <c r="E55" s="426"/>
    </row>
    <row r="56" spans="1:7" s="416" customFormat="1" ht="16.5" customHeight="1" x14ac:dyDescent="0.3">
      <c r="A56" s="428"/>
      <c r="B56" s="427" t="s">
        <v>22</v>
      </c>
      <c r="C56" s="426"/>
      <c r="D56" s="426"/>
      <c r="E56" s="426"/>
    </row>
    <row r="57" spans="1:7" s="416" customFormat="1" ht="16.5" customHeight="1" x14ac:dyDescent="0.3">
      <c r="A57" s="428"/>
      <c r="B57" s="427" t="s">
        <v>23</v>
      </c>
      <c r="C57" s="426"/>
      <c r="D57" s="426"/>
      <c r="E57" s="426"/>
    </row>
    <row r="58" spans="1:7" s="416" customFormat="1" ht="14.25" customHeight="1" thickBot="1" x14ac:dyDescent="0.3">
      <c r="A58" s="425"/>
      <c r="B58" s="424"/>
      <c r="D58" s="423"/>
      <c r="F58" s="415"/>
      <c r="G58" s="415"/>
    </row>
    <row r="59" spans="1:7" s="416" customFormat="1" ht="15" customHeight="1" x14ac:dyDescent="0.3">
      <c r="B59" s="464" t="s">
        <v>25</v>
      </c>
      <c r="C59" s="464"/>
      <c r="E59" s="421" t="s">
        <v>26</v>
      </c>
      <c r="F59" s="422"/>
      <c r="G59" s="421" t="s">
        <v>27</v>
      </c>
    </row>
    <row r="60" spans="1:7" s="416" customFormat="1" ht="15" customHeight="1" x14ac:dyDescent="0.3">
      <c r="A60" s="419" t="s">
        <v>28</v>
      </c>
      <c r="B60" s="420"/>
      <c r="C60" s="420"/>
      <c r="E60" s="420"/>
      <c r="G60" s="420"/>
    </row>
    <row r="61" spans="1:7" s="416" customFormat="1" ht="15" customHeight="1" x14ac:dyDescent="0.3">
      <c r="A61" s="419" t="s">
        <v>29</v>
      </c>
      <c r="B61" s="418"/>
      <c r="C61" s="418"/>
      <c r="E61" s="418"/>
      <c r="G61" s="417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31" workbookViewId="0">
      <selection activeCell="F44" sqref="F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68" t="s">
        <v>30</v>
      </c>
      <c r="B11" s="469"/>
      <c r="C11" s="469"/>
      <c r="D11" s="469"/>
      <c r="E11" s="469"/>
      <c r="F11" s="470"/>
      <c r="G11" s="43"/>
    </row>
    <row r="12" spans="1:7" ht="16.5" customHeight="1" x14ac:dyDescent="0.3">
      <c r="A12" s="467" t="s">
        <v>31</v>
      </c>
      <c r="B12" s="467"/>
      <c r="C12" s="467"/>
      <c r="D12" s="467"/>
      <c r="E12" s="467"/>
      <c r="F12" s="467"/>
      <c r="G12" s="42"/>
    </row>
    <row r="14" spans="1:7" ht="16.5" customHeight="1" x14ac:dyDescent="0.3">
      <c r="A14" s="472" t="s">
        <v>32</v>
      </c>
      <c r="B14" s="472"/>
      <c r="C14" s="12" t="s">
        <v>4</v>
      </c>
    </row>
    <row r="15" spans="1:7" ht="16.5" customHeight="1" x14ac:dyDescent="0.3">
      <c r="A15" s="472" t="s">
        <v>33</v>
      </c>
      <c r="B15" s="472"/>
      <c r="C15" s="12" t="s">
        <v>6</v>
      </c>
    </row>
    <row r="16" spans="1:7" ht="16.5" customHeight="1" x14ac:dyDescent="0.3">
      <c r="A16" s="472" t="s">
        <v>34</v>
      </c>
      <c r="B16" s="472"/>
      <c r="C16" s="12" t="s">
        <v>8</v>
      </c>
    </row>
    <row r="17" spans="1:5" ht="16.5" customHeight="1" x14ac:dyDescent="0.3">
      <c r="A17" s="472" t="s">
        <v>35</v>
      </c>
      <c r="B17" s="472"/>
      <c r="C17" s="12" t="s">
        <v>10</v>
      </c>
    </row>
    <row r="18" spans="1:5" ht="16.5" customHeight="1" x14ac:dyDescent="0.3">
      <c r="A18" s="472" t="s">
        <v>36</v>
      </c>
      <c r="B18" s="472"/>
      <c r="C18" s="49" t="s">
        <v>11</v>
      </c>
    </row>
    <row r="19" spans="1:5" ht="16.5" customHeight="1" x14ac:dyDescent="0.3">
      <c r="A19" s="472" t="s">
        <v>37</v>
      </c>
      <c r="B19" s="472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467" t="s">
        <v>1</v>
      </c>
      <c r="B21" s="467"/>
      <c r="C21" s="11" t="s">
        <v>38</v>
      </c>
      <c r="D21" s="18"/>
    </row>
    <row r="22" spans="1:5" ht="15.75" customHeight="1" x14ac:dyDescent="0.3">
      <c r="A22" s="471"/>
      <c r="B22" s="471"/>
      <c r="C22" s="9"/>
      <c r="D22" s="471"/>
      <c r="E22" s="471"/>
    </row>
    <row r="23" spans="1:5" ht="33.75" customHeight="1" x14ac:dyDescent="0.3">
      <c r="C23" s="38" t="s">
        <v>39</v>
      </c>
      <c r="D23" s="37" t="s">
        <v>40</v>
      </c>
      <c r="E23" s="4"/>
    </row>
    <row r="24" spans="1:5" ht="15.75" customHeight="1" x14ac:dyDescent="0.3">
      <c r="C24" s="47">
        <v>1083.74</v>
      </c>
      <c r="D24" s="39">
        <f t="shared" ref="D24:D43" si="0">(C24-$C$46)/$C$46</f>
        <v>-1.0227515061347959E-2</v>
      </c>
      <c r="E24" s="5"/>
    </row>
    <row r="25" spans="1:5" ht="15.75" customHeight="1" x14ac:dyDescent="0.3">
      <c r="C25" s="47">
        <v>1104.8900000000001</v>
      </c>
      <c r="D25" s="40">
        <f t="shared" si="0"/>
        <v>9.0886383116497906E-3</v>
      </c>
      <c r="E25" s="5"/>
    </row>
    <row r="26" spans="1:5" ht="15.75" customHeight="1" x14ac:dyDescent="0.3">
      <c r="C26" s="47">
        <v>1085.2</v>
      </c>
      <c r="D26" s="40">
        <f t="shared" si="0"/>
        <v>-8.8941068379636903E-3</v>
      </c>
      <c r="E26" s="5"/>
    </row>
    <row r="27" spans="1:5" ht="15.75" customHeight="1" x14ac:dyDescent="0.3">
      <c r="C27" s="47">
        <v>1091.04</v>
      </c>
      <c r="D27" s="40">
        <f t="shared" si="0"/>
        <v>-3.5604739444268204E-3</v>
      </c>
      <c r="E27" s="5"/>
    </row>
    <row r="28" spans="1:5" ht="15.75" customHeight="1" x14ac:dyDescent="0.3">
      <c r="C28" s="47">
        <v>1088.75</v>
      </c>
      <c r="D28" s="40">
        <f t="shared" si="0"/>
        <v>-5.6519156098719251E-3</v>
      </c>
      <c r="E28" s="5"/>
    </row>
    <row r="29" spans="1:5" ht="15.75" customHeight="1" x14ac:dyDescent="0.3">
      <c r="C29" s="47">
        <v>1104.8399999999999</v>
      </c>
      <c r="D29" s="40">
        <f t="shared" si="0"/>
        <v>9.0429736464652313E-3</v>
      </c>
      <c r="E29" s="5"/>
    </row>
    <row r="30" spans="1:5" ht="15.75" customHeight="1" x14ac:dyDescent="0.3">
      <c r="C30" s="47">
        <v>1110.01</v>
      </c>
      <c r="D30" s="40">
        <f t="shared" si="0"/>
        <v>1.3764700026531395E-2</v>
      </c>
      <c r="E30" s="5"/>
    </row>
    <row r="31" spans="1:5" ht="15.75" customHeight="1" x14ac:dyDescent="0.3">
      <c r="C31" s="47">
        <v>1097.18</v>
      </c>
      <c r="D31" s="40">
        <f t="shared" si="0"/>
        <v>2.0471469402165649E-3</v>
      </c>
      <c r="E31" s="5"/>
    </row>
    <row r="32" spans="1:5" ht="15.75" customHeight="1" x14ac:dyDescent="0.3">
      <c r="C32" s="47">
        <v>1102.04</v>
      </c>
      <c r="D32" s="40">
        <f t="shared" si="0"/>
        <v>6.4857523961393418E-3</v>
      </c>
      <c r="E32" s="5"/>
    </row>
    <row r="33" spans="1:7" ht="15.75" customHeight="1" x14ac:dyDescent="0.3">
      <c r="C33" s="47">
        <v>1093.8599999999999</v>
      </c>
      <c r="D33" s="40">
        <f t="shared" si="0"/>
        <v>-9.8498682802718998E-4</v>
      </c>
      <c r="E33" s="5"/>
    </row>
    <row r="34" spans="1:7" ht="15.75" customHeight="1" x14ac:dyDescent="0.3">
      <c r="C34" s="47">
        <v>1115.5899999999999</v>
      </c>
      <c r="D34" s="40">
        <f t="shared" si="0"/>
        <v>1.8860876661109437E-2</v>
      </c>
      <c r="E34" s="5"/>
    </row>
    <row r="35" spans="1:7" ht="15.75" customHeight="1" x14ac:dyDescent="0.3">
      <c r="C35" s="47">
        <v>1101.98</v>
      </c>
      <c r="D35" s="40">
        <f t="shared" si="0"/>
        <v>6.4309547979181213E-3</v>
      </c>
      <c r="E35" s="5"/>
    </row>
    <row r="36" spans="1:7" ht="15.75" customHeight="1" x14ac:dyDescent="0.3">
      <c r="C36" s="47">
        <v>1095.51</v>
      </c>
      <c r="D36" s="40">
        <f t="shared" si="0"/>
        <v>5.2194712305781744E-4</v>
      </c>
      <c r="E36" s="5"/>
    </row>
    <row r="37" spans="1:7" ht="15.75" customHeight="1" x14ac:dyDescent="0.3">
      <c r="C37" s="47">
        <v>1082.4100000000001</v>
      </c>
      <c r="D37" s="40">
        <f t="shared" si="0"/>
        <v>-1.144219515525271E-2</v>
      </c>
      <c r="E37" s="5"/>
    </row>
    <row r="38" spans="1:7" ht="15.75" customHeight="1" x14ac:dyDescent="0.3">
      <c r="C38" s="47">
        <v>1082.3599999999999</v>
      </c>
      <c r="D38" s="40">
        <f t="shared" si="0"/>
        <v>-1.1487859820437268E-2</v>
      </c>
      <c r="E38" s="5"/>
    </row>
    <row r="39" spans="1:7" ht="15.75" customHeight="1" x14ac:dyDescent="0.3">
      <c r="C39" s="47">
        <v>1098.69</v>
      </c>
      <c r="D39" s="40">
        <f t="shared" si="0"/>
        <v>3.426219828785184E-3</v>
      </c>
      <c r="E39" s="5"/>
    </row>
    <row r="40" spans="1:7" ht="15.75" customHeight="1" x14ac:dyDescent="0.3">
      <c r="C40" s="47">
        <v>1105.22</v>
      </c>
      <c r="D40" s="40">
        <f t="shared" si="0"/>
        <v>9.3900251018667075E-3</v>
      </c>
      <c r="E40" s="5"/>
    </row>
    <row r="41" spans="1:7" ht="15.75" customHeight="1" x14ac:dyDescent="0.3">
      <c r="C41" s="47">
        <v>1093.23</v>
      </c>
      <c r="D41" s="40">
        <f t="shared" si="0"/>
        <v>-1.5603616093504166E-3</v>
      </c>
      <c r="E41" s="5"/>
    </row>
    <row r="42" spans="1:7" ht="15.75" customHeight="1" x14ac:dyDescent="0.3">
      <c r="C42" s="47">
        <v>1096.1199999999999</v>
      </c>
      <c r="D42" s="40">
        <f t="shared" si="0"/>
        <v>1.0790560383073041E-3</v>
      </c>
      <c r="E42" s="5"/>
    </row>
    <row r="43" spans="1:7" ht="16.5" customHeight="1" x14ac:dyDescent="0.3">
      <c r="C43" s="48">
        <v>1066.1099999999999</v>
      </c>
      <c r="D43" s="41">
        <f t="shared" si="0"/>
        <v>-2.6328876005364554E-2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41</v>
      </c>
      <c r="C45" s="35">
        <f>SUM(C24:C44)</f>
        <v>21898.769999999997</v>
      </c>
      <c r="D45" s="30"/>
      <c r="E45" s="6"/>
    </row>
    <row r="46" spans="1:7" ht="17.25" customHeight="1" x14ac:dyDescent="0.3">
      <c r="B46" s="34" t="s">
        <v>42</v>
      </c>
      <c r="C46" s="36">
        <f>AVERAGE(C24:C44)</f>
        <v>1094.9384999999997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42</v>
      </c>
      <c r="C48" s="37" t="s">
        <v>43</v>
      </c>
      <c r="D48" s="32"/>
      <c r="G48" s="10"/>
    </row>
    <row r="49" spans="1:6" ht="17.25" customHeight="1" x14ac:dyDescent="0.3">
      <c r="B49" s="465">
        <f>C46</f>
        <v>1094.9384999999997</v>
      </c>
      <c r="C49" s="45">
        <f>-IF(C46&lt;=80,10%,IF(C46&lt;250,7.5%,5%))</f>
        <v>-0.05</v>
      </c>
      <c r="D49" s="33">
        <f>IF(C46&lt;=80,C46*0.9,IF(C46&lt;250,C46*0.925,C46*0.95))</f>
        <v>1040.1915749999996</v>
      </c>
    </row>
    <row r="50" spans="1:6" ht="17.25" customHeight="1" x14ac:dyDescent="0.3">
      <c r="B50" s="466"/>
      <c r="C50" s="46">
        <f>IF(C46&lt;=80, 10%, IF(C46&lt;250, 7.5%, 5%))</f>
        <v>0.05</v>
      </c>
      <c r="D50" s="33">
        <f>IF(C46&lt;=80, C46*1.1, IF(C46&lt;250, C46*1.075, C46*1.05))</f>
        <v>1149.6854249999999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25</v>
      </c>
      <c r="C52" s="19"/>
      <c r="D52" s="20" t="s">
        <v>26</v>
      </c>
      <c r="E52" s="21"/>
      <c r="F52" s="20" t="s">
        <v>27</v>
      </c>
    </row>
    <row r="53" spans="1:6" ht="34.5" customHeight="1" x14ac:dyDescent="0.3">
      <c r="A53" s="22" t="s">
        <v>28</v>
      </c>
      <c r="B53" s="23"/>
      <c r="C53" s="24"/>
      <c r="D53" s="23"/>
      <c r="E53" s="13"/>
      <c r="F53" s="25"/>
    </row>
    <row r="54" spans="1:6" ht="34.5" customHeight="1" x14ac:dyDescent="0.3">
      <c r="A54" s="22" t="s">
        <v>29</v>
      </c>
      <c r="B54" s="26"/>
      <c r="C54" s="27"/>
      <c r="D54" s="26"/>
      <c r="E54" s="13"/>
      <c r="F54" s="28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5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58" zoomScale="60" zoomScaleNormal="40" zoomScalePageLayoutView="60" workbookViewId="0">
      <selection activeCell="D72" sqref="D72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01" t="s">
        <v>44</v>
      </c>
      <c r="B1" s="501"/>
      <c r="C1" s="501"/>
      <c r="D1" s="501"/>
      <c r="E1" s="501"/>
      <c r="F1" s="501"/>
      <c r="G1" s="501"/>
      <c r="H1" s="501"/>
      <c r="I1" s="501"/>
    </row>
    <row r="2" spans="1:9" ht="18.75" customHeight="1" x14ac:dyDescent="0.25">
      <c r="A2" s="501"/>
      <c r="B2" s="501"/>
      <c r="C2" s="501"/>
      <c r="D2" s="501"/>
      <c r="E2" s="501"/>
      <c r="F2" s="501"/>
      <c r="G2" s="501"/>
      <c r="H2" s="501"/>
      <c r="I2" s="501"/>
    </row>
    <row r="3" spans="1:9" ht="18.75" customHeight="1" x14ac:dyDescent="0.25">
      <c r="A3" s="501"/>
      <c r="B3" s="501"/>
      <c r="C3" s="501"/>
      <c r="D3" s="501"/>
      <c r="E3" s="501"/>
      <c r="F3" s="501"/>
      <c r="G3" s="501"/>
      <c r="H3" s="501"/>
      <c r="I3" s="501"/>
    </row>
    <row r="4" spans="1:9" ht="18.75" customHeight="1" x14ac:dyDescent="0.25">
      <c r="A4" s="501"/>
      <c r="B4" s="501"/>
      <c r="C4" s="501"/>
      <c r="D4" s="501"/>
      <c r="E4" s="501"/>
      <c r="F4" s="501"/>
      <c r="G4" s="501"/>
      <c r="H4" s="501"/>
      <c r="I4" s="501"/>
    </row>
    <row r="5" spans="1:9" ht="18.75" customHeight="1" x14ac:dyDescent="0.25">
      <c r="A5" s="501"/>
      <c r="B5" s="501"/>
      <c r="C5" s="501"/>
      <c r="D5" s="501"/>
      <c r="E5" s="501"/>
      <c r="F5" s="501"/>
      <c r="G5" s="501"/>
      <c r="H5" s="501"/>
      <c r="I5" s="501"/>
    </row>
    <row r="6" spans="1:9" ht="18.75" customHeight="1" x14ac:dyDescent="0.25">
      <c r="A6" s="501"/>
      <c r="B6" s="501"/>
      <c r="C6" s="501"/>
      <c r="D6" s="501"/>
      <c r="E6" s="501"/>
      <c r="F6" s="501"/>
      <c r="G6" s="501"/>
      <c r="H6" s="501"/>
      <c r="I6" s="501"/>
    </row>
    <row r="7" spans="1:9" ht="18.75" customHeight="1" x14ac:dyDescent="0.25">
      <c r="A7" s="501"/>
      <c r="B7" s="501"/>
      <c r="C7" s="501"/>
      <c r="D7" s="501"/>
      <c r="E7" s="501"/>
      <c r="F7" s="501"/>
      <c r="G7" s="501"/>
      <c r="H7" s="501"/>
      <c r="I7" s="501"/>
    </row>
    <row r="8" spans="1:9" x14ac:dyDescent="0.25">
      <c r="A8" s="502" t="s">
        <v>45</v>
      </c>
      <c r="B8" s="502"/>
      <c r="C8" s="502"/>
      <c r="D8" s="502"/>
      <c r="E8" s="502"/>
      <c r="F8" s="502"/>
      <c r="G8" s="502"/>
      <c r="H8" s="502"/>
      <c r="I8" s="502"/>
    </row>
    <row r="9" spans="1:9" x14ac:dyDescent="0.25">
      <c r="A9" s="502"/>
      <c r="B9" s="502"/>
      <c r="C9" s="502"/>
      <c r="D9" s="502"/>
      <c r="E9" s="502"/>
      <c r="F9" s="502"/>
      <c r="G9" s="502"/>
      <c r="H9" s="502"/>
      <c r="I9" s="502"/>
    </row>
    <row r="10" spans="1:9" x14ac:dyDescent="0.25">
      <c r="A10" s="502"/>
      <c r="B10" s="502"/>
      <c r="C10" s="502"/>
      <c r="D10" s="502"/>
      <c r="E10" s="502"/>
      <c r="F10" s="502"/>
      <c r="G10" s="502"/>
      <c r="H10" s="502"/>
      <c r="I10" s="502"/>
    </row>
    <row r="11" spans="1:9" x14ac:dyDescent="0.25">
      <c r="A11" s="502"/>
      <c r="B11" s="502"/>
      <c r="C11" s="502"/>
      <c r="D11" s="502"/>
      <c r="E11" s="502"/>
      <c r="F11" s="502"/>
      <c r="G11" s="502"/>
      <c r="H11" s="502"/>
      <c r="I11" s="502"/>
    </row>
    <row r="12" spans="1:9" x14ac:dyDescent="0.25">
      <c r="A12" s="502"/>
      <c r="B12" s="502"/>
      <c r="C12" s="502"/>
      <c r="D12" s="502"/>
      <c r="E12" s="502"/>
      <c r="F12" s="502"/>
      <c r="G12" s="502"/>
      <c r="H12" s="502"/>
      <c r="I12" s="502"/>
    </row>
    <row r="13" spans="1:9" x14ac:dyDescent="0.25">
      <c r="A13" s="502"/>
      <c r="B13" s="502"/>
      <c r="C13" s="502"/>
      <c r="D13" s="502"/>
      <c r="E13" s="502"/>
      <c r="F13" s="502"/>
      <c r="G13" s="502"/>
      <c r="H13" s="502"/>
      <c r="I13" s="502"/>
    </row>
    <row r="14" spans="1:9" x14ac:dyDescent="0.25">
      <c r="A14" s="502"/>
      <c r="B14" s="502"/>
      <c r="C14" s="502"/>
      <c r="D14" s="502"/>
      <c r="E14" s="502"/>
      <c r="F14" s="502"/>
      <c r="G14" s="502"/>
      <c r="H14" s="502"/>
      <c r="I14" s="502"/>
    </row>
    <row r="15" spans="1:9" ht="19.5" customHeight="1" x14ac:dyDescent="0.3">
      <c r="A15" s="50"/>
    </row>
    <row r="16" spans="1:9" ht="19.5" customHeight="1" x14ac:dyDescent="0.3">
      <c r="A16" s="474" t="s">
        <v>30</v>
      </c>
      <c r="B16" s="475"/>
      <c r="C16" s="475"/>
      <c r="D16" s="475"/>
      <c r="E16" s="475"/>
      <c r="F16" s="475"/>
      <c r="G16" s="475"/>
      <c r="H16" s="476"/>
    </row>
    <row r="17" spans="1:14" ht="20.25" customHeight="1" x14ac:dyDescent="0.25">
      <c r="A17" s="477" t="s">
        <v>46</v>
      </c>
      <c r="B17" s="477"/>
      <c r="C17" s="477"/>
      <c r="D17" s="477"/>
      <c r="E17" s="477"/>
      <c r="F17" s="477"/>
      <c r="G17" s="477"/>
      <c r="H17" s="477"/>
    </row>
    <row r="18" spans="1:14" ht="26.25" customHeight="1" x14ac:dyDescent="0.4">
      <c r="A18" s="52" t="s">
        <v>32</v>
      </c>
      <c r="B18" s="473" t="s">
        <v>4</v>
      </c>
      <c r="C18" s="473"/>
      <c r="D18" s="219"/>
      <c r="E18" s="53"/>
      <c r="F18" s="54"/>
      <c r="G18" s="54"/>
      <c r="H18" s="54"/>
    </row>
    <row r="19" spans="1:14" ht="26.25" customHeight="1" x14ac:dyDescent="0.4">
      <c r="A19" s="52" t="s">
        <v>33</v>
      </c>
      <c r="B19" s="55" t="s">
        <v>6</v>
      </c>
      <c r="C19" s="231">
        <v>29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34</v>
      </c>
      <c r="B20" s="478" t="s">
        <v>8</v>
      </c>
      <c r="C20" s="478"/>
      <c r="D20" s="54"/>
      <c r="E20" s="54"/>
      <c r="F20" s="54"/>
      <c r="G20" s="54"/>
      <c r="H20" s="54"/>
    </row>
    <row r="21" spans="1:14" ht="26.25" customHeight="1" x14ac:dyDescent="0.4">
      <c r="A21" s="52" t="s">
        <v>35</v>
      </c>
      <c r="B21" s="478" t="s">
        <v>10</v>
      </c>
      <c r="C21" s="478"/>
      <c r="D21" s="478"/>
      <c r="E21" s="478"/>
      <c r="F21" s="478"/>
      <c r="G21" s="478"/>
      <c r="H21" s="478"/>
      <c r="I21" s="56"/>
    </row>
    <row r="22" spans="1:14" ht="26.25" customHeight="1" x14ac:dyDescent="0.4">
      <c r="A22" s="52" t="s">
        <v>36</v>
      </c>
      <c r="B22" s="57"/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37</v>
      </c>
      <c r="B23" s="57"/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3</v>
      </c>
      <c r="B26" s="473" t="s">
        <v>124</v>
      </c>
      <c r="C26" s="473"/>
    </row>
    <row r="27" spans="1:14" ht="26.25" customHeight="1" x14ac:dyDescent="0.4">
      <c r="A27" s="61" t="s">
        <v>47</v>
      </c>
      <c r="B27" s="479"/>
      <c r="C27" s="479"/>
    </row>
    <row r="28" spans="1:14" ht="27" customHeight="1" x14ac:dyDescent="0.4">
      <c r="A28" s="61" t="s">
        <v>5</v>
      </c>
      <c r="B28" s="62">
        <v>86.6</v>
      </c>
    </row>
    <row r="29" spans="1:14" s="3" customFormat="1" ht="27" customHeight="1" x14ac:dyDescent="0.4">
      <c r="A29" s="61" t="s">
        <v>48</v>
      </c>
      <c r="B29" s="63"/>
      <c r="C29" s="480" t="s">
        <v>49</v>
      </c>
      <c r="D29" s="481"/>
      <c r="E29" s="481"/>
      <c r="F29" s="481"/>
      <c r="G29" s="482"/>
      <c r="I29" s="64"/>
      <c r="J29" s="64"/>
      <c r="K29" s="64"/>
      <c r="L29" s="64"/>
    </row>
    <row r="30" spans="1:14" s="3" customFormat="1" ht="19.5" customHeight="1" x14ac:dyDescent="0.3">
      <c r="A30" s="61" t="s">
        <v>50</v>
      </c>
      <c r="B30" s="65">
        <f>B28-B29</f>
        <v>86.6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51</v>
      </c>
      <c r="B31" s="68">
        <v>1</v>
      </c>
      <c r="C31" s="483" t="s">
        <v>52</v>
      </c>
      <c r="D31" s="484"/>
      <c r="E31" s="484"/>
      <c r="F31" s="484"/>
      <c r="G31" s="484"/>
      <c r="H31" s="485"/>
      <c r="I31" s="64"/>
      <c r="J31" s="64"/>
      <c r="K31" s="64"/>
      <c r="L31" s="64"/>
    </row>
    <row r="32" spans="1:14" s="3" customFormat="1" ht="27" customHeight="1" x14ac:dyDescent="0.4">
      <c r="A32" s="61" t="s">
        <v>53</v>
      </c>
      <c r="B32" s="68">
        <v>1</v>
      </c>
      <c r="C32" s="483" t="s">
        <v>54</v>
      </c>
      <c r="D32" s="484"/>
      <c r="E32" s="484"/>
      <c r="F32" s="484"/>
      <c r="G32" s="484"/>
      <c r="H32" s="485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55</v>
      </c>
      <c r="B34" s="73">
        <f>B31/B32</f>
        <v>1</v>
      </c>
      <c r="C34" s="51" t="s">
        <v>56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57</v>
      </c>
      <c r="B36" s="75">
        <v>20</v>
      </c>
      <c r="C36" s="51"/>
      <c r="D36" s="486" t="s">
        <v>58</v>
      </c>
      <c r="E36" s="487"/>
      <c r="F36" s="486" t="s">
        <v>59</v>
      </c>
      <c r="G36" s="488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60</v>
      </c>
      <c r="B37" s="77">
        <v>10</v>
      </c>
      <c r="C37" s="78" t="s">
        <v>61</v>
      </c>
      <c r="D37" s="79" t="s">
        <v>62</v>
      </c>
      <c r="E37" s="80" t="s">
        <v>63</v>
      </c>
      <c r="F37" s="79" t="s">
        <v>62</v>
      </c>
      <c r="G37" s="81" t="s">
        <v>63</v>
      </c>
      <c r="I37" s="82" t="s">
        <v>64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65</v>
      </c>
      <c r="B38" s="77">
        <v>25</v>
      </c>
      <c r="C38" s="83">
        <v>1</v>
      </c>
      <c r="D38" s="84">
        <v>108887864</v>
      </c>
      <c r="E38" s="85">
        <f>IF(ISBLANK(D38),"-",$D$48/$D$45*D38)</f>
        <v>120115173.39548394</v>
      </c>
      <c r="F38" s="84">
        <v>107427279</v>
      </c>
      <c r="G38" s="86">
        <f>IF(ISBLANK(F38),"-",$D$48/$F$45*F38)</f>
        <v>120577348.12458922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66</v>
      </c>
      <c r="B39" s="77">
        <v>1</v>
      </c>
      <c r="C39" s="88">
        <v>2</v>
      </c>
      <c r="D39" s="89">
        <v>109230554</v>
      </c>
      <c r="E39" s="90">
        <f>IF(ISBLANK(D39),"-",$D$48/$D$45*D39)</f>
        <v>120493197.78919323</v>
      </c>
      <c r="F39" s="89">
        <v>107183771</v>
      </c>
      <c r="G39" s="91">
        <f>IF(ISBLANK(F39),"-",$D$48/$F$45*F39)</f>
        <v>120304032.54627021</v>
      </c>
      <c r="I39" s="490">
        <f>ABS((F43/D43*D42)-F42)/D42</f>
        <v>3.2138732019548664E-3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67</v>
      </c>
      <c r="B40" s="77">
        <v>1</v>
      </c>
      <c r="C40" s="88">
        <v>3</v>
      </c>
      <c r="D40" s="89">
        <v>108947952</v>
      </c>
      <c r="E40" s="90">
        <f>IF(ISBLANK(D40),"-",$D$48/$D$45*D40)</f>
        <v>120181457.00390323</v>
      </c>
      <c r="F40" s="89">
        <v>107882478</v>
      </c>
      <c r="G40" s="91">
        <f>IF(ISBLANK(F40),"-",$D$48/$F$45*F40)</f>
        <v>121088267.59308814</v>
      </c>
      <c r="I40" s="490"/>
      <c r="L40" s="69"/>
      <c r="M40" s="69"/>
      <c r="N40" s="92"/>
    </row>
    <row r="41" spans="1:14" ht="27" customHeight="1" x14ac:dyDescent="0.4">
      <c r="A41" s="76" t="s">
        <v>68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69</v>
      </c>
      <c r="B42" s="77">
        <v>1</v>
      </c>
      <c r="C42" s="98" t="s">
        <v>70</v>
      </c>
      <c r="D42" s="99">
        <f>AVERAGE(D38:D41)</f>
        <v>109022123.33333333</v>
      </c>
      <c r="E42" s="100">
        <f>AVERAGE(E38:E41)</f>
        <v>120263276.06286013</v>
      </c>
      <c r="F42" s="99">
        <f>AVERAGE(F38:F41)</f>
        <v>107497842.66666667</v>
      </c>
      <c r="G42" s="101">
        <f>AVERAGE(G38:G41)</f>
        <v>120656549.42131585</v>
      </c>
      <c r="H42" s="102"/>
    </row>
    <row r="43" spans="1:14" ht="26.25" customHeight="1" x14ac:dyDescent="0.4">
      <c r="A43" s="76" t="s">
        <v>71</v>
      </c>
      <c r="B43" s="77">
        <v>1</v>
      </c>
      <c r="C43" s="103" t="s">
        <v>72</v>
      </c>
      <c r="D43" s="104">
        <v>26.17</v>
      </c>
      <c r="E43" s="92"/>
      <c r="F43" s="104">
        <v>25.72</v>
      </c>
      <c r="H43" s="102"/>
    </row>
    <row r="44" spans="1:14" ht="26.25" customHeight="1" x14ac:dyDescent="0.4">
      <c r="A44" s="76" t="s">
        <v>73</v>
      </c>
      <c r="B44" s="77">
        <v>1</v>
      </c>
      <c r="C44" s="105" t="s">
        <v>74</v>
      </c>
      <c r="D44" s="106">
        <f>D43*$B$34</f>
        <v>26.17</v>
      </c>
      <c r="E44" s="107"/>
      <c r="F44" s="106">
        <f>F43*$B$34</f>
        <v>25.72</v>
      </c>
      <c r="H44" s="102"/>
    </row>
    <row r="45" spans="1:14" ht="19.5" customHeight="1" x14ac:dyDescent="0.3">
      <c r="A45" s="76" t="s">
        <v>75</v>
      </c>
      <c r="B45" s="108">
        <f>(B44/B43)*(B42/B41)*(B40/B39)*(B38/B37)*B36</f>
        <v>50</v>
      </c>
      <c r="C45" s="105" t="s">
        <v>76</v>
      </c>
      <c r="D45" s="109">
        <f>D44*$B$30/100</f>
        <v>22.663220000000003</v>
      </c>
      <c r="E45" s="110"/>
      <c r="F45" s="109">
        <f>F44*$B$30/100</f>
        <v>22.273519999999998</v>
      </c>
      <c r="H45" s="102"/>
      <c r="J45" s="2">
        <f>25/20*10/25</f>
        <v>0.5</v>
      </c>
    </row>
    <row r="46" spans="1:14" ht="19.5" customHeight="1" x14ac:dyDescent="0.3">
      <c r="A46" s="491" t="s">
        <v>77</v>
      </c>
      <c r="B46" s="492"/>
      <c r="C46" s="105" t="s">
        <v>78</v>
      </c>
      <c r="D46" s="111">
        <f>D45/$B$45</f>
        <v>0.45326440000000007</v>
      </c>
      <c r="E46" s="112"/>
      <c r="F46" s="113">
        <f>F45/$B$45</f>
        <v>0.44547039999999993</v>
      </c>
      <c r="H46" s="102"/>
    </row>
    <row r="47" spans="1:14" ht="27" customHeight="1" x14ac:dyDescent="0.4">
      <c r="A47" s="493"/>
      <c r="B47" s="494"/>
      <c r="C47" s="114" t="s">
        <v>79</v>
      </c>
      <c r="D47" s="115">
        <v>0.5</v>
      </c>
      <c r="E47" s="116"/>
      <c r="F47" s="112"/>
      <c r="H47" s="102"/>
    </row>
    <row r="48" spans="1:14" ht="18.75" x14ac:dyDescent="0.3">
      <c r="C48" s="117" t="s">
        <v>80</v>
      </c>
      <c r="D48" s="109">
        <f>D47*$B$45</f>
        <v>25</v>
      </c>
      <c r="F48" s="118"/>
      <c r="H48" s="102"/>
    </row>
    <row r="49" spans="1:12" ht="19.5" customHeight="1" x14ac:dyDescent="0.3">
      <c r="C49" s="119" t="s">
        <v>81</v>
      </c>
      <c r="D49" s="120">
        <f>D48/B34</f>
        <v>25</v>
      </c>
      <c r="F49" s="118"/>
      <c r="H49" s="102"/>
    </row>
    <row r="50" spans="1:12" ht="18.75" x14ac:dyDescent="0.3">
      <c r="C50" s="74" t="s">
        <v>82</v>
      </c>
      <c r="D50" s="121">
        <f>AVERAGE(E38:E41,G38:G41)</f>
        <v>120459912.742088</v>
      </c>
      <c r="F50" s="122"/>
      <c r="H50" s="102"/>
    </row>
    <row r="51" spans="1:12" ht="18.75" x14ac:dyDescent="0.3">
      <c r="C51" s="76" t="s">
        <v>83</v>
      </c>
      <c r="D51" s="123">
        <f>STDEV(E38:E41,G38:G41)/D50</f>
        <v>2.9477054242754773E-3</v>
      </c>
      <c r="F51" s="122"/>
      <c r="H51" s="102"/>
    </row>
    <row r="52" spans="1:12" ht="19.5" customHeight="1" x14ac:dyDescent="0.3">
      <c r="C52" s="124" t="s">
        <v>19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84</v>
      </c>
    </row>
    <row r="55" spans="1:12" ht="18.75" x14ac:dyDescent="0.3">
      <c r="A55" s="51" t="s">
        <v>85</v>
      </c>
      <c r="B55" s="128" t="str">
        <f>B21</f>
        <v>Each film coate tablet contains: Amoxicillin Trihydrate USP Eq. to Amoxicillin 500mg
Diluted Potassium Clavulanate BP Eq. to Clavulanic acid 125mg</v>
      </c>
    </row>
    <row r="56" spans="1:12" ht="26.25" customHeight="1" x14ac:dyDescent="0.4">
      <c r="A56" s="129" t="s">
        <v>86</v>
      </c>
      <c r="B56" s="130">
        <v>500</v>
      </c>
      <c r="C56" s="51" t="str">
        <f>B20</f>
        <v>Amoxicillin &amp; Clavulanic Acid</v>
      </c>
      <c r="H56" s="131"/>
    </row>
    <row r="57" spans="1:12" ht="18.75" x14ac:dyDescent="0.3">
      <c r="A57" s="128" t="s">
        <v>87</v>
      </c>
      <c r="B57" s="220">
        <f>Uniformity!C46</f>
        <v>1094.9384999999997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88</v>
      </c>
      <c r="B59" s="75">
        <v>100</v>
      </c>
      <c r="C59" s="51"/>
      <c r="D59" s="132" t="s">
        <v>89</v>
      </c>
      <c r="E59" s="133" t="s">
        <v>61</v>
      </c>
      <c r="F59" s="133" t="s">
        <v>62</v>
      </c>
      <c r="G59" s="133" t="s">
        <v>90</v>
      </c>
      <c r="H59" s="78" t="s">
        <v>91</v>
      </c>
      <c r="L59" s="64"/>
    </row>
    <row r="60" spans="1:12" s="3" customFormat="1" ht="26.25" customHeight="1" x14ac:dyDescent="0.4">
      <c r="A60" s="76" t="s">
        <v>92</v>
      </c>
      <c r="B60" s="77">
        <v>1</v>
      </c>
      <c r="C60" s="495" t="s">
        <v>93</v>
      </c>
      <c r="D60" s="498">
        <v>160.16999999999999</v>
      </c>
      <c r="E60" s="134">
        <v>1</v>
      </c>
      <c r="F60" s="135">
        <v>189627410</v>
      </c>
      <c r="G60" s="221">
        <f>IF(ISBLANK(F60),"-",(F60/$D$50*$D$47*$B$68)*($B$57/$D$60))</f>
        <v>538.06795047122819</v>
      </c>
      <c r="H60" s="136">
        <f t="shared" ref="H60:H67" si="0">IF(ISBLANK(F60),"-",G60/$B$56)</f>
        <v>1.0761359009424565</v>
      </c>
      <c r="L60" s="64"/>
    </row>
    <row r="61" spans="1:12" s="3" customFormat="1" ht="26.25" customHeight="1" x14ac:dyDescent="0.4">
      <c r="A61" s="76" t="s">
        <v>94</v>
      </c>
      <c r="B61" s="77">
        <v>1</v>
      </c>
      <c r="C61" s="496"/>
      <c r="D61" s="499"/>
      <c r="E61" s="137">
        <v>2</v>
      </c>
      <c r="F61" s="89">
        <v>189312425</v>
      </c>
      <c r="G61" s="222">
        <f>IF(ISBLANK(F61),"-",(F61/$D$50*$D$47*$B$68)*($B$57/$D$60))</f>
        <v>537.17418024371113</v>
      </c>
      <c r="H61" s="138">
        <f t="shared" si="0"/>
        <v>1.0743483604874222</v>
      </c>
      <c r="L61" s="64"/>
    </row>
    <row r="62" spans="1:12" s="3" customFormat="1" ht="26.25" customHeight="1" x14ac:dyDescent="0.4">
      <c r="A62" s="76" t="s">
        <v>95</v>
      </c>
      <c r="B62" s="77">
        <v>1</v>
      </c>
      <c r="C62" s="496"/>
      <c r="D62" s="499"/>
      <c r="E62" s="137">
        <v>3</v>
      </c>
      <c r="F62" s="139">
        <v>187747828</v>
      </c>
      <c r="G62" s="222">
        <f>IF(ISBLANK(F62),"-",(F62/$D$50*$D$47*$B$68)*($B$57/$D$60))</f>
        <v>532.73463481563499</v>
      </c>
      <c r="H62" s="138">
        <f t="shared" si="0"/>
        <v>1.06546926963127</v>
      </c>
      <c r="L62" s="64"/>
    </row>
    <row r="63" spans="1:12" ht="27" customHeight="1" x14ac:dyDescent="0.4">
      <c r="A63" s="76" t="s">
        <v>96</v>
      </c>
      <c r="B63" s="77">
        <v>1</v>
      </c>
      <c r="C63" s="497"/>
      <c r="D63" s="500"/>
      <c r="E63" s="140">
        <v>4</v>
      </c>
      <c r="F63" s="141"/>
      <c r="G63" s="222" t="str">
        <f>IF(ISBLANK(F63),"-",(F63/$D$50*$D$47*$B$68)*($B$57/$D$60))</f>
        <v>-</v>
      </c>
      <c r="H63" s="138" t="str">
        <f t="shared" si="0"/>
        <v>-</v>
      </c>
    </row>
    <row r="64" spans="1:12" ht="26.25" customHeight="1" x14ac:dyDescent="0.4">
      <c r="A64" s="76" t="s">
        <v>97</v>
      </c>
      <c r="B64" s="77">
        <v>1</v>
      </c>
      <c r="C64" s="495" t="s">
        <v>98</v>
      </c>
      <c r="D64" s="498">
        <v>138</v>
      </c>
      <c r="E64" s="134">
        <v>1</v>
      </c>
      <c r="F64" s="135">
        <v>166911731</v>
      </c>
      <c r="G64" s="223">
        <f>IF(ISBLANK(F64),"-",(F64/$D$50*$D$47*$B$68)*($B$57/$D$64))</f>
        <v>549.69901837210955</v>
      </c>
      <c r="H64" s="142">
        <f t="shared" si="0"/>
        <v>1.0993980367442191</v>
      </c>
    </row>
    <row r="65" spans="1:8" ht="26.25" customHeight="1" x14ac:dyDescent="0.4">
      <c r="A65" s="76" t="s">
        <v>99</v>
      </c>
      <c r="B65" s="77">
        <v>1</v>
      </c>
      <c r="C65" s="496"/>
      <c r="D65" s="499"/>
      <c r="E65" s="137">
        <v>2</v>
      </c>
      <c r="F65" s="89">
        <v>166316791</v>
      </c>
      <c r="G65" s="224">
        <f>IF(ISBLANK(F65),"-",(F65/$D$50*$D$47*$B$68)*($B$57/$D$64))</f>
        <v>547.73967176398946</v>
      </c>
      <c r="H65" s="143">
        <f t="shared" si="0"/>
        <v>1.0954793435279788</v>
      </c>
    </row>
    <row r="66" spans="1:8" ht="26.25" customHeight="1" x14ac:dyDescent="0.4">
      <c r="A66" s="76" t="s">
        <v>100</v>
      </c>
      <c r="B66" s="77">
        <v>1</v>
      </c>
      <c r="C66" s="496"/>
      <c r="D66" s="499"/>
      <c r="E66" s="137">
        <v>3</v>
      </c>
      <c r="F66" s="89">
        <v>165037566</v>
      </c>
      <c r="G66" s="224">
        <f>IF(ISBLANK(F66),"-",(F66/$D$50*$D$47*$B$68)*($B$57/$D$64))</f>
        <v>543.5267340479636</v>
      </c>
      <c r="H66" s="143">
        <f t="shared" si="0"/>
        <v>1.0870534680959272</v>
      </c>
    </row>
    <row r="67" spans="1:8" ht="27" customHeight="1" thickBot="1" x14ac:dyDescent="0.45">
      <c r="A67" s="76" t="s">
        <v>101</v>
      </c>
      <c r="B67" s="77">
        <v>1</v>
      </c>
      <c r="C67" s="497"/>
      <c r="D67" s="500"/>
      <c r="E67" s="140">
        <v>4</v>
      </c>
      <c r="F67" s="141"/>
      <c r="G67" s="225" t="str">
        <f>IF(ISBLANK(F67),"-",(F67/$D$50*$D$47*$B$68)*($B$57/$D$64))</f>
        <v>-</v>
      </c>
      <c r="H67" s="144" t="str">
        <f t="shared" si="0"/>
        <v>-</v>
      </c>
    </row>
    <row r="68" spans="1:8" ht="26.25" customHeight="1" x14ac:dyDescent="0.4">
      <c r="A68" s="76" t="s">
        <v>102</v>
      </c>
      <c r="B68" s="145">
        <f>(B67/B66)*(B65/B64)*(B63/B62)*(B61/B60)*B59</f>
        <v>100</v>
      </c>
      <c r="C68" s="495" t="s">
        <v>103</v>
      </c>
      <c r="D68" s="498">
        <v>150.83000000000001</v>
      </c>
      <c r="E68" s="134">
        <v>1</v>
      </c>
      <c r="F68" s="135">
        <v>170563646</v>
      </c>
      <c r="G68" s="405">
        <f>IF(ISBLANK(F68),"-",(F68/$D$50*$D$47*$B$68)*($B$57/$D$64))</f>
        <v>561.72605852471816</v>
      </c>
      <c r="H68" s="324">
        <f t="shared" ref="H68:H70" si="1">IF(ISBLANK(F68),"-",G68/$B$56)</f>
        <v>1.1234521170494363</v>
      </c>
    </row>
    <row r="69" spans="1:8" ht="27" customHeight="1" thickBot="1" x14ac:dyDescent="0.45">
      <c r="A69" s="124" t="s">
        <v>104</v>
      </c>
      <c r="B69" s="146">
        <f>(D47*B68)/B56*B57</f>
        <v>109.49384999999998</v>
      </c>
      <c r="C69" s="496"/>
      <c r="D69" s="499"/>
      <c r="E69" s="137">
        <v>2</v>
      </c>
      <c r="F69" s="89">
        <v>170843858</v>
      </c>
      <c r="G69" s="512">
        <f>IF(ISBLANK(F69),"-",(F69/$D$50*$D$47*$B$68)*($B$57/$D$64))</f>
        <v>562.64889516665596</v>
      </c>
      <c r="H69" s="513">
        <f t="shared" si="1"/>
        <v>1.1252977903333119</v>
      </c>
    </row>
    <row r="70" spans="1:8" ht="26.25" customHeight="1" x14ac:dyDescent="0.4">
      <c r="A70" s="508" t="s">
        <v>77</v>
      </c>
      <c r="B70" s="509"/>
      <c r="C70" s="496"/>
      <c r="D70" s="499"/>
      <c r="E70" s="137">
        <v>3</v>
      </c>
      <c r="F70" s="89">
        <v>170915751</v>
      </c>
      <c r="G70" s="512">
        <f>IF(ISBLANK(F70),"-",(F70/$D$50*$D$47*$B$68)*($B$57/$D$64))</f>
        <v>562.88566409410669</v>
      </c>
      <c r="H70" s="513">
        <f t="shared" si="1"/>
        <v>1.1257713281882133</v>
      </c>
    </row>
    <row r="71" spans="1:8" ht="27" customHeight="1" thickBot="1" x14ac:dyDescent="0.45">
      <c r="A71" s="510"/>
      <c r="B71" s="511"/>
      <c r="C71" s="507"/>
      <c r="D71" s="500"/>
      <c r="E71" s="140">
        <v>4</v>
      </c>
      <c r="F71" s="141"/>
      <c r="G71" s="225"/>
      <c r="H71" s="147"/>
    </row>
    <row r="72" spans="1:8" ht="26.25" customHeight="1" x14ac:dyDescent="0.4">
      <c r="A72" s="148"/>
      <c r="B72" s="148"/>
      <c r="C72" s="148"/>
      <c r="D72" s="148"/>
      <c r="E72" s="148"/>
      <c r="F72" s="150" t="s">
        <v>70</v>
      </c>
      <c r="G72" s="229">
        <f>AVERAGE(G60:G68)</f>
        <v>544.38117831990792</v>
      </c>
      <c r="H72" s="151">
        <f>AVERAGE(H60:H68)</f>
        <v>1.0887623566398157</v>
      </c>
    </row>
    <row r="73" spans="1:8" ht="26.25" customHeight="1" x14ac:dyDescent="0.4">
      <c r="C73" s="148"/>
      <c r="D73" s="148"/>
      <c r="E73" s="148"/>
      <c r="F73" s="152" t="s">
        <v>83</v>
      </c>
      <c r="G73" s="408">
        <f>STDEV(G60:G68)/G72</f>
        <v>1.7881937643533456E-2</v>
      </c>
      <c r="H73" s="408">
        <f>STDEV(H60:H68)/H72</f>
        <v>1.7881937643533435E-2</v>
      </c>
    </row>
    <row r="74" spans="1:8" ht="27" customHeight="1" x14ac:dyDescent="0.4">
      <c r="A74" s="148"/>
      <c r="B74" s="148"/>
      <c r="C74" s="149"/>
      <c r="D74" s="149"/>
      <c r="E74" s="153"/>
      <c r="F74" s="154" t="s">
        <v>19</v>
      </c>
      <c r="G74" s="155">
        <f>COUNT(G60:G68)</f>
        <v>7</v>
      </c>
      <c r="H74" s="155">
        <f>COUNT(H60:H68)</f>
        <v>7</v>
      </c>
    </row>
    <row r="76" spans="1:8" ht="26.25" customHeight="1" x14ac:dyDescent="0.4">
      <c r="A76" s="60" t="s">
        <v>105</v>
      </c>
      <c r="B76" s="156" t="s">
        <v>106</v>
      </c>
      <c r="C76" s="503" t="str">
        <f>B20</f>
        <v>Amoxicillin &amp; Clavulanic Acid</v>
      </c>
      <c r="D76" s="503"/>
      <c r="E76" s="157" t="s">
        <v>107</v>
      </c>
      <c r="F76" s="157"/>
      <c r="G76" s="158">
        <f>H72</f>
        <v>1.0887623566398157</v>
      </c>
      <c r="H76" s="159"/>
    </row>
    <row r="77" spans="1:8" ht="18.75" x14ac:dyDescent="0.3">
      <c r="A77" s="59" t="s">
        <v>108</v>
      </c>
      <c r="B77" s="59" t="s">
        <v>109</v>
      </c>
    </row>
    <row r="78" spans="1:8" ht="18.75" x14ac:dyDescent="0.3">
      <c r="A78" s="59"/>
      <c r="B78" s="59"/>
    </row>
    <row r="79" spans="1:8" ht="26.25" customHeight="1" x14ac:dyDescent="0.4">
      <c r="A79" s="60" t="s">
        <v>3</v>
      </c>
      <c r="B79" s="489" t="str">
        <f>B26</f>
        <v>Amoxicillin</v>
      </c>
      <c r="C79" s="489"/>
    </row>
    <row r="80" spans="1:8" ht="26.25" customHeight="1" x14ac:dyDescent="0.4">
      <c r="A80" s="61" t="s">
        <v>47</v>
      </c>
      <c r="B80" s="489">
        <f>B27</f>
        <v>0</v>
      </c>
      <c r="C80" s="489"/>
    </row>
    <row r="81" spans="1:12" ht="27" customHeight="1" x14ac:dyDescent="0.4">
      <c r="A81" s="61" t="s">
        <v>5</v>
      </c>
      <c r="B81" s="160">
        <f>B28</f>
        <v>86.6</v>
      </c>
    </row>
    <row r="82" spans="1:12" s="3" customFormat="1" ht="27" customHeight="1" x14ac:dyDescent="0.4">
      <c r="A82" s="61" t="s">
        <v>48</v>
      </c>
      <c r="B82" s="63">
        <v>0</v>
      </c>
      <c r="C82" s="480" t="s">
        <v>49</v>
      </c>
      <c r="D82" s="481"/>
      <c r="E82" s="481"/>
      <c r="F82" s="481"/>
      <c r="G82" s="482"/>
      <c r="I82" s="64"/>
      <c r="J82" s="64"/>
      <c r="K82" s="64"/>
      <c r="L82" s="64"/>
    </row>
    <row r="83" spans="1:12" s="3" customFormat="1" ht="19.5" customHeight="1" x14ac:dyDescent="0.3">
      <c r="A83" s="61" t="s">
        <v>50</v>
      </c>
      <c r="B83" s="65">
        <f>B81-B82</f>
        <v>86.6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51</v>
      </c>
      <c r="B84" s="68">
        <v>1</v>
      </c>
      <c r="C84" s="483" t="s">
        <v>110</v>
      </c>
      <c r="D84" s="484"/>
      <c r="E84" s="484"/>
      <c r="F84" s="484"/>
      <c r="G84" s="484"/>
      <c r="H84" s="485"/>
      <c r="I84" s="64"/>
      <c r="J84" s="64"/>
      <c r="K84" s="64"/>
      <c r="L84" s="64"/>
    </row>
    <row r="85" spans="1:12" s="3" customFormat="1" ht="27" customHeight="1" x14ac:dyDescent="0.4">
      <c r="A85" s="61" t="s">
        <v>53</v>
      </c>
      <c r="B85" s="68">
        <v>1</v>
      </c>
      <c r="C85" s="483" t="s">
        <v>111</v>
      </c>
      <c r="D85" s="484"/>
      <c r="E85" s="484"/>
      <c r="F85" s="484"/>
      <c r="G85" s="484"/>
      <c r="H85" s="485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55</v>
      </c>
      <c r="B87" s="73">
        <f>B84/B85</f>
        <v>1</v>
      </c>
      <c r="C87" s="51" t="s">
        <v>56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57</v>
      </c>
      <c r="B89" s="75">
        <v>20</v>
      </c>
      <c r="D89" s="161" t="s">
        <v>58</v>
      </c>
      <c r="E89" s="162"/>
      <c r="F89" s="486" t="s">
        <v>59</v>
      </c>
      <c r="G89" s="488"/>
    </row>
    <row r="90" spans="1:12" ht="27" customHeight="1" x14ac:dyDescent="0.4">
      <c r="A90" s="76" t="s">
        <v>60</v>
      </c>
      <c r="B90" s="77">
        <v>10</v>
      </c>
      <c r="C90" s="163" t="s">
        <v>61</v>
      </c>
      <c r="D90" s="79" t="s">
        <v>62</v>
      </c>
      <c r="E90" s="80" t="s">
        <v>63</v>
      </c>
      <c r="F90" s="79" t="s">
        <v>62</v>
      </c>
      <c r="G90" s="164" t="s">
        <v>63</v>
      </c>
      <c r="I90" s="82" t="s">
        <v>64</v>
      </c>
    </row>
    <row r="91" spans="1:12" ht="26.25" customHeight="1" x14ac:dyDescent="0.4">
      <c r="A91" s="76" t="s">
        <v>65</v>
      </c>
      <c r="B91" s="77">
        <v>25</v>
      </c>
      <c r="C91" s="165">
        <v>1</v>
      </c>
      <c r="D91" s="84">
        <v>109871362</v>
      </c>
      <c r="E91" s="85">
        <f>IF(ISBLANK(D91),"-",$D$101/$D$98*D91)</f>
        <v>147210900.5084776</v>
      </c>
      <c r="F91" s="84">
        <v>123993104</v>
      </c>
      <c r="G91" s="86">
        <f>IF(ISBLANK(F91),"-",$D$101/$F$98*F91)</f>
        <v>147851201.90633729</v>
      </c>
      <c r="I91" s="87"/>
    </row>
    <row r="92" spans="1:12" ht="26.25" customHeight="1" x14ac:dyDescent="0.4">
      <c r="A92" s="76" t="s">
        <v>66</v>
      </c>
      <c r="B92" s="77">
        <v>1</v>
      </c>
      <c r="C92" s="149">
        <v>2</v>
      </c>
      <c r="D92" s="89">
        <v>107866182</v>
      </c>
      <c r="E92" s="90">
        <f>IF(ISBLANK(D92),"-",$D$101/$D$98*D92)</f>
        <v>144524264.53611577</v>
      </c>
      <c r="F92" s="89">
        <v>121196562</v>
      </c>
      <c r="G92" s="91">
        <f>IF(ISBLANK(F92),"-",$D$101/$F$98*F92)</f>
        <v>144516564.07130453</v>
      </c>
      <c r="I92" s="490">
        <f>ABS((F96/D96*D95)-F95)/D95</f>
        <v>3.3826764254374754E-4</v>
      </c>
    </row>
    <row r="93" spans="1:12" ht="26.25" customHeight="1" x14ac:dyDescent="0.4">
      <c r="A93" s="76" t="s">
        <v>67</v>
      </c>
      <c r="B93" s="77">
        <v>1</v>
      </c>
      <c r="C93" s="149">
        <v>3</v>
      </c>
      <c r="D93" s="89">
        <v>106588385</v>
      </c>
      <c r="E93" s="90">
        <f>IF(ISBLANK(D93),"-",$D$101/$D$98*D93)</f>
        <v>142812211.06182614</v>
      </c>
      <c r="F93" s="89">
        <v>119346421</v>
      </c>
      <c r="G93" s="91">
        <f>IF(ISBLANK(F93),"-",$D$101/$F$98*F93)</f>
        <v>142310428.7160174</v>
      </c>
      <c r="I93" s="490"/>
    </row>
    <row r="94" spans="1:12" ht="27" customHeight="1" x14ac:dyDescent="0.4">
      <c r="A94" s="76" t="s">
        <v>68</v>
      </c>
      <c r="B94" s="77">
        <v>1</v>
      </c>
      <c r="C94" s="166">
        <v>4</v>
      </c>
      <c r="D94" s="94"/>
      <c r="E94" s="95" t="str">
        <f>IF(ISBLANK(D94),"-",$D$101/$D$98*D94)</f>
        <v>-</v>
      </c>
      <c r="F94" s="167"/>
      <c r="G94" s="96"/>
      <c r="I94" s="97"/>
    </row>
    <row r="95" spans="1:12" ht="27" customHeight="1" x14ac:dyDescent="0.4">
      <c r="A95" s="76" t="s">
        <v>69</v>
      </c>
      <c r="B95" s="77">
        <v>1</v>
      </c>
      <c r="C95" s="168" t="s">
        <v>70</v>
      </c>
      <c r="D95" s="169">
        <f>AVERAGE(D91:D94)</f>
        <v>108108643</v>
      </c>
      <c r="E95" s="100">
        <f>AVERAGE(E91:E94)</f>
        <v>144849125.36880648</v>
      </c>
      <c r="F95" s="170">
        <f>AVERAGE(F91:F94)</f>
        <v>121512029</v>
      </c>
      <c r="G95" s="171">
        <f>AVERAGE(G91:G94)</f>
        <v>144892731.56455305</v>
      </c>
    </row>
    <row r="96" spans="1:12" ht="26.25" customHeight="1" x14ac:dyDescent="0.4">
      <c r="A96" s="76" t="s">
        <v>71</v>
      </c>
      <c r="B96" s="62">
        <v>1</v>
      </c>
      <c r="C96" s="172" t="s">
        <v>112</v>
      </c>
      <c r="D96" s="173">
        <v>23.94</v>
      </c>
      <c r="E96" s="92"/>
      <c r="F96" s="104">
        <v>26.9</v>
      </c>
    </row>
    <row r="97" spans="1:10" ht="26.25" customHeight="1" x14ac:dyDescent="0.4">
      <c r="A97" s="76" t="s">
        <v>73</v>
      </c>
      <c r="B97" s="62">
        <v>1</v>
      </c>
      <c r="C97" s="174" t="s">
        <v>113</v>
      </c>
      <c r="D97" s="175">
        <f>D96*$B$87</f>
        <v>23.94</v>
      </c>
      <c r="E97" s="107"/>
      <c r="F97" s="106">
        <f>F96*$B$87</f>
        <v>26.9</v>
      </c>
    </row>
    <row r="98" spans="1:10" ht="19.5" customHeight="1" x14ac:dyDescent="0.3">
      <c r="A98" s="76" t="s">
        <v>75</v>
      </c>
      <c r="B98" s="176">
        <f>(B97/B96)*(B95/B94)*(B93/B92)*(B91/B90)*B89</f>
        <v>50</v>
      </c>
      <c r="C98" s="174" t="s">
        <v>114</v>
      </c>
      <c r="D98" s="177">
        <f>D97*$B$83/100</f>
        <v>20.732040000000001</v>
      </c>
      <c r="E98" s="110"/>
      <c r="F98" s="109">
        <f>F97*$B$83/100</f>
        <v>23.295399999999994</v>
      </c>
    </row>
    <row r="99" spans="1:10" ht="19.5" customHeight="1" x14ac:dyDescent="0.3">
      <c r="A99" s="491" t="s">
        <v>77</v>
      </c>
      <c r="B99" s="505"/>
      <c r="C99" s="174" t="s">
        <v>115</v>
      </c>
      <c r="D99" s="178">
        <f>D98/$B$98</f>
        <v>0.41464080000000003</v>
      </c>
      <c r="E99" s="110"/>
      <c r="F99" s="113">
        <f>F98/$B$98</f>
        <v>0.46590799999999988</v>
      </c>
      <c r="G99" s="179"/>
      <c r="H99" s="102"/>
    </row>
    <row r="100" spans="1:10" ht="19.5" customHeight="1" x14ac:dyDescent="0.3">
      <c r="A100" s="493"/>
      <c r="B100" s="506"/>
      <c r="C100" s="174" t="s">
        <v>79</v>
      </c>
      <c r="D100" s="180">
        <f>$B$56/$B$116</f>
        <v>0.55555555555555558</v>
      </c>
      <c r="F100" s="118"/>
      <c r="G100" s="181"/>
      <c r="H100" s="102"/>
    </row>
    <row r="101" spans="1:10" ht="18.75" x14ac:dyDescent="0.3">
      <c r="C101" s="174" t="s">
        <v>80</v>
      </c>
      <c r="D101" s="175">
        <f>D100*$B$98</f>
        <v>27.777777777777779</v>
      </c>
      <c r="F101" s="118"/>
      <c r="G101" s="179"/>
      <c r="H101" s="102"/>
    </row>
    <row r="102" spans="1:10" ht="19.5" customHeight="1" x14ac:dyDescent="0.3">
      <c r="C102" s="182" t="s">
        <v>81</v>
      </c>
      <c r="D102" s="183">
        <f>D101/B34</f>
        <v>27.777777777777779</v>
      </c>
      <c r="F102" s="122"/>
      <c r="G102" s="179"/>
      <c r="H102" s="102"/>
      <c r="J102" s="184"/>
    </row>
    <row r="103" spans="1:10" ht="18.75" x14ac:dyDescent="0.3">
      <c r="C103" s="185" t="s">
        <v>116</v>
      </c>
      <c r="D103" s="186">
        <f>AVERAGE(E91:E94,G91:G94)</f>
        <v>144870928.46667978</v>
      </c>
      <c r="F103" s="122"/>
      <c r="G103" s="187"/>
      <c r="H103" s="102"/>
      <c r="J103" s="188"/>
    </row>
    <row r="104" spans="1:10" ht="18.75" x14ac:dyDescent="0.3">
      <c r="C104" s="152" t="s">
        <v>83</v>
      </c>
      <c r="D104" s="189">
        <f>STDEV(E91:E94,G91:G94)/D103</f>
        <v>1.5557190323724612E-2</v>
      </c>
      <c r="F104" s="122"/>
      <c r="G104" s="179"/>
      <c r="H104" s="102"/>
      <c r="J104" s="188"/>
    </row>
    <row r="105" spans="1:10" ht="19.5" customHeight="1" x14ac:dyDescent="0.3">
      <c r="C105" s="154" t="s">
        <v>19</v>
      </c>
      <c r="D105" s="190">
        <f>COUNT(E91:E94,G91:G94)</f>
        <v>6</v>
      </c>
      <c r="F105" s="122"/>
      <c r="G105" s="179"/>
      <c r="H105" s="102"/>
      <c r="J105" s="188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6.25" customHeight="1" x14ac:dyDescent="0.4">
      <c r="A107" s="74" t="s">
        <v>117</v>
      </c>
      <c r="B107" s="75">
        <v>900</v>
      </c>
      <c r="C107" s="191" t="s">
        <v>118</v>
      </c>
      <c r="D107" s="192" t="s">
        <v>62</v>
      </c>
      <c r="E107" s="193" t="s">
        <v>119</v>
      </c>
      <c r="F107" s="194" t="s">
        <v>120</v>
      </c>
    </row>
    <row r="108" spans="1:10" ht="26.25" customHeight="1" x14ac:dyDescent="0.4">
      <c r="A108" s="76" t="s">
        <v>121</v>
      </c>
      <c r="B108" s="77">
        <v>1</v>
      </c>
      <c r="C108" s="195">
        <v>1</v>
      </c>
      <c r="D108" s="196">
        <v>141322264</v>
      </c>
      <c r="E108" s="226">
        <f t="shared" ref="E108:E113" si="2">IF(ISBLANK(D108),"-",D108/$D$103*$D$100*$B$116)</f>
        <v>487.75232372623344</v>
      </c>
      <c r="F108" s="197">
        <f t="shared" ref="F108:F113" si="3">IF(ISBLANK(D108), "-", E108/$B$56)</f>
        <v>0.9755046474524669</v>
      </c>
    </row>
    <row r="109" spans="1:10" ht="26.25" customHeight="1" x14ac:dyDescent="0.4">
      <c r="A109" s="76" t="s">
        <v>94</v>
      </c>
      <c r="B109" s="77">
        <v>1</v>
      </c>
      <c r="C109" s="195">
        <v>2</v>
      </c>
      <c r="D109" s="196">
        <v>138663556</v>
      </c>
      <c r="E109" s="227">
        <f t="shared" si="2"/>
        <v>478.57619699004181</v>
      </c>
      <c r="F109" s="198">
        <f t="shared" si="3"/>
        <v>0.95715239398008367</v>
      </c>
    </row>
    <row r="110" spans="1:10" ht="26.25" customHeight="1" x14ac:dyDescent="0.4">
      <c r="A110" s="76" t="s">
        <v>95</v>
      </c>
      <c r="B110" s="77">
        <v>1</v>
      </c>
      <c r="C110" s="195">
        <v>3</v>
      </c>
      <c r="D110" s="196">
        <v>146898695</v>
      </c>
      <c r="E110" s="227">
        <f t="shared" si="2"/>
        <v>506.99852812010727</v>
      </c>
      <c r="F110" s="198">
        <f t="shared" si="3"/>
        <v>1.0139970562402145</v>
      </c>
    </row>
    <row r="111" spans="1:10" ht="26.25" customHeight="1" x14ac:dyDescent="0.4">
      <c r="A111" s="76" t="s">
        <v>96</v>
      </c>
      <c r="B111" s="77">
        <v>1</v>
      </c>
      <c r="C111" s="195">
        <v>4</v>
      </c>
      <c r="D111" s="196"/>
      <c r="E111" s="227"/>
      <c r="F111" s="198"/>
    </row>
    <row r="112" spans="1:10" ht="26.25" customHeight="1" x14ac:dyDescent="0.4">
      <c r="A112" s="76" t="s">
        <v>97</v>
      </c>
      <c r="B112" s="77">
        <v>1</v>
      </c>
      <c r="C112" s="195">
        <v>5</v>
      </c>
      <c r="D112" s="196">
        <v>146395973</v>
      </c>
      <c r="E112" s="227">
        <f t="shared" si="2"/>
        <v>505.26345951344894</v>
      </c>
      <c r="F112" s="198">
        <f t="shared" si="3"/>
        <v>1.010526919026898</v>
      </c>
    </row>
    <row r="113" spans="1:10" ht="26.25" customHeight="1" x14ac:dyDescent="0.4">
      <c r="A113" s="76" t="s">
        <v>99</v>
      </c>
      <c r="B113" s="77">
        <v>1</v>
      </c>
      <c r="C113" s="199">
        <v>6</v>
      </c>
      <c r="D113" s="200">
        <v>136595421</v>
      </c>
      <c r="E113" s="228">
        <f t="shared" si="2"/>
        <v>471.43834324019281</v>
      </c>
      <c r="F113" s="201">
        <f t="shared" si="3"/>
        <v>0.94287668648038558</v>
      </c>
    </row>
    <row r="114" spans="1:10" ht="26.25" customHeight="1" x14ac:dyDescent="0.4">
      <c r="A114" s="76" t="s">
        <v>100</v>
      </c>
      <c r="B114" s="77">
        <v>1</v>
      </c>
      <c r="C114" s="195"/>
      <c r="D114" s="149"/>
      <c r="E114" s="50"/>
      <c r="F114" s="202"/>
    </row>
    <row r="115" spans="1:10" ht="26.25" customHeight="1" x14ac:dyDescent="0.4">
      <c r="A115" s="76" t="s">
        <v>101</v>
      </c>
      <c r="B115" s="77">
        <v>1</v>
      </c>
      <c r="C115" s="195"/>
      <c r="D115" s="203" t="s">
        <v>70</v>
      </c>
      <c r="E115" s="230">
        <f>AVERAGE(E108:E113)</f>
        <v>490.00577031800486</v>
      </c>
      <c r="F115" s="204">
        <f>AVERAGE(F108:F113)</f>
        <v>0.9800115406360097</v>
      </c>
    </row>
    <row r="116" spans="1:10" ht="27" customHeight="1" x14ac:dyDescent="0.4">
      <c r="A116" s="76" t="s">
        <v>102</v>
      </c>
      <c r="B116" s="108">
        <f>(B115/B114)*(B113/B112)*(B111/B110)*(B109/B108)*B107</f>
        <v>900</v>
      </c>
      <c r="C116" s="205"/>
      <c r="D116" s="168" t="s">
        <v>83</v>
      </c>
      <c r="E116" s="206">
        <f>STDEV(E108:E113)/E115</f>
        <v>3.2300227237379311E-2</v>
      </c>
      <c r="F116" s="206">
        <f>STDEV(F108:F113)/F115</f>
        <v>3.2300227237379332E-2</v>
      </c>
      <c r="I116" s="50"/>
    </row>
    <row r="117" spans="1:10" ht="27" customHeight="1" x14ac:dyDescent="0.4">
      <c r="A117" s="491" t="s">
        <v>77</v>
      </c>
      <c r="B117" s="492"/>
      <c r="C117" s="207"/>
      <c r="D117" s="208" t="s">
        <v>19</v>
      </c>
      <c r="E117" s="209">
        <f>COUNT(E108:E113)</f>
        <v>5</v>
      </c>
      <c r="F117" s="209">
        <f>COUNT(F108:F113)</f>
        <v>5</v>
      </c>
      <c r="I117" s="50"/>
      <c r="J117" s="188"/>
    </row>
    <row r="118" spans="1:10" ht="19.5" customHeight="1" x14ac:dyDescent="0.3">
      <c r="A118" s="493"/>
      <c r="B118" s="494"/>
      <c r="C118" s="50"/>
      <c r="D118" s="50"/>
      <c r="E118" s="50"/>
      <c r="F118" s="149"/>
      <c r="G118" s="50"/>
      <c r="H118" s="50"/>
      <c r="I118" s="50"/>
    </row>
    <row r="119" spans="1:10" ht="18.75" x14ac:dyDescent="0.3">
      <c r="A119" s="218"/>
      <c r="B119" s="72"/>
      <c r="C119" s="50"/>
      <c r="D119" s="50"/>
      <c r="E119" s="50"/>
      <c r="F119" s="149"/>
      <c r="G119" s="50"/>
      <c r="H119" s="50"/>
      <c r="I119" s="50"/>
    </row>
    <row r="120" spans="1:10" ht="26.25" customHeight="1" x14ac:dyDescent="0.4">
      <c r="A120" s="60" t="s">
        <v>105</v>
      </c>
      <c r="B120" s="156" t="s">
        <v>122</v>
      </c>
      <c r="C120" s="503" t="str">
        <f>B20</f>
        <v>Amoxicillin &amp; Clavulanic Acid</v>
      </c>
      <c r="D120" s="503"/>
      <c r="E120" s="157" t="s">
        <v>123</v>
      </c>
      <c r="F120" s="157"/>
      <c r="G120" s="158">
        <f>F115</f>
        <v>0.9800115406360097</v>
      </c>
      <c r="H120" s="50"/>
      <c r="I120" s="50"/>
    </row>
    <row r="121" spans="1:10" ht="19.5" customHeight="1" x14ac:dyDescent="0.3">
      <c r="A121" s="210"/>
      <c r="B121" s="210"/>
      <c r="C121" s="211"/>
      <c r="D121" s="211"/>
      <c r="E121" s="211"/>
      <c r="F121" s="211"/>
      <c r="G121" s="211"/>
      <c r="H121" s="211"/>
    </row>
    <row r="122" spans="1:10" ht="18.75" x14ac:dyDescent="0.3">
      <c r="B122" s="504" t="s">
        <v>25</v>
      </c>
      <c r="C122" s="504"/>
      <c r="E122" s="163" t="s">
        <v>26</v>
      </c>
      <c r="F122" s="212"/>
      <c r="G122" s="504" t="s">
        <v>27</v>
      </c>
      <c r="H122" s="504"/>
    </row>
    <row r="123" spans="1:10" ht="69.95" customHeight="1" x14ac:dyDescent="0.3">
      <c r="A123" s="213" t="s">
        <v>28</v>
      </c>
      <c r="B123" s="214"/>
      <c r="C123" s="214"/>
      <c r="E123" s="214"/>
      <c r="F123" s="50"/>
      <c r="G123" s="215"/>
      <c r="H123" s="215"/>
    </row>
    <row r="124" spans="1:10" ht="69.95" customHeight="1" x14ac:dyDescent="0.3">
      <c r="A124" s="213" t="s">
        <v>29</v>
      </c>
      <c r="B124" s="216"/>
      <c r="C124" s="216"/>
      <c r="E124" s="216"/>
      <c r="F124" s="50"/>
      <c r="G124" s="217"/>
      <c r="H124" s="217"/>
    </row>
    <row r="125" spans="1:10" ht="18.75" x14ac:dyDescent="0.3">
      <c r="A125" s="148"/>
      <c r="B125" s="148"/>
      <c r="C125" s="149"/>
      <c r="D125" s="149"/>
      <c r="E125" s="149"/>
      <c r="F125" s="153"/>
      <c r="G125" s="149"/>
      <c r="H125" s="149"/>
      <c r="I125" s="50"/>
    </row>
    <row r="126" spans="1:10" ht="18.75" x14ac:dyDescent="0.3">
      <c r="A126" s="148"/>
      <c r="B126" s="148"/>
      <c r="C126" s="149"/>
      <c r="D126" s="149"/>
      <c r="E126" s="149"/>
      <c r="F126" s="153"/>
      <c r="G126" s="149"/>
      <c r="H126" s="149"/>
      <c r="I126" s="50"/>
    </row>
    <row r="127" spans="1:10" ht="18.75" x14ac:dyDescent="0.3">
      <c r="A127" s="148"/>
      <c r="B127" s="148"/>
      <c r="C127" s="149"/>
      <c r="D127" s="149"/>
      <c r="E127" s="149"/>
      <c r="F127" s="153"/>
      <c r="G127" s="149"/>
      <c r="H127" s="149"/>
      <c r="I127" s="50"/>
    </row>
    <row r="128" spans="1:10" ht="18.75" x14ac:dyDescent="0.3">
      <c r="A128" s="148"/>
      <c r="B128" s="148"/>
      <c r="C128" s="149"/>
      <c r="D128" s="149"/>
      <c r="E128" s="149"/>
      <c r="F128" s="153"/>
      <c r="G128" s="149"/>
      <c r="H128" s="149"/>
      <c r="I128" s="50"/>
    </row>
    <row r="129" spans="1:9" ht="18.75" x14ac:dyDescent="0.3">
      <c r="A129" s="148"/>
      <c r="B129" s="148"/>
      <c r="C129" s="149"/>
      <c r="D129" s="149"/>
      <c r="E129" s="149"/>
      <c r="F129" s="153"/>
      <c r="G129" s="149"/>
      <c r="H129" s="149"/>
      <c r="I129" s="50"/>
    </row>
    <row r="130" spans="1:9" ht="18.75" x14ac:dyDescent="0.3">
      <c r="A130" s="148"/>
      <c r="B130" s="148"/>
      <c r="C130" s="149"/>
      <c r="D130" s="149"/>
      <c r="E130" s="149"/>
      <c r="F130" s="153"/>
      <c r="G130" s="149"/>
      <c r="H130" s="149"/>
      <c r="I130" s="50"/>
    </row>
    <row r="131" spans="1:9" ht="18.75" x14ac:dyDescent="0.3">
      <c r="A131" s="148"/>
      <c r="B131" s="148"/>
      <c r="C131" s="149"/>
      <c r="D131" s="149"/>
      <c r="E131" s="149"/>
      <c r="F131" s="153"/>
      <c r="G131" s="149"/>
      <c r="H131" s="149"/>
      <c r="I131" s="50"/>
    </row>
    <row r="132" spans="1:9" ht="18.75" x14ac:dyDescent="0.3">
      <c r="A132" s="148"/>
      <c r="B132" s="148"/>
      <c r="C132" s="149"/>
      <c r="D132" s="149"/>
      <c r="E132" s="149"/>
      <c r="F132" s="153"/>
      <c r="G132" s="149"/>
      <c r="H132" s="149"/>
      <c r="I132" s="50"/>
    </row>
    <row r="133" spans="1:9" ht="18.75" x14ac:dyDescent="0.3">
      <c r="A133" s="148"/>
      <c r="B133" s="148"/>
      <c r="C133" s="149"/>
      <c r="D133" s="149"/>
      <c r="E133" s="149"/>
      <c r="F133" s="153"/>
      <c r="G133" s="149"/>
      <c r="H133" s="149"/>
      <c r="I133" s="50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9" priority="2" operator="greaterThan">
      <formula>0.02</formula>
    </cfRule>
  </conditionalFormatting>
  <conditionalFormatting sqref="D51">
    <cfRule type="cellIs" dxfId="18" priority="3" operator="greaterThan">
      <formula>0.02</formula>
    </cfRule>
  </conditionalFormatting>
  <conditionalFormatting sqref="H73">
    <cfRule type="cellIs" dxfId="16" priority="5" operator="greaterThan">
      <formula>0.02</formula>
    </cfRule>
  </conditionalFormatting>
  <conditionalFormatting sqref="D104">
    <cfRule type="cellIs" dxfId="15" priority="6" operator="greaterThan">
      <formula>0.02</formula>
    </cfRule>
  </conditionalFormatting>
  <conditionalFormatting sqref="I39">
    <cfRule type="cellIs" dxfId="14" priority="7" operator="lessThanOrEqual">
      <formula>0.02</formula>
    </cfRule>
  </conditionalFormatting>
  <conditionalFormatting sqref="I39">
    <cfRule type="cellIs" dxfId="13" priority="8" operator="greaterThan">
      <formula>0.02</formula>
    </cfRule>
  </conditionalFormatting>
  <conditionalFormatting sqref="I92">
    <cfRule type="cellIs" dxfId="12" priority="9" operator="lessThanOrEqual">
      <formula>0.02</formula>
    </cfRule>
  </conditionalFormatting>
  <conditionalFormatting sqref="I92">
    <cfRule type="cellIs" dxfId="11" priority="10" operator="greaterThan">
      <formula>0.02</formula>
    </cfRule>
  </conditionalFormatting>
  <conditionalFormatting sqref="G73">
    <cfRule type="cellIs" dxfId="1" priority="1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58" zoomScale="60" zoomScaleNormal="40" zoomScalePageLayoutView="50" workbookViewId="0">
      <selection activeCell="G66" sqref="G66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01" t="s">
        <v>44</v>
      </c>
      <c r="B1" s="501"/>
      <c r="C1" s="501"/>
      <c r="D1" s="501"/>
      <c r="E1" s="501"/>
      <c r="F1" s="501"/>
      <c r="G1" s="501"/>
      <c r="H1" s="501"/>
      <c r="I1" s="501"/>
    </row>
    <row r="2" spans="1:9" ht="18.75" customHeight="1" x14ac:dyDescent="0.25">
      <c r="A2" s="501"/>
      <c r="B2" s="501"/>
      <c r="C2" s="501"/>
      <c r="D2" s="501"/>
      <c r="E2" s="501"/>
      <c r="F2" s="501"/>
      <c r="G2" s="501"/>
      <c r="H2" s="501"/>
      <c r="I2" s="501"/>
    </row>
    <row r="3" spans="1:9" ht="18.75" customHeight="1" x14ac:dyDescent="0.25">
      <c r="A3" s="501"/>
      <c r="B3" s="501"/>
      <c r="C3" s="501"/>
      <c r="D3" s="501"/>
      <c r="E3" s="501"/>
      <c r="F3" s="501"/>
      <c r="G3" s="501"/>
      <c r="H3" s="501"/>
      <c r="I3" s="501"/>
    </row>
    <row r="4" spans="1:9" ht="18.75" customHeight="1" x14ac:dyDescent="0.25">
      <c r="A4" s="501"/>
      <c r="B4" s="501"/>
      <c r="C4" s="501"/>
      <c r="D4" s="501"/>
      <c r="E4" s="501"/>
      <c r="F4" s="501"/>
      <c r="G4" s="501"/>
      <c r="H4" s="501"/>
      <c r="I4" s="501"/>
    </row>
    <row r="5" spans="1:9" ht="18.75" customHeight="1" x14ac:dyDescent="0.25">
      <c r="A5" s="501"/>
      <c r="B5" s="501"/>
      <c r="C5" s="501"/>
      <c r="D5" s="501"/>
      <c r="E5" s="501"/>
      <c r="F5" s="501"/>
      <c r="G5" s="501"/>
      <c r="H5" s="501"/>
      <c r="I5" s="501"/>
    </row>
    <row r="6" spans="1:9" ht="18.75" customHeight="1" x14ac:dyDescent="0.25">
      <c r="A6" s="501"/>
      <c r="B6" s="501"/>
      <c r="C6" s="501"/>
      <c r="D6" s="501"/>
      <c r="E6" s="501"/>
      <c r="F6" s="501"/>
      <c r="G6" s="501"/>
      <c r="H6" s="501"/>
      <c r="I6" s="501"/>
    </row>
    <row r="7" spans="1:9" ht="18.75" customHeight="1" x14ac:dyDescent="0.25">
      <c r="A7" s="501"/>
      <c r="B7" s="501"/>
      <c r="C7" s="501"/>
      <c r="D7" s="501"/>
      <c r="E7" s="501"/>
      <c r="F7" s="501"/>
      <c r="G7" s="501"/>
      <c r="H7" s="501"/>
      <c r="I7" s="501"/>
    </row>
    <row r="8" spans="1:9" x14ac:dyDescent="0.25">
      <c r="A8" s="502" t="s">
        <v>45</v>
      </c>
      <c r="B8" s="502"/>
      <c r="C8" s="502"/>
      <c r="D8" s="502"/>
      <c r="E8" s="502"/>
      <c r="F8" s="502"/>
      <c r="G8" s="502"/>
      <c r="H8" s="502"/>
      <c r="I8" s="502"/>
    </row>
    <row r="9" spans="1:9" x14ac:dyDescent="0.25">
      <c r="A9" s="502"/>
      <c r="B9" s="502"/>
      <c r="C9" s="502"/>
      <c r="D9" s="502"/>
      <c r="E9" s="502"/>
      <c r="F9" s="502"/>
      <c r="G9" s="502"/>
      <c r="H9" s="502"/>
      <c r="I9" s="502"/>
    </row>
    <row r="10" spans="1:9" x14ac:dyDescent="0.25">
      <c r="A10" s="502"/>
      <c r="B10" s="502"/>
      <c r="C10" s="502"/>
      <c r="D10" s="502"/>
      <c r="E10" s="502"/>
      <c r="F10" s="502"/>
      <c r="G10" s="502"/>
      <c r="H10" s="502"/>
      <c r="I10" s="502"/>
    </row>
    <row r="11" spans="1:9" x14ac:dyDescent="0.25">
      <c r="A11" s="502"/>
      <c r="B11" s="502"/>
      <c r="C11" s="502"/>
      <c r="D11" s="502"/>
      <c r="E11" s="502"/>
      <c r="F11" s="502"/>
      <c r="G11" s="502"/>
      <c r="H11" s="502"/>
      <c r="I11" s="502"/>
    </row>
    <row r="12" spans="1:9" x14ac:dyDescent="0.25">
      <c r="A12" s="502"/>
      <c r="B12" s="502"/>
      <c r="C12" s="502"/>
      <c r="D12" s="502"/>
      <c r="E12" s="502"/>
      <c r="F12" s="502"/>
      <c r="G12" s="502"/>
      <c r="H12" s="502"/>
      <c r="I12" s="502"/>
    </row>
    <row r="13" spans="1:9" x14ac:dyDescent="0.25">
      <c r="A13" s="502"/>
      <c r="B13" s="502"/>
      <c r="C13" s="502"/>
      <c r="D13" s="502"/>
      <c r="E13" s="502"/>
      <c r="F13" s="502"/>
      <c r="G13" s="502"/>
      <c r="H13" s="502"/>
      <c r="I13" s="502"/>
    </row>
    <row r="14" spans="1:9" x14ac:dyDescent="0.25">
      <c r="A14" s="502"/>
      <c r="B14" s="502"/>
      <c r="C14" s="502"/>
      <c r="D14" s="502"/>
      <c r="E14" s="502"/>
      <c r="F14" s="502"/>
      <c r="G14" s="502"/>
      <c r="H14" s="502"/>
      <c r="I14" s="502"/>
    </row>
    <row r="15" spans="1:9" ht="19.5" customHeight="1" x14ac:dyDescent="0.3">
      <c r="A15" s="232"/>
    </row>
    <row r="16" spans="1:9" ht="19.5" customHeight="1" x14ac:dyDescent="0.3">
      <c r="A16" s="474" t="s">
        <v>30</v>
      </c>
      <c r="B16" s="475"/>
      <c r="C16" s="475"/>
      <c r="D16" s="475"/>
      <c r="E16" s="475"/>
      <c r="F16" s="475"/>
      <c r="G16" s="475"/>
      <c r="H16" s="476"/>
    </row>
    <row r="17" spans="1:14" ht="20.25" customHeight="1" x14ac:dyDescent="0.25">
      <c r="A17" s="477" t="s">
        <v>46</v>
      </c>
      <c r="B17" s="477"/>
      <c r="C17" s="477"/>
      <c r="D17" s="477"/>
      <c r="E17" s="477"/>
      <c r="F17" s="477"/>
      <c r="G17" s="477"/>
      <c r="H17" s="477"/>
    </row>
    <row r="18" spans="1:14" ht="26.25" customHeight="1" x14ac:dyDescent="0.4">
      <c r="A18" s="234" t="s">
        <v>32</v>
      </c>
      <c r="B18" s="473" t="s">
        <v>4</v>
      </c>
      <c r="C18" s="473"/>
      <c r="D18" s="401"/>
      <c r="E18" s="235"/>
      <c r="F18" s="236"/>
      <c r="G18" s="236"/>
      <c r="H18" s="236"/>
    </row>
    <row r="19" spans="1:14" ht="26.25" customHeight="1" x14ac:dyDescent="0.4">
      <c r="A19" s="234" t="s">
        <v>33</v>
      </c>
      <c r="B19" s="237" t="s">
        <v>6</v>
      </c>
      <c r="C19" s="414">
        <v>29</v>
      </c>
      <c r="D19" s="236"/>
      <c r="E19" s="236"/>
      <c r="F19" s="236"/>
      <c r="G19" s="236"/>
      <c r="H19" s="236"/>
    </row>
    <row r="20" spans="1:14" ht="26.25" customHeight="1" x14ac:dyDescent="0.4">
      <c r="A20" s="234" t="s">
        <v>34</v>
      </c>
      <c r="B20" s="478" t="s">
        <v>8</v>
      </c>
      <c r="C20" s="478"/>
      <c r="D20" s="236"/>
      <c r="E20" s="236"/>
      <c r="F20" s="236"/>
      <c r="G20" s="236"/>
      <c r="H20" s="236"/>
    </row>
    <row r="21" spans="1:14" ht="26.25" customHeight="1" x14ac:dyDescent="0.4">
      <c r="A21" s="234" t="s">
        <v>35</v>
      </c>
      <c r="B21" s="478" t="s">
        <v>10</v>
      </c>
      <c r="C21" s="478"/>
      <c r="D21" s="478"/>
      <c r="E21" s="478"/>
      <c r="F21" s="478"/>
      <c r="G21" s="478"/>
      <c r="H21" s="478"/>
      <c r="I21" s="238"/>
    </row>
    <row r="22" spans="1:14" ht="26.25" customHeight="1" x14ac:dyDescent="0.4">
      <c r="A22" s="234" t="s">
        <v>36</v>
      </c>
      <c r="B22" s="239"/>
      <c r="C22" s="236"/>
      <c r="D22" s="236"/>
      <c r="E22" s="236"/>
      <c r="F22" s="236"/>
      <c r="G22" s="236"/>
      <c r="H22" s="236"/>
    </row>
    <row r="23" spans="1:14" ht="26.25" customHeight="1" x14ac:dyDescent="0.4">
      <c r="A23" s="234" t="s">
        <v>37</v>
      </c>
      <c r="B23" s="239"/>
      <c r="C23" s="236"/>
      <c r="D23" s="236"/>
      <c r="E23" s="236"/>
      <c r="F23" s="236"/>
      <c r="G23" s="236"/>
      <c r="H23" s="236"/>
    </row>
    <row r="24" spans="1:14" ht="18.75" x14ac:dyDescent="0.3">
      <c r="A24" s="234"/>
      <c r="B24" s="240"/>
    </row>
    <row r="25" spans="1:14" ht="18.75" x14ac:dyDescent="0.3">
      <c r="A25" s="241" t="s">
        <v>1</v>
      </c>
      <c r="B25" s="240"/>
    </row>
    <row r="26" spans="1:14" ht="26.25" customHeight="1" x14ac:dyDescent="0.4">
      <c r="A26" s="242" t="s">
        <v>3</v>
      </c>
      <c r="B26" s="473" t="s">
        <v>125</v>
      </c>
      <c r="C26" s="473"/>
    </row>
    <row r="27" spans="1:14" ht="26.25" customHeight="1" x14ac:dyDescent="0.4">
      <c r="A27" s="243" t="s">
        <v>47</v>
      </c>
      <c r="B27" s="479"/>
      <c r="C27" s="479"/>
    </row>
    <row r="28" spans="1:14" ht="27" customHeight="1" x14ac:dyDescent="0.4">
      <c r="A28" s="243" t="s">
        <v>5</v>
      </c>
      <c r="B28" s="244">
        <v>96.4</v>
      </c>
    </row>
    <row r="29" spans="1:14" s="3" customFormat="1" ht="27" customHeight="1" x14ac:dyDescent="0.4">
      <c r="A29" s="243" t="s">
        <v>48</v>
      </c>
      <c r="B29" s="245"/>
      <c r="C29" s="480" t="s">
        <v>49</v>
      </c>
      <c r="D29" s="481"/>
      <c r="E29" s="481"/>
      <c r="F29" s="481"/>
      <c r="G29" s="482"/>
      <c r="I29" s="246"/>
      <c r="J29" s="246"/>
      <c r="K29" s="246"/>
      <c r="L29" s="246"/>
    </row>
    <row r="30" spans="1:14" s="3" customFormat="1" ht="19.5" customHeight="1" x14ac:dyDescent="0.3">
      <c r="A30" s="243" t="s">
        <v>50</v>
      </c>
      <c r="B30" s="247">
        <f>B28-B29</f>
        <v>96.4</v>
      </c>
      <c r="C30" s="248"/>
      <c r="D30" s="248"/>
      <c r="E30" s="248"/>
      <c r="F30" s="248"/>
      <c r="G30" s="249"/>
      <c r="I30" s="246"/>
      <c r="J30" s="246"/>
      <c r="K30" s="246"/>
      <c r="L30" s="246"/>
    </row>
    <row r="31" spans="1:14" s="3" customFormat="1" ht="27" customHeight="1" x14ac:dyDescent="0.4">
      <c r="A31" s="243" t="s">
        <v>51</v>
      </c>
      <c r="B31" s="250">
        <v>1</v>
      </c>
      <c r="C31" s="483" t="s">
        <v>52</v>
      </c>
      <c r="D31" s="484"/>
      <c r="E31" s="484"/>
      <c r="F31" s="484"/>
      <c r="G31" s="484"/>
      <c r="H31" s="485"/>
      <c r="I31" s="246"/>
      <c r="J31" s="246"/>
      <c r="K31" s="246"/>
      <c r="L31" s="246"/>
    </row>
    <row r="32" spans="1:14" s="3" customFormat="1" ht="27" customHeight="1" x14ac:dyDescent="0.4">
      <c r="A32" s="243" t="s">
        <v>53</v>
      </c>
      <c r="B32" s="250">
        <v>1</v>
      </c>
      <c r="C32" s="483" t="s">
        <v>54</v>
      </c>
      <c r="D32" s="484"/>
      <c r="E32" s="484"/>
      <c r="F32" s="484"/>
      <c r="G32" s="484"/>
      <c r="H32" s="485"/>
      <c r="I32" s="246"/>
      <c r="J32" s="246"/>
      <c r="K32" s="246"/>
      <c r="L32" s="251"/>
      <c r="M32" s="251"/>
      <c r="N32" s="252"/>
    </row>
    <row r="33" spans="1:14" s="3" customFormat="1" ht="17.25" customHeight="1" x14ac:dyDescent="0.3">
      <c r="A33" s="243"/>
      <c r="B33" s="253"/>
      <c r="C33" s="254"/>
      <c r="D33" s="254"/>
      <c r="E33" s="254"/>
      <c r="F33" s="254"/>
      <c r="G33" s="254"/>
      <c r="H33" s="254"/>
      <c r="I33" s="246"/>
      <c r="J33" s="246"/>
      <c r="K33" s="246"/>
      <c r="L33" s="251"/>
      <c r="M33" s="251"/>
      <c r="N33" s="252"/>
    </row>
    <row r="34" spans="1:14" s="3" customFormat="1" ht="18.75" x14ac:dyDescent="0.3">
      <c r="A34" s="243" t="s">
        <v>55</v>
      </c>
      <c r="B34" s="255">
        <f>B31/B32</f>
        <v>1</v>
      </c>
      <c r="C34" s="233" t="s">
        <v>56</v>
      </c>
      <c r="D34" s="233"/>
      <c r="E34" s="233"/>
      <c r="F34" s="233"/>
      <c r="G34" s="233"/>
      <c r="I34" s="246"/>
      <c r="J34" s="246"/>
      <c r="K34" s="246"/>
      <c r="L34" s="251"/>
      <c r="M34" s="251"/>
      <c r="N34" s="252"/>
    </row>
    <row r="35" spans="1:14" s="3" customFormat="1" ht="19.5" customHeight="1" x14ac:dyDescent="0.3">
      <c r="A35" s="243"/>
      <c r="B35" s="247"/>
      <c r="G35" s="233"/>
      <c r="I35" s="246"/>
      <c r="J35" s="246"/>
      <c r="K35" s="246"/>
      <c r="L35" s="251"/>
      <c r="M35" s="251"/>
      <c r="N35" s="252"/>
    </row>
    <row r="36" spans="1:14" s="3" customFormat="1" ht="27" customHeight="1" x14ac:dyDescent="0.4">
      <c r="A36" s="256" t="s">
        <v>57</v>
      </c>
      <c r="B36" s="257">
        <v>20</v>
      </c>
      <c r="C36" s="233"/>
      <c r="D36" s="486" t="s">
        <v>58</v>
      </c>
      <c r="E36" s="487"/>
      <c r="F36" s="486" t="s">
        <v>59</v>
      </c>
      <c r="G36" s="488"/>
      <c r="J36" s="246"/>
      <c r="K36" s="246"/>
      <c r="L36" s="251"/>
      <c r="M36" s="251"/>
      <c r="N36" s="252"/>
    </row>
    <row r="37" spans="1:14" s="3" customFormat="1" ht="27" customHeight="1" x14ac:dyDescent="0.4">
      <c r="A37" s="258" t="s">
        <v>60</v>
      </c>
      <c r="B37" s="259">
        <v>3</v>
      </c>
      <c r="C37" s="260" t="s">
        <v>61</v>
      </c>
      <c r="D37" s="261" t="s">
        <v>62</v>
      </c>
      <c r="E37" s="262" t="s">
        <v>63</v>
      </c>
      <c r="F37" s="261" t="s">
        <v>62</v>
      </c>
      <c r="G37" s="263" t="s">
        <v>63</v>
      </c>
      <c r="I37" s="264" t="s">
        <v>64</v>
      </c>
      <c r="J37" s="246"/>
      <c r="K37" s="246"/>
      <c r="L37" s="251"/>
      <c r="M37" s="251"/>
      <c r="N37" s="252"/>
    </row>
    <row r="38" spans="1:14" s="3" customFormat="1" ht="26.25" customHeight="1" x14ac:dyDescent="0.4">
      <c r="A38" s="258" t="s">
        <v>65</v>
      </c>
      <c r="B38" s="259">
        <v>25</v>
      </c>
      <c r="C38" s="265">
        <v>1</v>
      </c>
      <c r="D38" s="266">
        <v>37038839</v>
      </c>
      <c r="E38" s="267">
        <f>IF(ISBLANK(D38),"-",$D$48/$D$45*D38)</f>
        <v>6139666.3722717091</v>
      </c>
      <c r="F38" s="266">
        <v>38374352</v>
      </c>
      <c r="G38" s="268">
        <f>IF(ISBLANK(F38),"-",$D$48/$F$45*F38)</f>
        <v>6031427.1344146868</v>
      </c>
      <c r="I38" s="269"/>
      <c r="J38" s="246"/>
      <c r="K38" s="246"/>
      <c r="L38" s="251"/>
      <c r="M38" s="251"/>
      <c r="N38" s="252"/>
    </row>
    <row r="39" spans="1:14" s="3" customFormat="1" ht="26.25" customHeight="1" x14ac:dyDescent="0.4">
      <c r="A39" s="258" t="s">
        <v>66</v>
      </c>
      <c r="B39" s="259">
        <v>1</v>
      </c>
      <c r="C39" s="270">
        <v>2</v>
      </c>
      <c r="D39" s="271">
        <v>37124313</v>
      </c>
      <c r="E39" s="272">
        <f>IF(ISBLANK(D39),"-",$D$48/$D$45*D39)</f>
        <v>6153834.792710145</v>
      </c>
      <c r="F39" s="271">
        <v>38295752</v>
      </c>
      <c r="G39" s="273">
        <f>IF(ISBLANK(F39),"-",$D$48/$F$45*F39)</f>
        <v>6019073.3056708165</v>
      </c>
      <c r="I39" s="490">
        <f>ABS((F43/D43*D42)-F42)/D42</f>
        <v>1.8505302031887851E-2</v>
      </c>
      <c r="J39" s="246"/>
      <c r="K39" s="246"/>
      <c r="L39" s="251"/>
      <c r="M39" s="251"/>
      <c r="N39" s="252"/>
    </row>
    <row r="40" spans="1:14" ht="26.25" customHeight="1" x14ac:dyDescent="0.4">
      <c r="A40" s="258" t="s">
        <v>67</v>
      </c>
      <c r="B40" s="259">
        <v>1</v>
      </c>
      <c r="C40" s="270">
        <v>3</v>
      </c>
      <c r="D40" s="271">
        <v>37049720</v>
      </c>
      <c r="E40" s="272">
        <f>IF(ISBLANK(D40),"-",$D$48/$D$45*D40)</f>
        <v>6141470.0386824375</v>
      </c>
      <c r="F40" s="271">
        <v>38562529</v>
      </c>
      <c r="G40" s="273">
        <f>IF(ISBLANK(F40),"-",$D$48/$F$45*F40)</f>
        <v>6061003.5521186981</v>
      </c>
      <c r="I40" s="490"/>
      <c r="L40" s="251"/>
      <c r="M40" s="251"/>
      <c r="N40" s="274"/>
    </row>
    <row r="41" spans="1:14" ht="27" customHeight="1" x14ac:dyDescent="0.4">
      <c r="A41" s="258" t="s">
        <v>68</v>
      </c>
      <c r="B41" s="259">
        <v>1</v>
      </c>
      <c r="C41" s="275">
        <v>4</v>
      </c>
      <c r="D41" s="276"/>
      <c r="E41" s="277" t="str">
        <f>IF(ISBLANK(D41),"-",$D$48/$D$45*D41)</f>
        <v>-</v>
      </c>
      <c r="F41" s="276"/>
      <c r="G41" s="278" t="str">
        <f>IF(ISBLANK(F41),"-",$D$48/$F$45*F41)</f>
        <v>-</v>
      </c>
      <c r="I41" s="279"/>
      <c r="L41" s="251"/>
      <c r="M41" s="251"/>
      <c r="N41" s="274"/>
    </row>
    <row r="42" spans="1:14" ht="27" customHeight="1" x14ac:dyDescent="0.4">
      <c r="A42" s="258" t="s">
        <v>69</v>
      </c>
      <c r="B42" s="259">
        <v>1</v>
      </c>
      <c r="C42" s="280" t="s">
        <v>70</v>
      </c>
      <c r="D42" s="281">
        <f>AVERAGE(D38:D41)</f>
        <v>37070957.333333336</v>
      </c>
      <c r="E42" s="282">
        <f>AVERAGE(E38:E41)</f>
        <v>6144990.4012214309</v>
      </c>
      <c r="F42" s="281">
        <f>AVERAGE(F38:F41)</f>
        <v>38410877.666666664</v>
      </c>
      <c r="G42" s="283">
        <f>AVERAGE(G38:G41)</f>
        <v>6037167.9974014014</v>
      </c>
      <c r="H42" s="284"/>
    </row>
    <row r="43" spans="1:14" ht="26.25" customHeight="1" x14ac:dyDescent="0.4">
      <c r="A43" s="258" t="s">
        <v>71</v>
      </c>
      <c r="B43" s="259">
        <v>1</v>
      </c>
      <c r="C43" s="285" t="s">
        <v>72</v>
      </c>
      <c r="D43" s="286">
        <v>20.86</v>
      </c>
      <c r="E43" s="274"/>
      <c r="F43" s="286">
        <v>22</v>
      </c>
      <c r="H43" s="284"/>
    </row>
    <row r="44" spans="1:14" ht="26.25" customHeight="1" x14ac:dyDescent="0.4">
      <c r="A44" s="258" t="s">
        <v>73</v>
      </c>
      <c r="B44" s="259">
        <v>1</v>
      </c>
      <c r="C44" s="287" t="s">
        <v>74</v>
      </c>
      <c r="D44" s="288">
        <f>D43*$B$34</f>
        <v>20.86</v>
      </c>
      <c r="E44" s="289"/>
      <c r="F44" s="288">
        <f>F43*$B$34</f>
        <v>22</v>
      </c>
      <c r="H44" s="284"/>
    </row>
    <row r="45" spans="1:14" ht="19.5" customHeight="1" x14ac:dyDescent="0.3">
      <c r="A45" s="258" t="s">
        <v>75</v>
      </c>
      <c r="B45" s="290">
        <f>(B44/B43)*(B42/B41)*(B40/B39)*(B38/B37)*B36</f>
        <v>166.66666666666669</v>
      </c>
      <c r="C45" s="287" t="s">
        <v>76</v>
      </c>
      <c r="D45" s="291">
        <f>D44*$B$30/100</f>
        <v>20.10904</v>
      </c>
      <c r="E45" s="292"/>
      <c r="F45" s="291">
        <f>F44*$B$30/100</f>
        <v>21.208000000000002</v>
      </c>
      <c r="H45" s="284"/>
    </row>
    <row r="46" spans="1:14" ht="19.5" customHeight="1" x14ac:dyDescent="0.3">
      <c r="A46" s="491" t="s">
        <v>77</v>
      </c>
      <c r="B46" s="492"/>
      <c r="C46" s="287" t="s">
        <v>78</v>
      </c>
      <c r="D46" s="293">
        <f>D45/$B$45</f>
        <v>0.12065423999999998</v>
      </c>
      <c r="E46" s="294"/>
      <c r="F46" s="295">
        <f>F45/$B$45</f>
        <v>0.127248</v>
      </c>
      <c r="H46" s="284"/>
    </row>
    <row r="47" spans="1:14" ht="27" customHeight="1" x14ac:dyDescent="0.4">
      <c r="A47" s="493"/>
      <c r="B47" s="494"/>
      <c r="C47" s="296" t="s">
        <v>79</v>
      </c>
      <c r="D47" s="297">
        <v>0.02</v>
      </c>
      <c r="E47" s="298"/>
      <c r="F47" s="294"/>
      <c r="H47" s="284"/>
    </row>
    <row r="48" spans="1:14" ht="18.75" x14ac:dyDescent="0.3">
      <c r="C48" s="299" t="s">
        <v>80</v>
      </c>
      <c r="D48" s="291">
        <f>D47*$B$45</f>
        <v>3.3333333333333339</v>
      </c>
      <c r="F48" s="300"/>
      <c r="H48" s="284"/>
    </row>
    <row r="49" spans="1:12" ht="19.5" customHeight="1" x14ac:dyDescent="0.3">
      <c r="C49" s="301" t="s">
        <v>81</v>
      </c>
      <c r="D49" s="302">
        <f>D48/B34</f>
        <v>3.3333333333333339</v>
      </c>
      <c r="F49" s="300"/>
      <c r="H49" s="284"/>
    </row>
    <row r="50" spans="1:12" ht="18.75" x14ac:dyDescent="0.3">
      <c r="C50" s="256" t="s">
        <v>82</v>
      </c>
      <c r="D50" s="303">
        <f>AVERAGE(E38:E41,G38:G41)</f>
        <v>6091079.1993114157</v>
      </c>
      <c r="F50" s="304"/>
      <c r="H50" s="284"/>
    </row>
    <row r="51" spans="1:12" ht="18.75" x14ac:dyDescent="0.3">
      <c r="C51" s="258" t="s">
        <v>83</v>
      </c>
      <c r="D51" s="305">
        <f>STDEV(E38:E41,G38:G41)/D50</f>
        <v>9.9825605225296182E-3</v>
      </c>
      <c r="F51" s="304"/>
      <c r="H51" s="284"/>
    </row>
    <row r="52" spans="1:12" ht="19.5" customHeight="1" x14ac:dyDescent="0.3">
      <c r="C52" s="306" t="s">
        <v>19</v>
      </c>
      <c r="D52" s="307">
        <f>COUNT(E38:E41,G38:G41)</f>
        <v>6</v>
      </c>
      <c r="F52" s="304"/>
    </row>
    <row r="54" spans="1:12" ht="18.75" x14ac:dyDescent="0.3">
      <c r="A54" s="308" t="s">
        <v>1</v>
      </c>
      <c r="B54" s="309" t="s">
        <v>84</v>
      </c>
    </row>
    <row r="55" spans="1:12" ht="18.75" x14ac:dyDescent="0.3">
      <c r="A55" s="233" t="s">
        <v>85</v>
      </c>
      <c r="B55" s="310" t="str">
        <f>B21</f>
        <v>Each film coate tablet contains: Amoxicillin Trihydrate USP Eq. to Amoxicillin 500mg
Diluted Potassium Clavulanate BP Eq. to Clavulanic acid 125mg</v>
      </c>
    </row>
    <row r="56" spans="1:12" ht="26.25" customHeight="1" x14ac:dyDescent="0.4">
      <c r="A56" s="311" t="s">
        <v>86</v>
      </c>
      <c r="B56" s="312">
        <v>125</v>
      </c>
      <c r="C56" s="233" t="str">
        <f>B20</f>
        <v>Amoxicillin &amp; Clavulanic Acid</v>
      </c>
      <c r="H56" s="313"/>
    </row>
    <row r="57" spans="1:12" ht="18.75" x14ac:dyDescent="0.3">
      <c r="A57" s="310" t="s">
        <v>87</v>
      </c>
      <c r="B57" s="402">
        <f>Uniformity!C46</f>
        <v>1094.9384999999997</v>
      </c>
      <c r="H57" s="313"/>
    </row>
    <row r="58" spans="1:12" ht="19.5" customHeight="1" x14ac:dyDescent="0.3">
      <c r="H58" s="313"/>
    </row>
    <row r="59" spans="1:12" s="3" customFormat="1" ht="27" customHeight="1" x14ac:dyDescent="0.4">
      <c r="A59" s="256" t="s">
        <v>88</v>
      </c>
      <c r="B59" s="257">
        <v>100</v>
      </c>
      <c r="C59" s="233"/>
      <c r="D59" s="314" t="s">
        <v>89</v>
      </c>
      <c r="E59" s="315" t="s">
        <v>61</v>
      </c>
      <c r="F59" s="315" t="s">
        <v>62</v>
      </c>
      <c r="G59" s="315" t="s">
        <v>90</v>
      </c>
      <c r="H59" s="260" t="s">
        <v>91</v>
      </c>
      <c r="L59" s="246"/>
    </row>
    <row r="60" spans="1:12" s="3" customFormat="1" ht="26.25" customHeight="1" x14ac:dyDescent="0.4">
      <c r="A60" s="258" t="s">
        <v>92</v>
      </c>
      <c r="B60" s="259">
        <v>1</v>
      </c>
      <c r="C60" s="495" t="s">
        <v>93</v>
      </c>
      <c r="D60" s="498">
        <v>160.16999999999999</v>
      </c>
      <c r="E60" s="316">
        <v>1</v>
      </c>
      <c r="F60" s="317">
        <v>57527533</v>
      </c>
      <c r="G60" s="403">
        <f>IF(ISBLANK(F60),"-",(F60/$D$50*$D$47*$B$68)*($B$57/$D$60))</f>
        <v>129.12788878621791</v>
      </c>
      <c r="H60" s="318">
        <f t="shared" ref="H60:H71" si="0">IF(ISBLANK(F60),"-",G60/$B$56)</f>
        <v>1.0330231102897434</v>
      </c>
      <c r="L60" s="246"/>
    </row>
    <row r="61" spans="1:12" s="3" customFormat="1" ht="26.25" customHeight="1" x14ac:dyDescent="0.4">
      <c r="A61" s="258" t="s">
        <v>94</v>
      </c>
      <c r="B61" s="259">
        <v>1</v>
      </c>
      <c r="C61" s="496"/>
      <c r="D61" s="499"/>
      <c r="E61" s="319">
        <v>2</v>
      </c>
      <c r="F61" s="271">
        <v>57402439</v>
      </c>
      <c r="G61" s="404">
        <f>IF(ISBLANK(F61),"-",(F61/$D$50*$D$47*$B$68)*($B$57/$D$60))</f>
        <v>128.84709934023519</v>
      </c>
      <c r="H61" s="320">
        <f t="shared" si="0"/>
        <v>1.0307767947218816</v>
      </c>
      <c r="L61" s="246"/>
    </row>
    <row r="62" spans="1:12" s="3" customFormat="1" ht="26.25" customHeight="1" x14ac:dyDescent="0.4">
      <c r="A62" s="258" t="s">
        <v>95</v>
      </c>
      <c r="B62" s="259">
        <v>1</v>
      </c>
      <c r="C62" s="496"/>
      <c r="D62" s="499"/>
      <c r="E62" s="319">
        <v>3</v>
      </c>
      <c r="F62" s="321">
        <v>56897917</v>
      </c>
      <c r="G62" s="404">
        <f>IF(ISBLANK(F62),"-",(F62/$D$50*$D$47*$B$68)*($B$57/$D$60))</f>
        <v>127.7146353302419</v>
      </c>
      <c r="H62" s="320">
        <f t="shared" si="0"/>
        <v>1.0217170826419353</v>
      </c>
      <c r="L62" s="246"/>
    </row>
    <row r="63" spans="1:12" ht="27" customHeight="1" x14ac:dyDescent="0.4">
      <c r="A63" s="258" t="s">
        <v>96</v>
      </c>
      <c r="B63" s="259">
        <v>1</v>
      </c>
      <c r="C63" s="497"/>
      <c r="D63" s="500"/>
      <c r="E63" s="322">
        <v>4</v>
      </c>
      <c r="F63" s="323"/>
      <c r="G63" s="404" t="str">
        <f>IF(ISBLANK(F63),"-",(F63/$D$50*$D$47*$B$68)*($B$57/$D$60))</f>
        <v>-</v>
      </c>
      <c r="H63" s="320" t="str">
        <f t="shared" si="0"/>
        <v>-</v>
      </c>
    </row>
    <row r="64" spans="1:12" ht="26.25" customHeight="1" x14ac:dyDescent="0.4">
      <c r="A64" s="258" t="s">
        <v>97</v>
      </c>
      <c r="B64" s="259">
        <v>1</v>
      </c>
      <c r="C64" s="495" t="s">
        <v>98</v>
      </c>
      <c r="D64" s="498">
        <v>138</v>
      </c>
      <c r="E64" s="316">
        <v>1</v>
      </c>
      <c r="F64" s="317">
        <v>46487549</v>
      </c>
      <c r="G64" s="405"/>
      <c r="H64" s="324"/>
    </row>
    <row r="65" spans="1:8" ht="26.25" customHeight="1" x14ac:dyDescent="0.4">
      <c r="A65" s="258" t="s">
        <v>99</v>
      </c>
      <c r="B65" s="259">
        <v>1</v>
      </c>
      <c r="C65" s="496"/>
      <c r="D65" s="499"/>
      <c r="E65" s="319">
        <v>2</v>
      </c>
      <c r="F65" s="271">
        <v>44710064</v>
      </c>
      <c r="G65" s="406"/>
      <c r="H65" s="325"/>
    </row>
    <row r="66" spans="1:8" ht="26.25" customHeight="1" x14ac:dyDescent="0.4">
      <c r="A66" s="258" t="s">
        <v>100</v>
      </c>
      <c r="B66" s="259">
        <v>1</v>
      </c>
      <c r="C66" s="496"/>
      <c r="D66" s="499"/>
      <c r="E66" s="319">
        <v>3</v>
      </c>
      <c r="F66" s="271">
        <v>44088873</v>
      </c>
      <c r="G66" s="406"/>
      <c r="H66" s="325"/>
    </row>
    <row r="67" spans="1:8" ht="27" customHeight="1" x14ac:dyDescent="0.4">
      <c r="A67" s="258" t="s">
        <v>101</v>
      </c>
      <c r="B67" s="259">
        <v>1</v>
      </c>
      <c r="C67" s="497"/>
      <c r="D67" s="500"/>
      <c r="E67" s="322">
        <v>4</v>
      </c>
      <c r="F67" s="323"/>
      <c r="G67" s="407"/>
      <c r="H67" s="326"/>
    </row>
    <row r="68" spans="1:8" ht="26.25" customHeight="1" x14ac:dyDescent="0.4">
      <c r="A68" s="258" t="s">
        <v>102</v>
      </c>
      <c r="B68" s="327">
        <f>(B67/B66)*(B65/B64)*(B63/B62)*(B61/B60)*B59</f>
        <v>100</v>
      </c>
      <c r="C68" s="495" t="s">
        <v>103</v>
      </c>
      <c r="D68" s="498">
        <v>150.83000000000001</v>
      </c>
      <c r="E68" s="316">
        <v>1</v>
      </c>
      <c r="F68" s="317">
        <v>52132942</v>
      </c>
      <c r="G68" s="405">
        <f>IF(ISBLANK(F68),"-",(F68/$D$50*$D$47*$B$68)*($B$57/$D$68))</f>
        <v>124.26533037219173</v>
      </c>
      <c r="H68" s="320">
        <f t="shared" si="0"/>
        <v>0.99412264297753383</v>
      </c>
    </row>
    <row r="69" spans="1:8" ht="27" customHeight="1" x14ac:dyDescent="0.4">
      <c r="A69" s="306" t="s">
        <v>104</v>
      </c>
      <c r="B69" s="328">
        <f>(D47*B68)/B56*B57</f>
        <v>17.519015999999997</v>
      </c>
      <c r="C69" s="496"/>
      <c r="D69" s="499"/>
      <c r="E69" s="319">
        <v>2</v>
      </c>
      <c r="F69" s="271">
        <v>52240913</v>
      </c>
      <c r="G69" s="406">
        <f>IF(ISBLANK(F69),"-",(F69/$D$50*$D$47*$B$68)*($B$57/$D$68))</f>
        <v>124.52269263625914</v>
      </c>
      <c r="H69" s="320">
        <f t="shared" si="0"/>
        <v>0.99618154109007306</v>
      </c>
    </row>
    <row r="70" spans="1:8" ht="26.25" customHeight="1" x14ac:dyDescent="0.4">
      <c r="A70" s="508" t="s">
        <v>77</v>
      </c>
      <c r="B70" s="509"/>
      <c r="C70" s="496"/>
      <c r="D70" s="499"/>
      <c r="E70" s="319">
        <v>3</v>
      </c>
      <c r="F70" s="271">
        <v>52147966</v>
      </c>
      <c r="G70" s="406">
        <f>IF(ISBLANK(F70),"-",(F70/$D$50*$D$47*$B$68)*($B$57/$D$68))</f>
        <v>124.30114193877301</v>
      </c>
      <c r="H70" s="320">
        <f t="shared" si="0"/>
        <v>0.99440913551018406</v>
      </c>
    </row>
    <row r="71" spans="1:8" ht="27" customHeight="1" x14ac:dyDescent="0.4">
      <c r="A71" s="510"/>
      <c r="B71" s="511"/>
      <c r="C71" s="507"/>
      <c r="D71" s="500"/>
      <c r="E71" s="322">
        <v>4</v>
      </c>
      <c r="F71" s="323"/>
      <c r="G71" s="407"/>
      <c r="H71" s="329" t="str">
        <f t="shared" si="0"/>
        <v>-</v>
      </c>
    </row>
    <row r="72" spans="1:8" ht="26.25" customHeight="1" x14ac:dyDescent="0.4">
      <c r="A72" s="330"/>
      <c r="B72" s="330"/>
      <c r="C72" s="330"/>
      <c r="D72" s="330"/>
      <c r="E72" s="330"/>
      <c r="F72" s="332" t="s">
        <v>70</v>
      </c>
      <c r="G72" s="412">
        <f>AVERAGE(G60:G71)</f>
        <v>126.46313140065315</v>
      </c>
      <c r="H72" s="333">
        <f>AVERAGE(H60:H71)</f>
        <v>1.0117050512052252</v>
      </c>
    </row>
    <row r="73" spans="1:8" ht="26.25" customHeight="1" x14ac:dyDescent="0.4">
      <c r="C73" s="330"/>
      <c r="D73" s="330"/>
      <c r="E73" s="330"/>
      <c r="F73" s="334" t="s">
        <v>83</v>
      </c>
      <c r="G73" s="408">
        <f>STDEV(G60:G71)/G72</f>
        <v>1.8585124669398982E-2</v>
      </c>
      <c r="H73" s="408">
        <f>STDEV(H60:H71)/H72</f>
        <v>1.8585124669399024E-2</v>
      </c>
    </row>
    <row r="74" spans="1:8" ht="27" customHeight="1" x14ac:dyDescent="0.4">
      <c r="A74" s="330"/>
      <c r="B74" s="330"/>
      <c r="C74" s="331"/>
      <c r="D74" s="331"/>
      <c r="E74" s="335"/>
      <c r="F74" s="336" t="s">
        <v>19</v>
      </c>
      <c r="G74" s="337">
        <f>COUNT(G60:G71)</f>
        <v>6</v>
      </c>
      <c r="H74" s="337">
        <f>COUNT(H60:H71)</f>
        <v>6</v>
      </c>
    </row>
    <row r="76" spans="1:8" ht="26.25" customHeight="1" x14ac:dyDescent="0.4">
      <c r="A76" s="242" t="s">
        <v>105</v>
      </c>
      <c r="B76" s="338" t="s">
        <v>106</v>
      </c>
      <c r="C76" s="503" t="str">
        <f>B20</f>
        <v>Amoxicillin &amp; Clavulanic Acid</v>
      </c>
      <c r="D76" s="503"/>
      <c r="E76" s="339" t="s">
        <v>107</v>
      </c>
      <c r="F76" s="339"/>
      <c r="G76" s="340">
        <f>H72</f>
        <v>1.0117050512052252</v>
      </c>
      <c r="H76" s="341"/>
    </row>
    <row r="77" spans="1:8" ht="18.75" x14ac:dyDescent="0.3">
      <c r="A77" s="241" t="s">
        <v>108</v>
      </c>
      <c r="B77" s="241" t="s">
        <v>109</v>
      </c>
    </row>
    <row r="78" spans="1:8" ht="18.75" x14ac:dyDescent="0.3">
      <c r="A78" s="241"/>
      <c r="B78" s="241"/>
    </row>
    <row r="79" spans="1:8" ht="26.25" customHeight="1" x14ac:dyDescent="0.4">
      <c r="A79" s="242" t="s">
        <v>3</v>
      </c>
      <c r="B79" s="489" t="str">
        <f>B26</f>
        <v>CLAVULANATE</v>
      </c>
      <c r="C79" s="489"/>
    </row>
    <row r="80" spans="1:8" ht="26.25" customHeight="1" x14ac:dyDescent="0.4">
      <c r="A80" s="243" t="s">
        <v>47</v>
      </c>
      <c r="B80" s="489">
        <f>B27</f>
        <v>0</v>
      </c>
      <c r="C80" s="489"/>
    </row>
    <row r="81" spans="1:12" ht="27" customHeight="1" x14ac:dyDescent="0.4">
      <c r="A81" s="243" t="s">
        <v>5</v>
      </c>
      <c r="B81" s="342">
        <f>B28</f>
        <v>96.4</v>
      </c>
    </row>
    <row r="82" spans="1:12" s="3" customFormat="1" ht="27" customHeight="1" x14ac:dyDescent="0.4">
      <c r="A82" s="243" t="s">
        <v>48</v>
      </c>
      <c r="B82" s="245">
        <v>0</v>
      </c>
      <c r="C82" s="480" t="s">
        <v>49</v>
      </c>
      <c r="D82" s="481"/>
      <c r="E82" s="481"/>
      <c r="F82" s="481"/>
      <c r="G82" s="482"/>
      <c r="I82" s="246"/>
      <c r="J82" s="246"/>
      <c r="K82" s="246"/>
      <c r="L82" s="246"/>
    </row>
    <row r="83" spans="1:12" s="3" customFormat="1" ht="19.5" customHeight="1" x14ac:dyDescent="0.3">
      <c r="A83" s="243" t="s">
        <v>50</v>
      </c>
      <c r="B83" s="247">
        <f>B81-B82</f>
        <v>96.4</v>
      </c>
      <c r="C83" s="248"/>
      <c r="D83" s="248"/>
      <c r="E83" s="248"/>
      <c r="F83" s="248"/>
      <c r="G83" s="249"/>
      <c r="I83" s="246"/>
      <c r="J83" s="246"/>
      <c r="K83" s="246"/>
      <c r="L83" s="246"/>
    </row>
    <row r="84" spans="1:12" s="3" customFormat="1" ht="27" customHeight="1" x14ac:dyDescent="0.4">
      <c r="A84" s="243" t="s">
        <v>51</v>
      </c>
      <c r="B84" s="250">
        <v>1</v>
      </c>
      <c r="C84" s="483" t="s">
        <v>110</v>
      </c>
      <c r="D84" s="484"/>
      <c r="E84" s="484"/>
      <c r="F84" s="484"/>
      <c r="G84" s="484"/>
      <c r="H84" s="485"/>
      <c r="I84" s="246"/>
      <c r="J84" s="246"/>
      <c r="K84" s="246"/>
      <c r="L84" s="246"/>
    </row>
    <row r="85" spans="1:12" s="3" customFormat="1" ht="27" customHeight="1" x14ac:dyDescent="0.4">
      <c r="A85" s="243" t="s">
        <v>53</v>
      </c>
      <c r="B85" s="250">
        <v>1</v>
      </c>
      <c r="C85" s="483" t="s">
        <v>111</v>
      </c>
      <c r="D85" s="484"/>
      <c r="E85" s="484"/>
      <c r="F85" s="484"/>
      <c r="G85" s="484"/>
      <c r="H85" s="485"/>
      <c r="I85" s="246"/>
      <c r="J85" s="246"/>
      <c r="K85" s="246"/>
      <c r="L85" s="246"/>
    </row>
    <row r="86" spans="1:12" s="3" customFormat="1" ht="18.75" x14ac:dyDescent="0.3">
      <c r="A86" s="243"/>
      <c r="B86" s="253"/>
      <c r="C86" s="254"/>
      <c r="D86" s="254"/>
      <c r="E86" s="254"/>
      <c r="F86" s="254"/>
      <c r="G86" s="254"/>
      <c r="H86" s="254"/>
      <c r="I86" s="246"/>
      <c r="J86" s="246"/>
      <c r="K86" s="246"/>
      <c r="L86" s="246"/>
    </row>
    <row r="87" spans="1:12" s="3" customFormat="1" ht="18.75" x14ac:dyDescent="0.3">
      <c r="A87" s="243" t="s">
        <v>55</v>
      </c>
      <c r="B87" s="255">
        <f>B84/B85</f>
        <v>1</v>
      </c>
      <c r="C87" s="233" t="s">
        <v>56</v>
      </c>
      <c r="D87" s="233"/>
      <c r="E87" s="233"/>
      <c r="F87" s="233"/>
      <c r="G87" s="233"/>
      <c r="I87" s="246"/>
      <c r="J87" s="246"/>
      <c r="K87" s="246"/>
      <c r="L87" s="246"/>
    </row>
    <row r="88" spans="1:12" ht="19.5" customHeight="1" x14ac:dyDescent="0.3">
      <c r="A88" s="241"/>
      <c r="B88" s="241"/>
    </row>
    <row r="89" spans="1:12" ht="27" customHeight="1" x14ac:dyDescent="0.4">
      <c r="A89" s="256" t="s">
        <v>57</v>
      </c>
      <c r="B89" s="257">
        <v>20</v>
      </c>
      <c r="D89" s="343" t="s">
        <v>58</v>
      </c>
      <c r="E89" s="344"/>
      <c r="F89" s="486" t="s">
        <v>59</v>
      </c>
      <c r="G89" s="488"/>
    </row>
    <row r="90" spans="1:12" ht="27" customHeight="1" x14ac:dyDescent="0.4">
      <c r="A90" s="258" t="s">
        <v>60</v>
      </c>
      <c r="B90" s="259">
        <v>3</v>
      </c>
      <c r="C90" s="345" t="s">
        <v>61</v>
      </c>
      <c r="D90" s="261" t="s">
        <v>62</v>
      </c>
      <c r="E90" s="262" t="s">
        <v>63</v>
      </c>
      <c r="F90" s="261" t="s">
        <v>62</v>
      </c>
      <c r="G90" s="346" t="s">
        <v>63</v>
      </c>
      <c r="I90" s="264" t="s">
        <v>64</v>
      </c>
    </row>
    <row r="91" spans="1:12" ht="26.25" customHeight="1" x14ac:dyDescent="0.4">
      <c r="A91" s="258" t="s">
        <v>65</v>
      </c>
      <c r="B91" s="259">
        <v>25</v>
      </c>
      <c r="C91" s="347">
        <v>1</v>
      </c>
      <c r="D91" s="266">
        <v>49622398</v>
      </c>
      <c r="E91" s="267">
        <f>IF(ISBLANK(D91),"-",$D$101/$D$98*D91)</f>
        <v>51582808.839897372</v>
      </c>
      <c r="F91" s="266">
        <v>44495700</v>
      </c>
      <c r="G91" s="268">
        <f>IF(ISBLANK(F91),"-",$D$101/$F$98*F91)</f>
        <v>50661807.800375178</v>
      </c>
      <c r="I91" s="269"/>
    </row>
    <row r="92" spans="1:12" ht="26.25" customHeight="1" x14ac:dyDescent="0.4">
      <c r="A92" s="258" t="s">
        <v>66</v>
      </c>
      <c r="B92" s="259">
        <v>1</v>
      </c>
      <c r="C92" s="331">
        <v>2</v>
      </c>
      <c r="D92" s="271">
        <v>48777801</v>
      </c>
      <c r="E92" s="272">
        <f>IF(ISBLANK(D92),"-",$D$101/$D$98*D92)</f>
        <v>50704844.707697414</v>
      </c>
      <c r="F92" s="271">
        <v>43843421</v>
      </c>
      <c r="G92" s="273">
        <f>IF(ISBLANK(F92),"-",$D$101/$F$98*F92)</f>
        <v>49919137.534928828</v>
      </c>
      <c r="I92" s="490">
        <f>ABS((F96/D96*D95)-F95)/D95</f>
        <v>1.618858991835093E-2</v>
      </c>
    </row>
    <row r="93" spans="1:12" ht="26.25" customHeight="1" x14ac:dyDescent="0.4">
      <c r="A93" s="258" t="s">
        <v>67</v>
      </c>
      <c r="B93" s="259">
        <v>1</v>
      </c>
      <c r="C93" s="331">
        <v>3</v>
      </c>
      <c r="D93" s="271">
        <v>48323247</v>
      </c>
      <c r="E93" s="272">
        <f>IF(ISBLANK(D93),"-",$D$101/$D$98*D93)</f>
        <v>50232332.837363966</v>
      </c>
      <c r="F93" s="271">
        <v>43242234</v>
      </c>
      <c r="G93" s="273">
        <f>IF(ISBLANK(F93),"-",$D$101/$F$98*F93)</f>
        <v>49234639.476777501</v>
      </c>
      <c r="I93" s="490"/>
    </row>
    <row r="94" spans="1:12" ht="27" customHeight="1" x14ac:dyDescent="0.4">
      <c r="A94" s="258" t="s">
        <v>68</v>
      </c>
      <c r="B94" s="259">
        <v>1</v>
      </c>
      <c r="C94" s="348">
        <v>4</v>
      </c>
      <c r="D94" s="276"/>
      <c r="E94" s="277" t="str">
        <f>IF(ISBLANK(D94),"-",$D$101/$D$98*D94)</f>
        <v>-</v>
      </c>
      <c r="F94" s="349"/>
      <c r="G94" s="278" t="str">
        <f>IF(ISBLANK(F94),"-",$D$101/$F$98*F94)</f>
        <v>-</v>
      </c>
      <c r="I94" s="279"/>
    </row>
    <row r="95" spans="1:12" ht="27" customHeight="1" x14ac:dyDescent="0.4">
      <c r="A95" s="258" t="s">
        <v>69</v>
      </c>
      <c r="B95" s="259">
        <v>1</v>
      </c>
      <c r="C95" s="350" t="s">
        <v>70</v>
      </c>
      <c r="D95" s="351">
        <f>AVERAGE(D91:D94)</f>
        <v>48907815.333333336</v>
      </c>
      <c r="E95" s="282">
        <f>AVERAGE(E91:E94)</f>
        <v>50839995.461652912</v>
      </c>
      <c r="F95" s="352">
        <f>AVERAGE(F91:F94)</f>
        <v>43860451.666666664</v>
      </c>
      <c r="G95" s="353">
        <f>AVERAGE(G91:G94)</f>
        <v>49938528.270693839</v>
      </c>
    </row>
    <row r="96" spans="1:12" ht="26.25" customHeight="1" x14ac:dyDescent="0.4">
      <c r="A96" s="258" t="s">
        <v>71</v>
      </c>
      <c r="B96" s="244">
        <v>1</v>
      </c>
      <c r="C96" s="354" t="s">
        <v>112</v>
      </c>
      <c r="D96" s="355">
        <v>23.1</v>
      </c>
      <c r="E96" s="274"/>
      <c r="F96" s="286">
        <v>21.09</v>
      </c>
    </row>
    <row r="97" spans="1:10" ht="26.25" customHeight="1" x14ac:dyDescent="0.4">
      <c r="A97" s="258" t="s">
        <v>73</v>
      </c>
      <c r="B97" s="244">
        <v>1</v>
      </c>
      <c r="C97" s="356" t="s">
        <v>113</v>
      </c>
      <c r="D97" s="357">
        <f>D96*$B$87</f>
        <v>23.1</v>
      </c>
      <c r="E97" s="289"/>
      <c r="F97" s="288">
        <f>F96*$B$87</f>
        <v>21.09</v>
      </c>
    </row>
    <row r="98" spans="1:10" ht="19.5" customHeight="1" x14ac:dyDescent="0.3">
      <c r="A98" s="258" t="s">
        <v>75</v>
      </c>
      <c r="B98" s="358">
        <f>(B97/B96)*(B95/B94)*(B93/B92)*(B91/B90)*B89</f>
        <v>166.66666666666669</v>
      </c>
      <c r="C98" s="356" t="s">
        <v>114</v>
      </c>
      <c r="D98" s="359">
        <f>D97*$B$83/100</f>
        <v>22.2684</v>
      </c>
      <c r="E98" s="292"/>
      <c r="F98" s="291">
        <f>F97*$B$83/100</f>
        <v>20.330760000000001</v>
      </c>
    </row>
    <row r="99" spans="1:10" ht="19.5" customHeight="1" x14ac:dyDescent="0.3">
      <c r="A99" s="491" t="s">
        <v>77</v>
      </c>
      <c r="B99" s="505"/>
      <c r="C99" s="356" t="s">
        <v>115</v>
      </c>
      <c r="D99" s="360">
        <f>D98/$B$98</f>
        <v>0.13361039999999999</v>
      </c>
      <c r="E99" s="292"/>
      <c r="F99" s="295">
        <f>F98/$B$98</f>
        <v>0.12198455999999999</v>
      </c>
      <c r="G99" s="361"/>
      <c r="H99" s="284"/>
    </row>
    <row r="100" spans="1:10" ht="19.5" customHeight="1" x14ac:dyDescent="0.3">
      <c r="A100" s="493"/>
      <c r="B100" s="506"/>
      <c r="C100" s="356" t="s">
        <v>79</v>
      </c>
      <c r="D100" s="362">
        <f>$B$56/$B$116</f>
        <v>0.1388888888888889</v>
      </c>
      <c r="F100" s="300"/>
      <c r="G100" s="363"/>
      <c r="H100" s="284"/>
    </row>
    <row r="101" spans="1:10" ht="18.75" x14ac:dyDescent="0.3">
      <c r="C101" s="356" t="s">
        <v>80</v>
      </c>
      <c r="D101" s="357">
        <f>D100*$B$98</f>
        <v>23.148148148148152</v>
      </c>
      <c r="F101" s="300"/>
      <c r="G101" s="361"/>
      <c r="H101" s="284"/>
    </row>
    <row r="102" spans="1:10" ht="19.5" customHeight="1" x14ac:dyDescent="0.3">
      <c r="C102" s="364" t="s">
        <v>81</v>
      </c>
      <c r="D102" s="365">
        <f>D101/B34</f>
        <v>23.148148148148152</v>
      </c>
      <c r="F102" s="304"/>
      <c r="G102" s="361"/>
      <c r="H102" s="284"/>
      <c r="J102" s="366"/>
    </row>
    <row r="103" spans="1:10" ht="18.75" x14ac:dyDescent="0.3">
      <c r="C103" s="367" t="s">
        <v>116</v>
      </c>
      <c r="D103" s="368">
        <f>AVERAGE(E91:E94,G91:G94)</f>
        <v>50389261.866173379</v>
      </c>
      <c r="F103" s="304"/>
      <c r="G103" s="369"/>
      <c r="H103" s="284"/>
      <c r="J103" s="370"/>
    </row>
    <row r="104" spans="1:10" ht="18.75" x14ac:dyDescent="0.3">
      <c r="C104" s="334" t="s">
        <v>83</v>
      </c>
      <c r="D104" s="371">
        <f>STDEV(E91:E94,G91:G94)/D103</f>
        <v>1.5819799094798179E-2</v>
      </c>
      <c r="F104" s="304"/>
      <c r="G104" s="361"/>
      <c r="H104" s="284"/>
      <c r="J104" s="370"/>
    </row>
    <row r="105" spans="1:10" ht="19.5" customHeight="1" x14ac:dyDescent="0.3">
      <c r="C105" s="336" t="s">
        <v>19</v>
      </c>
      <c r="D105" s="372">
        <f>COUNT(E91:E94,G91:G94)</f>
        <v>6</v>
      </c>
      <c r="F105" s="304"/>
      <c r="G105" s="361"/>
      <c r="H105" s="284"/>
      <c r="J105" s="370"/>
    </row>
    <row r="106" spans="1:10" ht="19.5" customHeight="1" x14ac:dyDescent="0.3">
      <c r="A106" s="308"/>
      <c r="B106" s="308"/>
      <c r="C106" s="308"/>
      <c r="D106" s="308"/>
      <c r="E106" s="308"/>
    </row>
    <row r="107" spans="1:10" ht="26.25" customHeight="1" x14ac:dyDescent="0.4">
      <c r="A107" s="256" t="s">
        <v>117</v>
      </c>
      <c r="B107" s="257">
        <v>900</v>
      </c>
      <c r="C107" s="373" t="s">
        <v>118</v>
      </c>
      <c r="D107" s="374" t="s">
        <v>62</v>
      </c>
      <c r="E107" s="375" t="s">
        <v>119</v>
      </c>
      <c r="F107" s="376" t="s">
        <v>120</v>
      </c>
    </row>
    <row r="108" spans="1:10" ht="26.25" customHeight="1" x14ac:dyDescent="0.4">
      <c r="A108" s="258" t="s">
        <v>121</v>
      </c>
      <c r="B108" s="259">
        <v>1</v>
      </c>
      <c r="C108" s="377">
        <v>1</v>
      </c>
      <c r="D108" s="378">
        <v>47960817</v>
      </c>
      <c r="E108" s="409">
        <f t="shared" ref="E108:E113" si="1">IF(ISBLANK(D108),"-",D108/$D$103*$D$100*$B$116)</f>
        <v>118.97578775656861</v>
      </c>
      <c r="F108" s="379">
        <f t="shared" ref="F108:F113" si="2">IF(ISBLANK(D108), "-", E108/$B$56)</f>
        <v>0.9518063020525489</v>
      </c>
    </row>
    <row r="109" spans="1:10" ht="26.25" customHeight="1" x14ac:dyDescent="0.4">
      <c r="A109" s="258" t="s">
        <v>94</v>
      </c>
      <c r="B109" s="259">
        <v>1</v>
      </c>
      <c r="C109" s="377">
        <v>2</v>
      </c>
      <c r="D109" s="378">
        <v>47672760</v>
      </c>
      <c r="E109" s="410">
        <f t="shared" si="1"/>
        <v>118.26120842624167</v>
      </c>
      <c r="F109" s="380">
        <f t="shared" si="2"/>
        <v>0.94608966740993328</v>
      </c>
    </row>
    <row r="110" spans="1:10" ht="26.25" customHeight="1" x14ac:dyDescent="0.4">
      <c r="A110" s="258" t="s">
        <v>95</v>
      </c>
      <c r="B110" s="259">
        <v>1</v>
      </c>
      <c r="C110" s="377">
        <v>3</v>
      </c>
      <c r="D110" s="378">
        <v>47549130</v>
      </c>
      <c r="E110" s="410">
        <f t="shared" si="1"/>
        <v>117.95452106017062</v>
      </c>
      <c r="F110" s="380">
        <f t="shared" si="2"/>
        <v>0.943636168481365</v>
      </c>
    </row>
    <row r="111" spans="1:10" ht="26.25" customHeight="1" x14ac:dyDescent="0.4">
      <c r="A111" s="258" t="s">
        <v>96</v>
      </c>
      <c r="B111" s="259">
        <v>1</v>
      </c>
      <c r="C111" s="377">
        <v>4</v>
      </c>
      <c r="D111" s="378"/>
      <c r="E111" s="410"/>
      <c r="F111" s="380"/>
    </row>
    <row r="112" spans="1:10" ht="26.25" customHeight="1" x14ac:dyDescent="0.4">
      <c r="A112" s="258" t="s">
        <v>97</v>
      </c>
      <c r="B112" s="259">
        <v>1</v>
      </c>
      <c r="C112" s="377">
        <v>5</v>
      </c>
      <c r="D112" s="378">
        <v>49626887</v>
      </c>
      <c r="E112" s="410">
        <f t="shared" si="1"/>
        <v>123.10878638141661</v>
      </c>
      <c r="F112" s="380">
        <f t="shared" si="2"/>
        <v>0.98487029105133284</v>
      </c>
    </row>
    <row r="113" spans="1:10" ht="26.25" customHeight="1" x14ac:dyDescent="0.4">
      <c r="A113" s="258" t="s">
        <v>99</v>
      </c>
      <c r="B113" s="259">
        <v>1</v>
      </c>
      <c r="C113" s="381">
        <v>6</v>
      </c>
      <c r="D113" s="382">
        <v>46513025</v>
      </c>
      <c r="E113" s="411">
        <f t="shared" si="1"/>
        <v>115.38426858566586</v>
      </c>
      <c r="F113" s="383">
        <f t="shared" si="2"/>
        <v>0.92307414868532689</v>
      </c>
    </row>
    <row r="114" spans="1:10" ht="26.25" customHeight="1" x14ac:dyDescent="0.4">
      <c r="A114" s="258" t="s">
        <v>100</v>
      </c>
      <c r="B114" s="259">
        <v>1</v>
      </c>
      <c r="C114" s="377"/>
      <c r="D114" s="331"/>
      <c r="E114" s="232"/>
      <c r="F114" s="384"/>
    </row>
    <row r="115" spans="1:10" ht="26.25" customHeight="1" x14ac:dyDescent="0.4">
      <c r="A115" s="258" t="s">
        <v>101</v>
      </c>
      <c r="B115" s="259">
        <v>1</v>
      </c>
      <c r="C115" s="377"/>
      <c r="D115" s="385" t="s">
        <v>70</v>
      </c>
      <c r="E115" s="413">
        <f>AVERAGE(E108:E113)</f>
        <v>118.73691444201268</v>
      </c>
      <c r="F115" s="386">
        <f>AVERAGE(F108:F113)</f>
        <v>0.94989531553610151</v>
      </c>
    </row>
    <row r="116" spans="1:10" ht="27" customHeight="1" x14ac:dyDescent="0.4">
      <c r="A116" s="258" t="s">
        <v>102</v>
      </c>
      <c r="B116" s="290">
        <f>(B115/B114)*(B113/B112)*(B111/B110)*(B109/B108)*B107</f>
        <v>900</v>
      </c>
      <c r="C116" s="387"/>
      <c r="D116" s="350" t="s">
        <v>83</v>
      </c>
      <c r="E116" s="388">
        <f>STDEV(E108:E113)/E115</f>
        <v>2.3539772954943517E-2</v>
      </c>
      <c r="F116" s="388">
        <f>STDEV(F108:F113)/F115</f>
        <v>2.3539772954943514E-2</v>
      </c>
      <c r="I116" s="232"/>
    </row>
    <row r="117" spans="1:10" ht="27" customHeight="1" x14ac:dyDescent="0.4">
      <c r="A117" s="491" t="s">
        <v>77</v>
      </c>
      <c r="B117" s="492"/>
      <c r="C117" s="389"/>
      <c r="D117" s="390" t="s">
        <v>19</v>
      </c>
      <c r="E117" s="391">
        <f>COUNT(E108:E113)</f>
        <v>5</v>
      </c>
      <c r="F117" s="391">
        <f>COUNT(F108:F113)</f>
        <v>5</v>
      </c>
      <c r="I117" s="232"/>
      <c r="J117" s="370"/>
    </row>
    <row r="118" spans="1:10" ht="19.5" customHeight="1" x14ac:dyDescent="0.3">
      <c r="A118" s="493"/>
      <c r="B118" s="494"/>
      <c r="C118" s="232"/>
      <c r="D118" s="232"/>
      <c r="E118" s="232"/>
      <c r="F118" s="331"/>
      <c r="G118" s="232"/>
      <c r="H118" s="232"/>
      <c r="I118" s="232"/>
    </row>
    <row r="119" spans="1:10" ht="18.75" x14ac:dyDescent="0.3">
      <c r="A119" s="400"/>
      <c r="B119" s="254"/>
      <c r="C119" s="232"/>
      <c r="D119" s="232"/>
      <c r="E119" s="232"/>
      <c r="F119" s="331"/>
      <c r="G119" s="232"/>
      <c r="H119" s="232"/>
      <c r="I119" s="232"/>
    </row>
    <row r="120" spans="1:10" ht="26.25" customHeight="1" x14ac:dyDescent="0.4">
      <c r="A120" s="242" t="s">
        <v>105</v>
      </c>
      <c r="B120" s="338" t="s">
        <v>122</v>
      </c>
      <c r="C120" s="503" t="str">
        <f>B20</f>
        <v>Amoxicillin &amp; Clavulanic Acid</v>
      </c>
      <c r="D120" s="503"/>
      <c r="E120" s="339" t="s">
        <v>123</v>
      </c>
      <c r="F120" s="339"/>
      <c r="G120" s="340">
        <f>F115</f>
        <v>0.94989531553610151</v>
      </c>
      <c r="H120" s="232"/>
      <c r="I120" s="232"/>
    </row>
    <row r="121" spans="1:10" ht="19.5" customHeight="1" x14ac:dyDescent="0.3">
      <c r="A121" s="392"/>
      <c r="B121" s="392"/>
      <c r="C121" s="393"/>
      <c r="D121" s="393"/>
      <c r="E121" s="393"/>
      <c r="F121" s="393"/>
      <c r="G121" s="393"/>
      <c r="H121" s="393"/>
    </row>
    <row r="122" spans="1:10" ht="18.75" x14ac:dyDescent="0.3">
      <c r="B122" s="504" t="s">
        <v>25</v>
      </c>
      <c r="C122" s="504"/>
      <c r="E122" s="345" t="s">
        <v>26</v>
      </c>
      <c r="F122" s="394"/>
      <c r="G122" s="504" t="s">
        <v>27</v>
      </c>
      <c r="H122" s="504"/>
    </row>
    <row r="123" spans="1:10" ht="69.95" customHeight="1" x14ac:dyDescent="0.3">
      <c r="A123" s="395" t="s">
        <v>28</v>
      </c>
      <c r="B123" s="396"/>
      <c r="C123" s="396"/>
      <c r="E123" s="396"/>
      <c r="F123" s="232"/>
      <c r="G123" s="397"/>
      <c r="H123" s="397"/>
    </row>
    <row r="124" spans="1:10" ht="69.95" customHeight="1" x14ac:dyDescent="0.3">
      <c r="A124" s="395" t="s">
        <v>29</v>
      </c>
      <c r="B124" s="398"/>
      <c r="C124" s="398"/>
      <c r="E124" s="398"/>
      <c r="F124" s="232"/>
      <c r="G124" s="399"/>
      <c r="H124" s="399"/>
    </row>
    <row r="125" spans="1:10" ht="18.75" x14ac:dyDescent="0.3">
      <c r="A125" s="330"/>
      <c r="B125" s="330"/>
      <c r="C125" s="331"/>
      <c r="D125" s="331"/>
      <c r="E125" s="331"/>
      <c r="F125" s="335"/>
      <c r="G125" s="331"/>
      <c r="H125" s="331"/>
      <c r="I125" s="232"/>
    </row>
    <row r="126" spans="1:10" ht="18.75" x14ac:dyDescent="0.3">
      <c r="A126" s="330"/>
      <c r="B126" s="330"/>
      <c r="C126" s="331"/>
      <c r="D126" s="331"/>
      <c r="E126" s="331"/>
      <c r="F126" s="335"/>
      <c r="G126" s="331"/>
      <c r="H126" s="331"/>
      <c r="I126" s="232"/>
    </row>
    <row r="127" spans="1:10" ht="18.75" x14ac:dyDescent="0.3">
      <c r="A127" s="330"/>
      <c r="B127" s="330"/>
      <c r="C127" s="331"/>
      <c r="D127" s="331"/>
      <c r="E127" s="331"/>
      <c r="F127" s="335"/>
      <c r="G127" s="331"/>
      <c r="H127" s="331"/>
      <c r="I127" s="232"/>
    </row>
    <row r="128" spans="1:10" ht="18.75" x14ac:dyDescent="0.3">
      <c r="A128" s="330"/>
      <c r="B128" s="330"/>
      <c r="C128" s="331"/>
      <c r="D128" s="331"/>
      <c r="E128" s="331"/>
      <c r="F128" s="335"/>
      <c r="G128" s="331"/>
      <c r="H128" s="331"/>
      <c r="I128" s="232"/>
    </row>
    <row r="129" spans="1:9" ht="18.75" x14ac:dyDescent="0.3">
      <c r="A129" s="330"/>
      <c r="B129" s="330"/>
      <c r="C129" s="331"/>
      <c r="D129" s="331"/>
      <c r="E129" s="331"/>
      <c r="F129" s="335"/>
      <c r="G129" s="331"/>
      <c r="H129" s="331"/>
      <c r="I129" s="232"/>
    </row>
    <row r="130" spans="1:9" ht="18.75" x14ac:dyDescent="0.3">
      <c r="A130" s="330"/>
      <c r="B130" s="330"/>
      <c r="C130" s="331"/>
      <c r="D130" s="331"/>
      <c r="E130" s="331"/>
      <c r="F130" s="335"/>
      <c r="G130" s="331"/>
      <c r="H130" s="331"/>
      <c r="I130" s="232"/>
    </row>
    <row r="131" spans="1:9" ht="18.75" x14ac:dyDescent="0.3">
      <c r="A131" s="330"/>
      <c r="B131" s="330"/>
      <c r="C131" s="331"/>
      <c r="D131" s="331"/>
      <c r="E131" s="331"/>
      <c r="F131" s="335"/>
      <c r="G131" s="331"/>
      <c r="H131" s="331"/>
      <c r="I131" s="232"/>
    </row>
    <row r="132" spans="1:9" ht="18.75" x14ac:dyDescent="0.3">
      <c r="A132" s="330"/>
      <c r="B132" s="330"/>
      <c r="C132" s="331"/>
      <c r="D132" s="331"/>
      <c r="E132" s="331"/>
      <c r="F132" s="335"/>
      <c r="G132" s="331"/>
      <c r="H132" s="331"/>
      <c r="I132" s="232"/>
    </row>
    <row r="133" spans="1:9" ht="18.75" x14ac:dyDescent="0.3">
      <c r="A133" s="330"/>
      <c r="B133" s="330"/>
      <c r="C133" s="331"/>
      <c r="D133" s="331"/>
      <c r="E133" s="331"/>
      <c r="F133" s="335"/>
      <c r="G133" s="331"/>
      <c r="H133" s="331"/>
      <c r="I133" s="232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0" priority="1" operator="greaterThan">
      <formula>0.02</formula>
    </cfRule>
  </conditionalFormatting>
  <conditionalFormatting sqref="D51">
    <cfRule type="cellIs" dxfId="9" priority="2" operator="greaterThan">
      <formula>0.02</formula>
    </cfRule>
  </conditionalFormatting>
  <conditionalFormatting sqref="G73">
    <cfRule type="cellIs" dxfId="8" priority="3" operator="greaterThan">
      <formula>0.02</formula>
    </cfRule>
  </conditionalFormatting>
  <conditionalFormatting sqref="H73">
    <cfRule type="cellIs" dxfId="7" priority="4" operator="greaterThan">
      <formula>0.02</formula>
    </cfRule>
  </conditionalFormatting>
  <conditionalFormatting sqref="D104">
    <cfRule type="cellIs" dxfId="6" priority="5" operator="greaterThan">
      <formula>0.02</formula>
    </cfRule>
  </conditionalFormatting>
  <conditionalFormatting sqref="I39">
    <cfRule type="cellIs" dxfId="5" priority="6" operator="lessThanOrEqual">
      <formula>0.02</formula>
    </cfRule>
  </conditionalFormatting>
  <conditionalFormatting sqref="I39">
    <cfRule type="cellIs" dxfId="4" priority="7" operator="greaterThan">
      <formula>0.02</formula>
    </cfRule>
  </conditionalFormatting>
  <conditionalFormatting sqref="I92">
    <cfRule type="cellIs" dxfId="3" priority="8" operator="lessThanOrEqual">
      <formula>0.02</formula>
    </cfRule>
  </conditionalFormatting>
  <conditionalFormatting sqref="I92">
    <cfRule type="cellIs" dxfId="2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SST (ASSAY) (2)</vt:lpstr>
      <vt:lpstr>SST (DISS) (2)</vt:lpstr>
      <vt:lpstr>Uniformity</vt:lpstr>
      <vt:lpstr>amoxicillin Trihydrate</vt:lpstr>
      <vt:lpstr>Clavulanic acid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User</cp:lastModifiedBy>
  <cp:lastPrinted>2016-02-08T13:53:15Z</cp:lastPrinted>
  <dcterms:created xsi:type="dcterms:W3CDTF">2005-07-05T10:19:27Z</dcterms:created>
  <dcterms:modified xsi:type="dcterms:W3CDTF">2016-02-26T15:29:38Z</dcterms:modified>
  <cp:category/>
</cp:coreProperties>
</file>