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(CLAVULANATE)" sheetId="7" r:id="rId1"/>
    <sheet name="Uniformity" sheetId="2" r:id="rId2"/>
    <sheet name="amoxicillin Trihydrate" sheetId="3" r:id="rId3"/>
    <sheet name="Clavulanic acid" sheetId="4" r:id="rId4"/>
    <sheet name="amoxicillin Trihydrate (2)" sheetId="5" r:id="rId5"/>
    <sheet name="Clavulanic acid (2)" sheetId="6" r:id="rId6"/>
  </sheets>
  <definedNames>
    <definedName name="_xlnm.Print_Area" localSheetId="1">Uniformity!$A$1:$O$54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F115" i="3" l="1"/>
  <c r="G120" i="4"/>
  <c r="F115" i="4"/>
  <c r="C120" i="6" l="1"/>
  <c r="B116" i="6"/>
  <c r="D101" i="6"/>
  <c r="D102" i="6" s="1"/>
  <c r="D100" i="6"/>
  <c r="B98" i="6"/>
  <c r="F97" i="6"/>
  <c r="D97" i="6"/>
  <c r="F95" i="6"/>
  <c r="D95" i="6"/>
  <c r="I92" i="6" s="1"/>
  <c r="B87" i="6"/>
  <c r="B81" i="6"/>
  <c r="B83" i="6" s="1"/>
  <c r="F98" i="6" s="1"/>
  <c r="B80" i="6"/>
  <c r="B79" i="6"/>
  <c r="C76" i="6"/>
  <c r="H71" i="6"/>
  <c r="G71" i="6"/>
  <c r="B68" i="6"/>
  <c r="B69" i="6" s="1"/>
  <c r="H67" i="6"/>
  <c r="G67" i="6"/>
  <c r="H63" i="6"/>
  <c r="G63" i="6"/>
  <c r="B57" i="6"/>
  <c r="C56" i="6"/>
  <c r="B55" i="6"/>
  <c r="D48" i="6"/>
  <c r="D49" i="6" s="1"/>
  <c r="B45" i="6"/>
  <c r="F42" i="6"/>
  <c r="D42" i="6"/>
  <c r="G41" i="6"/>
  <c r="E41" i="6"/>
  <c r="I39" i="6"/>
  <c r="B34" i="6"/>
  <c r="F44" i="6" s="1"/>
  <c r="F45" i="6" s="1"/>
  <c r="F46" i="6" s="1"/>
  <c r="B30" i="6"/>
  <c r="C120" i="5"/>
  <c r="B116" i="5"/>
  <c r="D100" i="5"/>
  <c r="D101" i="5" s="1"/>
  <c r="B98" i="5"/>
  <c r="F95" i="5"/>
  <c r="D95" i="5"/>
  <c r="I92" i="5" s="1"/>
  <c r="B87" i="5"/>
  <c r="F97" i="5" s="1"/>
  <c r="B81" i="5"/>
  <c r="B83" i="5" s="1"/>
  <c r="B80" i="5"/>
  <c r="B79" i="5"/>
  <c r="C76" i="5"/>
  <c r="H71" i="5"/>
  <c r="G71" i="5"/>
  <c r="B68" i="5"/>
  <c r="H67" i="5"/>
  <c r="G67" i="5"/>
  <c r="H63" i="5"/>
  <c r="G63" i="5"/>
  <c r="B57" i="5"/>
  <c r="B69" i="5" s="1"/>
  <c r="C56" i="5"/>
  <c r="B55" i="5"/>
  <c r="B45" i="5"/>
  <c r="D48" i="5" s="1"/>
  <c r="F42" i="5"/>
  <c r="I39" i="5" s="1"/>
  <c r="D42" i="5"/>
  <c r="G38" i="5"/>
  <c r="B34" i="5"/>
  <c r="D44" i="5" s="1"/>
  <c r="D45" i="5" s="1"/>
  <c r="D46" i="5" s="1"/>
  <c r="B30" i="5"/>
  <c r="G91" i="6" l="1"/>
  <c r="F99" i="6"/>
  <c r="D98" i="6"/>
  <c r="G38" i="6"/>
  <c r="D44" i="6"/>
  <c r="D45" i="6" s="1"/>
  <c r="E92" i="6"/>
  <c r="G93" i="6"/>
  <c r="G40" i="6"/>
  <c r="G92" i="6"/>
  <c r="G39" i="6"/>
  <c r="G94" i="6"/>
  <c r="D49" i="5"/>
  <c r="E40" i="5"/>
  <c r="E38" i="5"/>
  <c r="E41" i="5"/>
  <c r="E39" i="5"/>
  <c r="D102" i="5"/>
  <c r="E92" i="5"/>
  <c r="E93" i="5"/>
  <c r="G94" i="5"/>
  <c r="F98" i="5"/>
  <c r="F99" i="5" s="1"/>
  <c r="F44" i="5"/>
  <c r="F45" i="5" s="1"/>
  <c r="F46" i="5" s="1"/>
  <c r="D97" i="5"/>
  <c r="D98" i="5" s="1"/>
  <c r="D99" i="5" s="1"/>
  <c r="D99" i="6" l="1"/>
  <c r="E93" i="6"/>
  <c r="E91" i="6"/>
  <c r="E38" i="6"/>
  <c r="D46" i="6"/>
  <c r="E39" i="6"/>
  <c r="E40" i="6"/>
  <c r="G95" i="6"/>
  <c r="E94" i="6"/>
  <c r="G42" i="6"/>
  <c r="G40" i="5"/>
  <c r="G41" i="5"/>
  <c r="G91" i="5"/>
  <c r="G95" i="5" s="1"/>
  <c r="G93" i="5"/>
  <c r="G92" i="5"/>
  <c r="G39" i="5"/>
  <c r="G42" i="5" s="1"/>
  <c r="E94" i="5"/>
  <c r="E91" i="5"/>
  <c r="E42" i="5"/>
  <c r="D50" i="5"/>
  <c r="D105" i="6" l="1"/>
  <c r="D103" i="6"/>
  <c r="E95" i="6"/>
  <c r="D50" i="6"/>
  <c r="E42" i="6"/>
  <c r="D52" i="6"/>
  <c r="G68" i="5"/>
  <c r="H68" i="5" s="1"/>
  <c r="G69" i="5"/>
  <c r="H69" i="5" s="1"/>
  <c r="G62" i="5"/>
  <c r="H62" i="5" s="1"/>
  <c r="G66" i="5"/>
  <c r="H66" i="5" s="1"/>
  <c r="G64" i="5"/>
  <c r="H64" i="5" s="1"/>
  <c r="G60" i="5"/>
  <c r="D51" i="5"/>
  <c r="G70" i="5"/>
  <c r="H70" i="5" s="1"/>
  <c r="G65" i="5"/>
  <c r="H65" i="5" s="1"/>
  <c r="G61" i="5"/>
  <c r="H61" i="5" s="1"/>
  <c r="D52" i="5"/>
  <c r="E95" i="5"/>
  <c r="D105" i="5"/>
  <c r="D103" i="5"/>
  <c r="E113" i="6" l="1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G60" i="6"/>
  <c r="D51" i="6"/>
  <c r="G70" i="6"/>
  <c r="H70" i="6" s="1"/>
  <c r="G65" i="6"/>
  <c r="H65" i="6" s="1"/>
  <c r="G61" i="6"/>
  <c r="H61" i="6" s="1"/>
  <c r="G68" i="6"/>
  <c r="H68" i="6" s="1"/>
  <c r="G69" i="6"/>
  <c r="H69" i="6" s="1"/>
  <c r="G66" i="6"/>
  <c r="H66" i="6" s="1"/>
  <c r="G64" i="6"/>
  <c r="H64" i="6" s="1"/>
  <c r="G62" i="6"/>
  <c r="H62" i="6" s="1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H60" i="5"/>
  <c r="G74" i="5"/>
  <c r="G72" i="5"/>
  <c r="G73" i="5" s="1"/>
  <c r="E115" i="6" l="1"/>
  <c r="E116" i="6" s="1"/>
  <c r="E117" i="6"/>
  <c r="F108" i="6"/>
  <c r="G74" i="6"/>
  <c r="G72" i="6"/>
  <c r="G73" i="6" s="1"/>
  <c r="H60" i="6"/>
  <c r="E115" i="5"/>
  <c r="E116" i="5" s="1"/>
  <c r="E117" i="5"/>
  <c r="F108" i="5"/>
  <c r="H72" i="5"/>
  <c r="H74" i="5"/>
  <c r="H74" i="6" l="1"/>
  <c r="H72" i="6"/>
  <c r="F117" i="6"/>
  <c r="F115" i="6"/>
  <c r="F117" i="5"/>
  <c r="F115" i="5"/>
  <c r="G76" i="5"/>
  <c r="H73" i="5"/>
  <c r="H73" i="6" l="1"/>
  <c r="G76" i="6"/>
  <c r="G120" i="6"/>
  <c r="F116" i="6"/>
  <c r="G120" i="5"/>
  <c r="F116" i="5"/>
  <c r="B69" i="3" l="1"/>
  <c r="B69" i="4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92" i="3" l="1"/>
  <c r="I92" i="4"/>
  <c r="D101" i="4"/>
  <c r="D102" i="4" s="1"/>
  <c r="D101" i="3"/>
  <c r="D102" i="3" s="1"/>
  <c r="D45" i="4"/>
  <c r="D46" i="4" s="1"/>
  <c r="F98" i="4"/>
  <c r="F99" i="4" s="1"/>
  <c r="I39" i="4"/>
  <c r="I39" i="3"/>
  <c r="D45" i="3"/>
  <c r="D46" i="3" s="1"/>
  <c r="F98" i="3"/>
  <c r="F99" i="3" s="1"/>
  <c r="D49" i="3"/>
  <c r="E41" i="3"/>
  <c r="D49" i="4"/>
  <c r="E38" i="4"/>
  <c r="E41" i="4"/>
  <c r="F44" i="3"/>
  <c r="F45" i="3" s="1"/>
  <c r="F46" i="3" s="1"/>
  <c r="F44" i="4"/>
  <c r="F45" i="4" s="1"/>
  <c r="F46" i="4" s="1"/>
  <c r="B57" i="4"/>
  <c r="D97" i="3"/>
  <c r="D98" i="3" s="1"/>
  <c r="D99" i="3" s="1"/>
  <c r="D97" i="4"/>
  <c r="D98" i="4" s="1"/>
  <c r="D99" i="4" s="1"/>
  <c r="E39" i="3" l="1"/>
  <c r="G92" i="4"/>
  <c r="E94" i="3"/>
  <c r="E91" i="3"/>
  <c r="E93" i="3"/>
  <c r="E92" i="3"/>
  <c r="G94" i="4"/>
  <c r="E40" i="4"/>
  <c r="G91" i="4"/>
  <c r="E39" i="4"/>
  <c r="G93" i="4"/>
  <c r="E38" i="3"/>
  <c r="G94" i="3"/>
  <c r="G93" i="3"/>
  <c r="G38" i="3"/>
  <c r="G92" i="3"/>
  <c r="G91" i="3"/>
  <c r="G39" i="3"/>
  <c r="E40" i="3"/>
  <c r="G40" i="4"/>
  <c r="G41" i="4"/>
  <c r="G39" i="4"/>
  <c r="G38" i="4"/>
  <c r="E94" i="4"/>
  <c r="E93" i="4"/>
  <c r="E91" i="4"/>
  <c r="E92" i="4"/>
  <c r="G40" i="3"/>
  <c r="G41" i="3"/>
  <c r="G95" i="4" l="1"/>
  <c r="E95" i="4"/>
  <c r="D103" i="3"/>
  <c r="E110" i="3" s="1"/>
  <c r="F110" i="3" s="1"/>
  <c r="E95" i="3"/>
  <c r="D50" i="4"/>
  <c r="G68" i="4" s="1"/>
  <c r="H68" i="4" s="1"/>
  <c r="E42" i="4"/>
  <c r="G42" i="4"/>
  <c r="D52" i="4"/>
  <c r="E42" i="3"/>
  <c r="D50" i="3"/>
  <c r="G42" i="3"/>
  <c r="D52" i="3"/>
  <c r="G95" i="3"/>
  <c r="D105" i="3"/>
  <c r="G71" i="4"/>
  <c r="H71" i="4" s="1"/>
  <c r="G67" i="4"/>
  <c r="H67" i="4" s="1"/>
  <c r="G65" i="4"/>
  <c r="H65" i="4" s="1"/>
  <c r="G63" i="4"/>
  <c r="H63" i="4" s="1"/>
  <c r="D105" i="4"/>
  <c r="D103" i="4"/>
  <c r="G71" i="3"/>
  <c r="H71" i="3" s="1"/>
  <c r="G68" i="3" l="1"/>
  <c r="H68" i="3" s="1"/>
  <c r="D51" i="3"/>
  <c r="G66" i="4"/>
  <c r="H66" i="4" s="1"/>
  <c r="G69" i="4"/>
  <c r="H69" i="4" s="1"/>
  <c r="G61" i="4"/>
  <c r="H61" i="4" s="1"/>
  <c r="G70" i="4"/>
  <c r="H70" i="4" s="1"/>
  <c r="G60" i="4"/>
  <c r="H60" i="4" s="1"/>
  <c r="D51" i="4"/>
  <c r="G62" i="4"/>
  <c r="H62" i="4" s="1"/>
  <c r="G64" i="4"/>
  <c r="H64" i="4" s="1"/>
  <c r="G66" i="3"/>
  <c r="H66" i="3" s="1"/>
  <c r="G70" i="3"/>
  <c r="H70" i="3" s="1"/>
  <c r="E112" i="3"/>
  <c r="F112" i="3" s="1"/>
  <c r="E111" i="3"/>
  <c r="F111" i="3" s="1"/>
  <c r="D104" i="3"/>
  <c r="E108" i="3"/>
  <c r="E113" i="3"/>
  <c r="F113" i="3" s="1"/>
  <c r="E109" i="3"/>
  <c r="F109" i="3" s="1"/>
  <c r="G60" i="3"/>
  <c r="H60" i="3" s="1"/>
  <c r="G61" i="3"/>
  <c r="H61" i="3" s="1"/>
  <c r="G62" i="3"/>
  <c r="H62" i="3" s="1"/>
  <c r="G65" i="3"/>
  <c r="H65" i="3" s="1"/>
  <c r="G69" i="3"/>
  <c r="H69" i="3" s="1"/>
  <c r="G67" i="3"/>
  <c r="H67" i="3" s="1"/>
  <c r="G64" i="3"/>
  <c r="H64" i="3" s="1"/>
  <c r="G63" i="3"/>
  <c r="H63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4" i="4" l="1"/>
  <c r="G72" i="4"/>
  <c r="G73" i="4" s="1"/>
  <c r="E115" i="3"/>
  <c r="E116" i="3" s="1"/>
  <c r="F108" i="3"/>
  <c r="E117" i="3"/>
  <c r="G72" i="3"/>
  <c r="G73" i="3" s="1"/>
  <c r="G74" i="3"/>
  <c r="H74" i="4"/>
  <c r="H72" i="4"/>
  <c r="G76" i="4" s="1"/>
  <c r="E115" i="4"/>
  <c r="E116" i="4" s="1"/>
  <c r="E117" i="4"/>
  <c r="F108" i="4"/>
  <c r="H74" i="3"/>
  <c r="H72" i="3"/>
  <c r="G76" i="3" s="1"/>
  <c r="G120" i="3" l="1"/>
  <c r="F117" i="3"/>
  <c r="H73" i="4"/>
  <c r="H73" i="3"/>
  <c r="F117" i="4"/>
  <c r="F116" i="3"/>
  <c r="F116" i="4" l="1"/>
</calcChain>
</file>

<file path=xl/sharedStrings.xml><?xml version="1.0" encoding="utf-8"?>
<sst xmlns="http://schemas.openxmlformats.org/spreadsheetml/2006/main" count="715" uniqueCount="129">
  <si>
    <t>HPLC System Suitability Report</t>
  </si>
  <si>
    <t>Analysis Data</t>
  </si>
  <si>
    <t>Sample(s)</t>
  </si>
  <si>
    <t>Reference Substance:</t>
  </si>
  <si>
    <t>CLAXY 625</t>
  </si>
  <si>
    <t>% age Purity:</t>
  </si>
  <si>
    <t>NDQA201509356</t>
  </si>
  <si>
    <t>Weight (mg):</t>
  </si>
  <si>
    <t>Amoxicillin &amp; Clavulanic Acid</t>
  </si>
  <si>
    <t>Standard Conc (mg/mL):</t>
  </si>
  <si>
    <t>Each film coate tablet contains: Amoxicillin Trihydrate USP Eq. to Amoxicillin 500mg
Diluted Potassium Clavulanate BP Eq. to Clavulanic acid 125mg</t>
  </si>
  <si>
    <t>2015-10-02 07:51:28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</si>
  <si>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</si>
  <si>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</si>
  <si>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</si>
  <si>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</si>
  <si>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</si>
  <si>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</si>
  <si>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</si>
  <si>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</si>
  <si>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</si>
  <si>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</si>
  <si>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</si>
  <si>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</si>
  <si>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</si>
  <si>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</si>
  <si>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</si>
  <si>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</si>
  <si>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</si>
  <si>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</si>
  <si>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</si>
  <si>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</si>
  <si>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</si>
  <si>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</si>
  <si>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</si>
  <si>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</si>
  <si>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</si>
  <si>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</si>
  <si>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</si>
  <si>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</si>
  <si>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</si>
  <si>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</si>
  <si>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</si>
  <si>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</si>
  <si>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</si>
  <si>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</si>
  <si>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</si>
  <si>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</si>
  <si>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</si>
  <si>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</si>
  <si>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</si>
  <si>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</si>
  <si>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</si>
  <si>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</si>
  <si>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</si>
  <si>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</si>
  <si>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</si>
  <si>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</si>
  <si>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</si>
  <si>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</si>
  <si>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</si>
  <si>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</si>
  <si>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</si>
  <si>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</si>
  <si>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</si>
  <si>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</si>
  <si>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</si>
  <si>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</si>
  <si>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</si>
  <si>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</si>
  <si>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</si>
  <si>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</si>
  <si>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</si>
  <si>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</si>
  <si>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</si>
  <si>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</si>
  <si>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</si>
  <si>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</si>
  <si>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</si>
  <si>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</si>
  <si>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</si>
  <si>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</si>
  <si>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</si>
  <si>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</si>
  <si>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</si>
  <si>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</si>
  <si>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</si>
  <si>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</si>
  <si>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</si>
  <si>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</si>
  <si>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</si>
  <si>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</si>
  <si>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</si>
  <si>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</si>
  <si>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</si>
  <si>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</si>
  <si>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</si>
  <si>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</si>
  <si>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</si>
  <si>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</si>
  <si>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</si>
  <si>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</si>
  <si>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</si>
  <si>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</si>
  <si>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</si>
  <si>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</si>
  <si>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</si>
  <si>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</si>
  <si>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</si>
  <si>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</si>
  <si>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</si>
  <si>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</si>
  <si>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</si>
  <si>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</si>
  <si>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</si>
  <si>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</si>
  <si>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</si>
  <si>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</si>
  <si>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</si>
  <si>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</si>
  <si>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</si>
  <si>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</si>
  <si>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</si>
  <si>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</si>
  <si>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Clavulanic acid</t>
  </si>
  <si>
    <t>RUN 2</t>
  </si>
  <si>
    <t>ASSAY CLAVULANIC LITHIUM</t>
  </si>
  <si>
    <t>CLAVULANIC LITHIUM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</si>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</sst>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1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1" fontId="13" fillId="3" borderId="34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5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26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7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7" fillId="2" borderId="0" xfId="1" applyFont="1" applyFill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4" workbookViewId="0">
      <selection activeCell="D37" sqref="D37"/>
    </sheetView>
  </sheetViews>
  <sheetFormatPr defaultRowHeight="13.5" x14ac:dyDescent="0.25"/>
  <cols>
    <col min="1" max="1" width="27.5703125" style="472" customWidth="1"/>
    <col min="2" max="2" width="20.42578125" style="472" customWidth="1"/>
    <col min="3" max="3" width="31.85546875" style="472" customWidth="1"/>
    <col min="4" max="4" width="25.85546875" style="472" customWidth="1"/>
    <col min="5" max="5" width="25.7109375" style="472" customWidth="1"/>
    <col min="6" max="6" width="23.140625" style="472" customWidth="1"/>
    <col min="7" max="7" width="28.42578125" style="472" customWidth="1"/>
    <col min="8" max="8" width="21.5703125" style="472" customWidth="1"/>
    <col min="9" max="9" width="9.140625" style="472" customWidth="1"/>
    <col min="10" max="16384" width="9.140625" style="511"/>
  </cols>
  <sheetData>
    <row r="14" spans="1:6" ht="15" customHeight="1" x14ac:dyDescent="0.3">
      <c r="A14" s="471"/>
      <c r="C14" s="473"/>
      <c r="F14" s="47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475" t="s">
        <v>1</v>
      </c>
      <c r="B16" s="476" t="s">
        <v>126</v>
      </c>
    </row>
    <row r="17" spans="1:5" ht="16.5" customHeight="1" x14ac:dyDescent="0.3">
      <c r="A17" s="477" t="s">
        <v>2</v>
      </c>
      <c r="B17" s="477" t="s">
        <v>4</v>
      </c>
      <c r="D17" s="478"/>
      <c r="E17" s="479"/>
    </row>
    <row r="18" spans="1:5" ht="16.5" customHeight="1" x14ac:dyDescent="0.3">
      <c r="A18" s="480" t="s">
        <v>3</v>
      </c>
      <c r="B18" s="481" t="s">
        <v>127</v>
      </c>
      <c r="C18" s="479"/>
      <c r="D18" s="479"/>
      <c r="E18" s="479"/>
    </row>
    <row r="19" spans="1:5" ht="16.5" customHeight="1" x14ac:dyDescent="0.3">
      <c r="A19" s="480" t="s">
        <v>5</v>
      </c>
      <c r="B19" s="482">
        <v>86.6</v>
      </c>
      <c r="C19" s="479"/>
      <c r="D19" s="479"/>
      <c r="E19" s="479"/>
    </row>
    <row r="20" spans="1:5" ht="16.5" customHeight="1" x14ac:dyDescent="0.3">
      <c r="A20" s="477" t="s">
        <v>7</v>
      </c>
      <c r="B20" s="482">
        <v>23.96</v>
      </c>
      <c r="C20" s="479"/>
      <c r="D20" s="479"/>
      <c r="E20" s="479"/>
    </row>
    <row r="21" spans="1:5" ht="16.5" customHeight="1" x14ac:dyDescent="0.3">
      <c r="A21" s="477" t="s">
        <v>9</v>
      </c>
      <c r="B21" s="483">
        <v>0.5</v>
      </c>
      <c r="C21" s="479"/>
      <c r="D21" s="479"/>
      <c r="E21" s="479"/>
    </row>
    <row r="22" spans="1:5" ht="15.75" customHeight="1" x14ac:dyDescent="0.25">
      <c r="A22" s="479"/>
      <c r="B22" s="479"/>
      <c r="C22" s="479"/>
      <c r="D22" s="479"/>
      <c r="E22" s="479"/>
    </row>
    <row r="23" spans="1:5" ht="16.5" customHeight="1" x14ac:dyDescent="0.3">
      <c r="A23" s="484" t="s">
        <v>12</v>
      </c>
      <c r="B23" s="485" t="s">
        <v>13</v>
      </c>
      <c r="C23" s="484" t="s">
        <v>14</v>
      </c>
      <c r="D23" s="484" t="s">
        <v>15</v>
      </c>
      <c r="E23" s="484" t="s">
        <v>16</v>
      </c>
    </row>
    <row r="24" spans="1:5" ht="16.5" customHeight="1" x14ac:dyDescent="0.3">
      <c r="A24" s="486">
        <v>1</v>
      </c>
      <c r="B24" s="487">
        <v>18797798</v>
      </c>
      <c r="C24" s="487">
        <v>6752.95</v>
      </c>
      <c r="D24" s="488">
        <v>1.1000000000000001</v>
      </c>
      <c r="E24" s="489">
        <v>3.93</v>
      </c>
    </row>
    <row r="25" spans="1:5" ht="16.5" customHeight="1" x14ac:dyDescent="0.3">
      <c r="A25" s="486">
        <v>2</v>
      </c>
      <c r="B25" s="487">
        <v>18847483</v>
      </c>
      <c r="C25" s="487">
        <v>7492.35</v>
      </c>
      <c r="D25" s="488">
        <v>1.1200000000000001</v>
      </c>
      <c r="E25" s="488">
        <v>3.93</v>
      </c>
    </row>
    <row r="26" spans="1:5" ht="16.5" customHeight="1" x14ac:dyDescent="0.3">
      <c r="A26" s="486">
        <v>3</v>
      </c>
      <c r="B26" s="487">
        <v>18870478</v>
      </c>
      <c r="C26" s="487">
        <v>7165.69</v>
      </c>
      <c r="D26" s="488">
        <v>1.1100000000000001</v>
      </c>
      <c r="E26" s="488">
        <v>3.93</v>
      </c>
    </row>
    <row r="27" spans="1:5" ht="16.5" customHeight="1" x14ac:dyDescent="0.3">
      <c r="A27" s="486">
        <v>4</v>
      </c>
      <c r="B27" s="487">
        <v>18731309</v>
      </c>
      <c r="C27" s="487">
        <v>7168.71</v>
      </c>
      <c r="D27" s="488">
        <v>1.1000000000000001</v>
      </c>
      <c r="E27" s="488">
        <v>3.93</v>
      </c>
    </row>
    <row r="28" spans="1:5" ht="16.5" customHeight="1" x14ac:dyDescent="0.3">
      <c r="A28" s="486">
        <v>5</v>
      </c>
      <c r="B28" s="487">
        <v>18877543</v>
      </c>
      <c r="C28" s="487">
        <v>7384.84</v>
      </c>
      <c r="D28" s="488">
        <v>1.1299999999999999</v>
      </c>
      <c r="E28" s="488">
        <v>3.92</v>
      </c>
    </row>
    <row r="29" spans="1:5" ht="16.5" customHeight="1" x14ac:dyDescent="0.3">
      <c r="A29" s="486">
        <v>6</v>
      </c>
      <c r="B29" s="490">
        <v>18854279</v>
      </c>
      <c r="C29" s="490">
        <v>7408.73</v>
      </c>
      <c r="D29" s="491">
        <v>1.1100000000000001</v>
      </c>
      <c r="E29" s="491">
        <v>3.92</v>
      </c>
    </row>
    <row r="30" spans="1:5" ht="16.5" customHeight="1" x14ac:dyDescent="0.3">
      <c r="A30" s="492" t="s">
        <v>17</v>
      </c>
      <c r="B30" s="493">
        <f>AVERAGE(B24:B29)</f>
        <v>18829815</v>
      </c>
      <c r="C30" s="494">
        <f>AVERAGE(C24:C29)</f>
        <v>7228.8783333333313</v>
      </c>
      <c r="D30" s="495">
        <f>AVERAGE(D24:D29)</f>
        <v>1.1116666666666666</v>
      </c>
      <c r="E30" s="495">
        <f>AVERAGE(E24:E29)</f>
        <v>3.9266666666666672</v>
      </c>
    </row>
    <row r="31" spans="1:5" ht="16.5" customHeight="1" x14ac:dyDescent="0.3">
      <c r="A31" s="496" t="s">
        <v>18</v>
      </c>
      <c r="B31" s="497">
        <f>(STDEV(B24:B29)/B30)</f>
        <v>2.9636145743629897E-3</v>
      </c>
      <c r="C31" s="498"/>
      <c r="D31" s="498"/>
      <c r="E31" s="499"/>
    </row>
    <row r="32" spans="1:5" s="472" customFormat="1" ht="16.5" customHeight="1" x14ac:dyDescent="0.3">
      <c r="A32" s="500" t="s">
        <v>19</v>
      </c>
      <c r="B32" s="501">
        <f>COUNT(B24:B29)</f>
        <v>6</v>
      </c>
      <c r="C32" s="502"/>
      <c r="D32" s="503"/>
      <c r="E32" s="504"/>
    </row>
    <row r="33" spans="1:5" s="472" customFormat="1" ht="15.75" customHeight="1" x14ac:dyDescent="0.25">
      <c r="A33" s="479"/>
      <c r="B33" s="479"/>
      <c r="C33" s="479"/>
      <c r="D33" s="479"/>
      <c r="E33" s="479"/>
    </row>
    <row r="34" spans="1:5" s="472" customFormat="1" ht="16.5" customHeight="1" x14ac:dyDescent="0.3">
      <c r="A34" s="480" t="s">
        <v>20</v>
      </c>
      <c r="B34" s="505" t="s">
        <v>21</v>
      </c>
      <c r="C34" s="506"/>
      <c r="D34" s="506"/>
      <c r="E34" s="506"/>
    </row>
    <row r="35" spans="1:5" ht="16.5" customHeight="1" x14ac:dyDescent="0.3">
      <c r="A35" s="480"/>
      <c r="B35" s="505" t="s">
        <v>22</v>
      </c>
      <c r="C35" s="506"/>
      <c r="D35" s="506"/>
      <c r="E35" s="506"/>
    </row>
    <row r="36" spans="1:5" ht="16.5" customHeight="1" x14ac:dyDescent="0.3">
      <c r="A36" s="480"/>
      <c r="B36" s="505" t="s">
        <v>23</v>
      </c>
      <c r="C36" s="506"/>
      <c r="D36" s="506"/>
      <c r="E36" s="506"/>
    </row>
    <row r="37" spans="1:5" ht="15.75" customHeight="1" x14ac:dyDescent="0.3">
      <c r="A37" s="479"/>
      <c r="B37" s="507" t="s">
        <v>127</v>
      </c>
      <c r="C37" s="479"/>
      <c r="D37" s="479"/>
      <c r="E37" s="479"/>
    </row>
    <row r="38" spans="1:5" ht="16.5" customHeight="1" x14ac:dyDescent="0.3">
      <c r="A38" s="475" t="s">
        <v>1</v>
      </c>
      <c r="B38" s="476" t="s">
        <v>128</v>
      </c>
    </row>
    <row r="39" spans="1:5" ht="16.5" customHeight="1" x14ac:dyDescent="0.3">
      <c r="A39" s="480" t="s">
        <v>3</v>
      </c>
      <c r="B39" s="477" t="s">
        <v>127</v>
      </c>
      <c r="C39" s="479"/>
      <c r="D39" s="479"/>
      <c r="E39" s="479"/>
    </row>
    <row r="40" spans="1:5" ht="16.5" customHeight="1" x14ac:dyDescent="0.3">
      <c r="A40" s="480" t="s">
        <v>5</v>
      </c>
      <c r="B40" s="482">
        <v>96.4</v>
      </c>
      <c r="C40" s="479"/>
      <c r="D40" s="479"/>
      <c r="E40" s="479"/>
    </row>
    <row r="41" spans="1:5" ht="16.5" customHeight="1" x14ac:dyDescent="0.3">
      <c r="A41" s="477" t="s">
        <v>7</v>
      </c>
      <c r="B41" s="482">
        <v>23.1</v>
      </c>
      <c r="C41" s="479"/>
      <c r="D41" s="479"/>
      <c r="E41" s="479"/>
    </row>
    <row r="42" spans="1:5" ht="16.5" customHeight="1" x14ac:dyDescent="0.3">
      <c r="A42" s="477" t="s">
        <v>9</v>
      </c>
      <c r="B42" s="483">
        <v>0.125</v>
      </c>
      <c r="C42" s="479"/>
      <c r="D42" s="479"/>
      <c r="E42" s="479"/>
    </row>
    <row r="43" spans="1:5" ht="15.75" customHeight="1" x14ac:dyDescent="0.25">
      <c r="A43" s="479"/>
      <c r="B43" s="479"/>
      <c r="C43" s="479"/>
      <c r="D43" s="479"/>
      <c r="E43" s="479"/>
    </row>
    <row r="44" spans="1:5" ht="16.5" customHeight="1" x14ac:dyDescent="0.3">
      <c r="A44" s="484" t="s">
        <v>12</v>
      </c>
      <c r="B44" s="485" t="s">
        <v>13</v>
      </c>
      <c r="C44" s="484" t="s">
        <v>14</v>
      </c>
      <c r="D44" s="484" t="s">
        <v>15</v>
      </c>
      <c r="E44" s="484" t="s">
        <v>16</v>
      </c>
    </row>
    <row r="45" spans="1:5" ht="16.5" customHeight="1" x14ac:dyDescent="0.3">
      <c r="A45" s="486">
        <v>1</v>
      </c>
      <c r="B45" s="487">
        <v>113104485</v>
      </c>
      <c r="C45" s="487">
        <v>7135.2</v>
      </c>
      <c r="D45" s="488">
        <v>1</v>
      </c>
      <c r="E45" s="489">
        <v>7.8</v>
      </c>
    </row>
    <row r="46" spans="1:5" ht="16.5" customHeight="1" x14ac:dyDescent="0.3">
      <c r="A46" s="486">
        <v>2</v>
      </c>
      <c r="B46" s="487">
        <v>112525467</v>
      </c>
      <c r="C46" s="487">
        <v>7010.6</v>
      </c>
      <c r="D46" s="488">
        <v>1</v>
      </c>
      <c r="E46" s="488">
        <v>7.6</v>
      </c>
    </row>
    <row r="47" spans="1:5" ht="16.5" customHeight="1" x14ac:dyDescent="0.3">
      <c r="A47" s="486">
        <v>3</v>
      </c>
      <c r="B47" s="487">
        <v>108739959</v>
      </c>
      <c r="C47" s="487">
        <v>7012.2</v>
      </c>
      <c r="D47" s="488">
        <v>1</v>
      </c>
      <c r="E47" s="488">
        <v>7.6</v>
      </c>
    </row>
    <row r="48" spans="1:5" ht="16.5" customHeight="1" x14ac:dyDescent="0.3">
      <c r="A48" s="486">
        <v>4</v>
      </c>
      <c r="B48" s="487">
        <v>110031634</v>
      </c>
      <c r="C48" s="487">
        <v>5874.6</v>
      </c>
      <c r="D48" s="488">
        <v>1</v>
      </c>
      <c r="E48" s="488">
        <v>7.5</v>
      </c>
    </row>
    <row r="49" spans="1:7" ht="16.5" customHeight="1" x14ac:dyDescent="0.3">
      <c r="A49" s="486">
        <v>5</v>
      </c>
      <c r="B49" s="487">
        <v>109871362</v>
      </c>
      <c r="C49" s="487">
        <v>6808</v>
      </c>
      <c r="D49" s="488">
        <v>1</v>
      </c>
      <c r="E49" s="488">
        <v>7.4</v>
      </c>
    </row>
    <row r="50" spans="1:7" ht="16.5" customHeight="1" x14ac:dyDescent="0.3">
      <c r="A50" s="486">
        <v>6</v>
      </c>
      <c r="B50" s="490"/>
      <c r="C50" s="490"/>
      <c r="D50" s="491"/>
      <c r="E50" s="491"/>
    </row>
    <row r="51" spans="1:7" ht="16.5" customHeight="1" x14ac:dyDescent="0.3">
      <c r="A51" s="492" t="s">
        <v>17</v>
      </c>
      <c r="B51" s="493">
        <f>AVERAGE(B45:B50)</f>
        <v>110854581.40000001</v>
      </c>
      <c r="C51" s="494">
        <f>AVERAGE(C45:C50)</f>
        <v>6768.12</v>
      </c>
      <c r="D51" s="495">
        <f>AVERAGE(D45:D50)</f>
        <v>1</v>
      </c>
      <c r="E51" s="495">
        <f>AVERAGE(E45:E50)</f>
        <v>7.58</v>
      </c>
    </row>
    <row r="52" spans="1:7" ht="16.5" customHeight="1" x14ac:dyDescent="0.3">
      <c r="A52" s="496" t="s">
        <v>18</v>
      </c>
      <c r="B52" s="497">
        <f>(STDEV(B45:B50)/B51)</f>
        <v>1.6858038119941625E-2</v>
      </c>
      <c r="C52" s="498"/>
      <c r="D52" s="498"/>
      <c r="E52" s="499"/>
    </row>
    <row r="53" spans="1:7" s="472" customFormat="1" ht="16.5" customHeight="1" x14ac:dyDescent="0.3">
      <c r="A53" s="500" t="s">
        <v>19</v>
      </c>
      <c r="B53" s="501">
        <f>COUNT(B45:B50)</f>
        <v>5</v>
      </c>
      <c r="C53" s="502"/>
      <c r="D53" s="503"/>
      <c r="E53" s="504"/>
    </row>
    <row r="54" spans="1:7" s="472" customFormat="1" ht="15.75" customHeight="1" x14ac:dyDescent="0.25">
      <c r="A54" s="479"/>
      <c r="B54" s="479"/>
      <c r="C54" s="479"/>
      <c r="D54" s="479"/>
      <c r="E54" s="479"/>
    </row>
    <row r="55" spans="1:7" s="472" customFormat="1" ht="16.5" customHeight="1" x14ac:dyDescent="0.3">
      <c r="A55" s="480" t="s">
        <v>20</v>
      </c>
      <c r="B55" s="505" t="s">
        <v>21</v>
      </c>
      <c r="C55" s="506"/>
      <c r="D55" s="506"/>
      <c r="E55" s="506"/>
    </row>
    <row r="56" spans="1:7" ht="16.5" customHeight="1" x14ac:dyDescent="0.3">
      <c r="A56" s="480"/>
      <c r="B56" s="505" t="s">
        <v>22</v>
      </c>
      <c r="C56" s="506"/>
      <c r="D56" s="506"/>
      <c r="E56" s="506"/>
    </row>
    <row r="57" spans="1:7" ht="16.5" customHeight="1" x14ac:dyDescent="0.3">
      <c r="A57" s="480"/>
      <c r="B57" s="505" t="s">
        <v>23</v>
      </c>
      <c r="C57" s="506"/>
      <c r="D57" s="506"/>
      <c r="E57" s="506"/>
    </row>
    <row r="58" spans="1:7" ht="14.25" customHeight="1" thickBot="1" x14ac:dyDescent="0.3">
      <c r="A58" s="508"/>
      <c r="B58" s="509"/>
      <c r="D58" s="510"/>
      <c r="F58" s="511"/>
      <c r="G58" s="511"/>
    </row>
    <row r="59" spans="1:7" ht="15" customHeight="1" x14ac:dyDescent="0.3">
      <c r="B59" s="512" t="s">
        <v>24</v>
      </c>
      <c r="C59" s="512"/>
      <c r="E59" s="513" t="s">
        <v>25</v>
      </c>
      <c r="F59" s="514"/>
      <c r="G59" s="513" t="s">
        <v>26</v>
      </c>
    </row>
    <row r="60" spans="1:7" ht="15" customHeight="1" x14ac:dyDescent="0.3">
      <c r="A60" s="515" t="s">
        <v>27</v>
      </c>
      <c r="B60" s="516"/>
      <c r="C60" s="516"/>
      <c r="E60" s="516"/>
      <c r="G60" s="516"/>
    </row>
    <row r="61" spans="1:7" ht="15" customHeight="1" x14ac:dyDescent="0.3">
      <c r="A61" s="515" t="s">
        <v>28</v>
      </c>
      <c r="B61" s="517"/>
      <c r="C61" s="517"/>
      <c r="E61" s="517"/>
      <c r="G61" s="5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F53" sqref="F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6" t="s">
        <v>29</v>
      </c>
      <c r="B11" s="427"/>
      <c r="C11" s="427"/>
      <c r="D11" s="427"/>
      <c r="E11" s="427"/>
      <c r="F11" s="428"/>
      <c r="G11" s="45"/>
    </row>
    <row r="12" spans="1:7" ht="16.5" customHeight="1" x14ac:dyDescent="0.3">
      <c r="A12" s="425" t="s">
        <v>30</v>
      </c>
      <c r="B12" s="425"/>
      <c r="C12" s="425"/>
      <c r="D12" s="425"/>
      <c r="E12" s="425"/>
      <c r="F12" s="425"/>
      <c r="G12" s="44"/>
    </row>
    <row r="14" spans="1:7" ht="16.5" customHeight="1" x14ac:dyDescent="0.3">
      <c r="A14" s="430" t="s">
        <v>31</v>
      </c>
      <c r="B14" s="430"/>
      <c r="C14" s="14" t="s">
        <v>4</v>
      </c>
    </row>
    <row r="15" spans="1:7" ht="16.5" customHeight="1" x14ac:dyDescent="0.3">
      <c r="A15" s="430" t="s">
        <v>32</v>
      </c>
      <c r="B15" s="430"/>
      <c r="C15" s="14" t="s">
        <v>6</v>
      </c>
    </row>
    <row r="16" spans="1:7" ht="16.5" customHeight="1" x14ac:dyDescent="0.3">
      <c r="A16" s="430" t="s">
        <v>33</v>
      </c>
      <c r="B16" s="430"/>
      <c r="C16" s="14" t="s">
        <v>8</v>
      </c>
    </row>
    <row r="17" spans="1:5" ht="16.5" customHeight="1" x14ac:dyDescent="0.3">
      <c r="A17" s="430" t="s">
        <v>34</v>
      </c>
      <c r="B17" s="430"/>
      <c r="C17" s="14" t="s">
        <v>10</v>
      </c>
    </row>
    <row r="18" spans="1:5" ht="16.5" customHeight="1" x14ac:dyDescent="0.3">
      <c r="A18" s="430" t="s">
        <v>35</v>
      </c>
      <c r="B18" s="430"/>
      <c r="C18" s="51" t="s">
        <v>11</v>
      </c>
    </row>
    <row r="19" spans="1:5" ht="16.5" customHeight="1" x14ac:dyDescent="0.3">
      <c r="A19" s="430" t="s">
        <v>36</v>
      </c>
      <c r="B19" s="430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425" t="s">
        <v>1</v>
      </c>
      <c r="B21" s="425"/>
      <c r="C21" s="13" t="s">
        <v>37</v>
      </c>
      <c r="D21" s="20"/>
    </row>
    <row r="22" spans="1:5" ht="15.75" customHeight="1" x14ac:dyDescent="0.3">
      <c r="A22" s="429"/>
      <c r="B22" s="429"/>
      <c r="C22" s="11"/>
      <c r="D22" s="429"/>
      <c r="E22" s="429"/>
    </row>
    <row r="23" spans="1:5" ht="33.75" customHeight="1" x14ac:dyDescent="0.3">
      <c r="C23" s="40" t="s">
        <v>38</v>
      </c>
      <c r="D23" s="39" t="s">
        <v>39</v>
      </c>
      <c r="E23" s="6"/>
    </row>
    <row r="24" spans="1:5" ht="15.75" customHeight="1" x14ac:dyDescent="0.3">
      <c r="C24" s="49">
        <v>1081.3399999999999</v>
      </c>
      <c r="D24" s="41">
        <f t="shared" ref="D24:D43" si="0">(C24-$C$46)/$C$46</f>
        <v>-1.046418521653604E-2</v>
      </c>
      <c r="E24" s="7"/>
    </row>
    <row r="25" spans="1:5" ht="15.75" customHeight="1" x14ac:dyDescent="0.3">
      <c r="C25" s="49">
        <v>1090.29</v>
      </c>
      <c r="D25" s="42">
        <f t="shared" si="0"/>
        <v>-2.274027132758461E-3</v>
      </c>
      <c r="E25" s="7"/>
    </row>
    <row r="26" spans="1:5" ht="15.75" customHeight="1" x14ac:dyDescent="0.3">
      <c r="C26" s="49">
        <v>1086.97</v>
      </c>
      <c r="D26" s="42">
        <f t="shared" si="0"/>
        <v>-5.3121639861820258E-3</v>
      </c>
      <c r="E26" s="7"/>
    </row>
    <row r="27" spans="1:5" ht="15.75" customHeight="1" x14ac:dyDescent="0.3">
      <c r="C27" s="49">
        <v>1082.3399999999999</v>
      </c>
      <c r="D27" s="42">
        <f t="shared" si="0"/>
        <v>-9.5490837546614547E-3</v>
      </c>
      <c r="E27" s="7"/>
    </row>
    <row r="28" spans="1:5" ht="15.75" customHeight="1" x14ac:dyDescent="0.3">
      <c r="C28" s="49">
        <v>1089.6300000000001</v>
      </c>
      <c r="D28" s="42">
        <f t="shared" si="0"/>
        <v>-2.8779940975955541E-3</v>
      </c>
      <c r="E28" s="7"/>
    </row>
    <row r="29" spans="1:5" ht="15.75" customHeight="1" x14ac:dyDescent="0.3">
      <c r="C29" s="49">
        <v>1091.92</v>
      </c>
      <c r="D29" s="42">
        <f t="shared" si="0"/>
        <v>-7.82411749902787E-4</v>
      </c>
      <c r="E29" s="7"/>
    </row>
    <row r="30" spans="1:5" ht="15.75" customHeight="1" x14ac:dyDescent="0.3">
      <c r="C30" s="49">
        <v>1101.4000000000001</v>
      </c>
      <c r="D30" s="42">
        <f t="shared" si="0"/>
        <v>7.8927501086682988E-3</v>
      </c>
      <c r="E30" s="7"/>
    </row>
    <row r="31" spans="1:5" ht="15.75" customHeight="1" x14ac:dyDescent="0.3">
      <c r="C31" s="49">
        <v>1080.46</v>
      </c>
      <c r="D31" s="42">
        <f t="shared" si="0"/>
        <v>-1.1269474502985568E-2</v>
      </c>
      <c r="E31" s="7"/>
    </row>
    <row r="32" spans="1:5" ht="15.75" customHeight="1" x14ac:dyDescent="0.3">
      <c r="C32" s="49">
        <v>1099.45</v>
      </c>
      <c r="D32" s="42">
        <f t="shared" si="0"/>
        <v>6.1083022580128155E-3</v>
      </c>
      <c r="E32" s="7"/>
    </row>
    <row r="33" spans="1:7" ht="15.75" customHeight="1" x14ac:dyDescent="0.3">
      <c r="C33" s="49">
        <v>1096.77</v>
      </c>
      <c r="D33" s="42">
        <f t="shared" si="0"/>
        <v>3.6558303401888681E-3</v>
      </c>
      <c r="E33" s="7"/>
    </row>
    <row r="34" spans="1:7" ht="15.75" customHeight="1" x14ac:dyDescent="0.3">
      <c r="C34" s="49">
        <v>1089.71</v>
      </c>
      <c r="D34" s="42">
        <f t="shared" si="0"/>
        <v>-2.8047859806456538E-3</v>
      </c>
      <c r="E34" s="7"/>
    </row>
    <row r="35" spans="1:7" ht="15.75" customHeight="1" x14ac:dyDescent="0.3">
      <c r="C35" s="49">
        <v>1089.1400000000001</v>
      </c>
      <c r="D35" s="42">
        <f t="shared" si="0"/>
        <v>-3.3263938139141093E-3</v>
      </c>
      <c r="E35" s="7"/>
    </row>
    <row r="36" spans="1:7" ht="15.75" customHeight="1" x14ac:dyDescent="0.3">
      <c r="C36" s="49">
        <v>1076.52</v>
      </c>
      <c r="D36" s="42">
        <f t="shared" si="0"/>
        <v>-1.4874974262771484E-2</v>
      </c>
      <c r="E36" s="7"/>
    </row>
    <row r="37" spans="1:7" ht="15.75" customHeight="1" x14ac:dyDescent="0.3">
      <c r="C37" s="49">
        <v>1104.75</v>
      </c>
      <c r="D37" s="42">
        <f t="shared" si="0"/>
        <v>1.0958340005948076E-2</v>
      </c>
      <c r="E37" s="7"/>
    </row>
    <row r="38" spans="1:7" ht="15.75" customHeight="1" x14ac:dyDescent="0.3">
      <c r="C38" s="49">
        <v>1102.49</v>
      </c>
      <c r="D38" s="42">
        <f t="shared" si="0"/>
        <v>8.8902107021115208E-3</v>
      </c>
      <c r="E38" s="7"/>
    </row>
    <row r="39" spans="1:7" ht="15.75" customHeight="1" x14ac:dyDescent="0.3">
      <c r="C39" s="49">
        <v>1088.28</v>
      </c>
      <c r="D39" s="42">
        <f t="shared" si="0"/>
        <v>-4.1133810711263688E-3</v>
      </c>
      <c r="E39" s="7"/>
    </row>
    <row r="40" spans="1:7" ht="15.75" customHeight="1" x14ac:dyDescent="0.3">
      <c r="C40" s="49">
        <v>1093.04</v>
      </c>
      <c r="D40" s="42">
        <f t="shared" si="0"/>
        <v>2.4250188739664857E-4</v>
      </c>
      <c r="E40" s="7"/>
    </row>
    <row r="41" spans="1:7" ht="15.75" customHeight="1" x14ac:dyDescent="0.3">
      <c r="C41" s="49">
        <v>1104.77</v>
      </c>
      <c r="D41" s="42">
        <f t="shared" si="0"/>
        <v>1.0976642035185551E-2</v>
      </c>
      <c r="E41" s="7"/>
    </row>
    <row r="42" spans="1:7" ht="15.75" customHeight="1" x14ac:dyDescent="0.3">
      <c r="C42" s="49">
        <v>1105.98</v>
      </c>
      <c r="D42" s="42">
        <f t="shared" si="0"/>
        <v>1.2083914804053832E-2</v>
      </c>
      <c r="E42" s="7"/>
    </row>
    <row r="43" spans="1:7" ht="16.5" customHeight="1" x14ac:dyDescent="0.3">
      <c r="C43" s="50">
        <v>1100.25</v>
      </c>
      <c r="D43" s="43">
        <f t="shared" si="0"/>
        <v>6.8403834275124415E-3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40</v>
      </c>
      <c r="C45" s="37">
        <f>SUM(C24:C44)</f>
        <v>21855.500000000004</v>
      </c>
      <c r="D45" s="32"/>
      <c r="E45" s="8"/>
    </row>
    <row r="46" spans="1:7" ht="17.25" customHeight="1" x14ac:dyDescent="0.3">
      <c r="B46" s="36" t="s">
        <v>41</v>
      </c>
      <c r="C46" s="38">
        <f>AVERAGE(C24:C44)</f>
        <v>1092.7750000000001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41</v>
      </c>
      <c r="C48" s="39" t="s">
        <v>42</v>
      </c>
      <c r="D48" s="34"/>
      <c r="G48" s="12"/>
    </row>
    <row r="49" spans="1:6" ht="17.25" customHeight="1" x14ac:dyDescent="0.3">
      <c r="B49" s="423">
        <f>C46</f>
        <v>1092.7750000000001</v>
      </c>
      <c r="C49" s="47">
        <f>-IF(C46&lt;=80,10%,IF(C46&lt;250,7.5%,5%))</f>
        <v>-0.05</v>
      </c>
      <c r="D49" s="35">
        <f>IF(C46&lt;=80,C46*0.9,IF(C46&lt;250,C46*0.925,C46*0.95))</f>
        <v>1038.13625</v>
      </c>
    </row>
    <row r="50" spans="1:6" ht="17.25" customHeight="1" x14ac:dyDescent="0.3">
      <c r="B50" s="424"/>
      <c r="C50" s="48">
        <f>IF(C46&lt;=80, 10%, IF(C46&lt;250, 7.5%, 5%))</f>
        <v>0.05</v>
      </c>
      <c r="D50" s="35">
        <f>IF(C46&lt;=80, C46*1.1, IF(C46&lt;250, C46*1.075, C46*1.05))</f>
        <v>1147.4137500000002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24</v>
      </c>
      <c r="C52" s="21"/>
      <c r="D52" s="22" t="s">
        <v>25</v>
      </c>
      <c r="E52" s="23"/>
      <c r="F52" s="22" t="s">
        <v>26</v>
      </c>
    </row>
    <row r="53" spans="1:6" ht="34.5" customHeight="1" x14ac:dyDescent="0.3">
      <c r="A53" s="24" t="s">
        <v>27</v>
      </c>
      <c r="B53" s="25"/>
      <c r="C53" s="26"/>
      <c r="D53" s="25"/>
      <c r="E53" s="15"/>
      <c r="F53" s="27"/>
    </row>
    <row r="54" spans="1:6" ht="34.5" customHeight="1" x14ac:dyDescent="0.3">
      <c r="A54" s="24" t="s">
        <v>28</v>
      </c>
      <c r="B54" s="28"/>
      <c r="C54" s="29"/>
      <c r="D54" s="28"/>
      <c r="E54" s="15"/>
      <c r="F54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18" sqref="B18:C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1" t="s">
        <v>43</v>
      </c>
      <c r="B1" s="431"/>
      <c r="C1" s="431"/>
      <c r="D1" s="431"/>
      <c r="E1" s="431"/>
      <c r="F1" s="431"/>
      <c r="G1" s="431"/>
      <c r="H1" s="431"/>
      <c r="I1" s="431"/>
    </row>
    <row r="2" spans="1:9" ht="18.75" customHeight="1" x14ac:dyDescent="0.25">
      <c r="A2" s="431"/>
      <c r="B2" s="431"/>
      <c r="C2" s="431"/>
      <c r="D2" s="431"/>
      <c r="E2" s="431"/>
      <c r="F2" s="431"/>
      <c r="G2" s="431"/>
      <c r="H2" s="431"/>
      <c r="I2" s="431"/>
    </row>
    <row r="3" spans="1:9" ht="18.75" customHeight="1" x14ac:dyDescent="0.25">
      <c r="A3" s="431"/>
      <c r="B3" s="431"/>
      <c r="C3" s="431"/>
      <c r="D3" s="431"/>
      <c r="E3" s="431"/>
      <c r="F3" s="431"/>
      <c r="G3" s="431"/>
      <c r="H3" s="431"/>
      <c r="I3" s="431"/>
    </row>
    <row r="4" spans="1:9" ht="18.75" customHeight="1" x14ac:dyDescent="0.25">
      <c r="A4" s="431"/>
      <c r="B4" s="431"/>
      <c r="C4" s="431"/>
      <c r="D4" s="431"/>
      <c r="E4" s="431"/>
      <c r="F4" s="431"/>
      <c r="G4" s="431"/>
      <c r="H4" s="431"/>
      <c r="I4" s="431"/>
    </row>
    <row r="5" spans="1:9" ht="18.75" customHeight="1" x14ac:dyDescent="0.25">
      <c r="A5" s="431"/>
      <c r="B5" s="431"/>
      <c r="C5" s="431"/>
      <c r="D5" s="431"/>
      <c r="E5" s="431"/>
      <c r="F5" s="431"/>
      <c r="G5" s="431"/>
      <c r="H5" s="431"/>
      <c r="I5" s="431"/>
    </row>
    <row r="6" spans="1:9" ht="18.75" customHeight="1" x14ac:dyDescent="0.25">
      <c r="A6" s="431"/>
      <c r="B6" s="431"/>
      <c r="C6" s="431"/>
      <c r="D6" s="431"/>
      <c r="E6" s="431"/>
      <c r="F6" s="431"/>
      <c r="G6" s="431"/>
      <c r="H6" s="431"/>
      <c r="I6" s="431"/>
    </row>
    <row r="7" spans="1:9" ht="18.75" customHeight="1" x14ac:dyDescent="0.25">
      <c r="A7" s="431"/>
      <c r="B7" s="431"/>
      <c r="C7" s="431"/>
      <c r="D7" s="431"/>
      <c r="E7" s="431"/>
      <c r="F7" s="431"/>
      <c r="G7" s="431"/>
      <c r="H7" s="431"/>
      <c r="I7" s="431"/>
    </row>
    <row r="8" spans="1:9" x14ac:dyDescent="0.25">
      <c r="A8" s="432" t="s">
        <v>44</v>
      </c>
      <c r="B8" s="432"/>
      <c r="C8" s="432"/>
      <c r="D8" s="432"/>
      <c r="E8" s="432"/>
      <c r="F8" s="432"/>
      <c r="G8" s="432"/>
      <c r="H8" s="432"/>
      <c r="I8" s="432"/>
    </row>
    <row r="9" spans="1:9" x14ac:dyDescent="0.25">
      <c r="A9" s="432"/>
      <c r="B9" s="432"/>
      <c r="C9" s="432"/>
      <c r="D9" s="432"/>
      <c r="E9" s="432"/>
      <c r="F9" s="432"/>
      <c r="G9" s="432"/>
      <c r="H9" s="432"/>
      <c r="I9" s="432"/>
    </row>
    <row r="10" spans="1:9" x14ac:dyDescent="0.25">
      <c r="A10" s="432"/>
      <c r="B10" s="432"/>
      <c r="C10" s="432"/>
      <c r="D10" s="432"/>
      <c r="E10" s="432"/>
      <c r="F10" s="432"/>
      <c r="G10" s="432"/>
      <c r="H10" s="432"/>
      <c r="I10" s="432"/>
    </row>
    <row r="11" spans="1:9" x14ac:dyDescent="0.25">
      <c r="A11" s="432"/>
      <c r="B11" s="432"/>
      <c r="C11" s="432"/>
      <c r="D11" s="432"/>
      <c r="E11" s="432"/>
      <c r="F11" s="432"/>
      <c r="G11" s="432"/>
      <c r="H11" s="432"/>
      <c r="I11" s="432"/>
    </row>
    <row r="12" spans="1:9" x14ac:dyDescent="0.25">
      <c r="A12" s="432"/>
      <c r="B12" s="432"/>
      <c r="C12" s="432"/>
      <c r="D12" s="432"/>
      <c r="E12" s="432"/>
      <c r="F12" s="432"/>
      <c r="G12" s="432"/>
      <c r="H12" s="432"/>
      <c r="I12" s="432"/>
    </row>
    <row r="13" spans="1:9" x14ac:dyDescent="0.25">
      <c r="A13" s="432"/>
      <c r="B13" s="432"/>
      <c r="C13" s="432"/>
      <c r="D13" s="432"/>
      <c r="E13" s="432"/>
      <c r="F13" s="432"/>
      <c r="G13" s="432"/>
      <c r="H13" s="432"/>
      <c r="I13" s="432"/>
    </row>
    <row r="14" spans="1:9" x14ac:dyDescent="0.25">
      <c r="A14" s="432"/>
      <c r="B14" s="432"/>
      <c r="C14" s="432"/>
      <c r="D14" s="432"/>
      <c r="E14" s="432"/>
      <c r="F14" s="432"/>
      <c r="G14" s="432"/>
      <c r="H14" s="432"/>
      <c r="I14" s="432"/>
    </row>
    <row r="15" spans="1:9" ht="19.5" customHeight="1" x14ac:dyDescent="0.3">
      <c r="A15" s="52"/>
    </row>
    <row r="16" spans="1:9" ht="19.5" customHeight="1" x14ac:dyDescent="0.3">
      <c r="A16" s="465" t="s">
        <v>29</v>
      </c>
      <c r="B16" s="466"/>
      <c r="C16" s="466"/>
      <c r="D16" s="466"/>
      <c r="E16" s="466"/>
      <c r="F16" s="466"/>
      <c r="G16" s="466"/>
      <c r="H16" s="467"/>
    </row>
    <row r="17" spans="1:14" ht="20.25" customHeight="1" x14ac:dyDescent="0.25">
      <c r="A17" s="468" t="s">
        <v>45</v>
      </c>
      <c r="B17" s="468"/>
      <c r="C17" s="468"/>
      <c r="D17" s="468"/>
      <c r="E17" s="468"/>
      <c r="F17" s="468"/>
      <c r="G17" s="468"/>
      <c r="H17" s="468"/>
    </row>
    <row r="18" spans="1:14" ht="26.25" customHeight="1" x14ac:dyDescent="0.4">
      <c r="A18" s="54" t="s">
        <v>31</v>
      </c>
      <c r="B18" s="464" t="s">
        <v>4</v>
      </c>
      <c r="C18" s="464"/>
      <c r="D18" s="220"/>
      <c r="E18" s="55"/>
      <c r="F18" s="56"/>
      <c r="G18" s="56"/>
      <c r="H18" s="56"/>
    </row>
    <row r="19" spans="1:14" ht="26.25" customHeight="1" x14ac:dyDescent="0.4">
      <c r="A19" s="54" t="s">
        <v>32</v>
      </c>
      <c r="B19" s="57" t="s">
        <v>6</v>
      </c>
      <c r="C19" s="233">
        <v>29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33</v>
      </c>
      <c r="B20" s="469" t="s">
        <v>8</v>
      </c>
      <c r="C20" s="469"/>
      <c r="D20" s="56"/>
      <c r="E20" s="56"/>
      <c r="F20" s="56"/>
      <c r="G20" s="56"/>
      <c r="H20" s="56"/>
    </row>
    <row r="21" spans="1:14" ht="26.25" customHeight="1" x14ac:dyDescent="0.4">
      <c r="A21" s="54" t="s">
        <v>34</v>
      </c>
      <c r="B21" s="469" t="s">
        <v>10</v>
      </c>
      <c r="C21" s="469"/>
      <c r="D21" s="469"/>
      <c r="E21" s="469"/>
      <c r="F21" s="469"/>
      <c r="G21" s="469"/>
      <c r="H21" s="469"/>
      <c r="I21" s="58"/>
    </row>
    <row r="22" spans="1:14" ht="26.25" customHeight="1" x14ac:dyDescent="0.4">
      <c r="A22" s="54" t="s">
        <v>35</v>
      </c>
      <c r="B22" s="59" t="s">
        <v>11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36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3</v>
      </c>
      <c r="B26" s="464" t="s">
        <v>123</v>
      </c>
      <c r="C26" s="464"/>
    </row>
    <row r="27" spans="1:14" ht="26.25" customHeight="1" x14ac:dyDescent="0.4">
      <c r="A27" s="63" t="s">
        <v>46</v>
      </c>
      <c r="B27" s="462"/>
      <c r="C27" s="462"/>
    </row>
    <row r="28" spans="1:14" ht="27" customHeight="1" x14ac:dyDescent="0.4">
      <c r="A28" s="63" t="s">
        <v>5</v>
      </c>
      <c r="B28" s="64">
        <v>86.6</v>
      </c>
    </row>
    <row r="29" spans="1:14" s="3" customFormat="1" ht="27" customHeight="1" x14ac:dyDescent="0.4">
      <c r="A29" s="63" t="s">
        <v>47</v>
      </c>
      <c r="B29" s="65"/>
      <c r="C29" s="439" t="s">
        <v>48</v>
      </c>
      <c r="D29" s="440"/>
      <c r="E29" s="440"/>
      <c r="F29" s="440"/>
      <c r="G29" s="441"/>
      <c r="I29" s="66"/>
      <c r="J29" s="66"/>
      <c r="K29" s="66"/>
      <c r="L29" s="66"/>
    </row>
    <row r="30" spans="1:14" s="3" customFormat="1" ht="19.5" customHeight="1" x14ac:dyDescent="0.3">
      <c r="A30" s="63" t="s">
        <v>49</v>
      </c>
      <c r="B30" s="67">
        <f>B28-B29</f>
        <v>86.6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3" customFormat="1" ht="27" customHeight="1" x14ac:dyDescent="0.4">
      <c r="A31" s="63" t="s">
        <v>50</v>
      </c>
      <c r="B31" s="70">
        <v>1</v>
      </c>
      <c r="C31" s="442" t="s">
        <v>51</v>
      </c>
      <c r="D31" s="443"/>
      <c r="E31" s="443"/>
      <c r="F31" s="443"/>
      <c r="G31" s="443"/>
      <c r="H31" s="444"/>
      <c r="I31" s="66"/>
      <c r="J31" s="66"/>
      <c r="K31" s="66"/>
      <c r="L31" s="66"/>
    </row>
    <row r="32" spans="1:14" s="3" customFormat="1" ht="27" customHeight="1" x14ac:dyDescent="0.4">
      <c r="A32" s="63" t="s">
        <v>52</v>
      </c>
      <c r="B32" s="70">
        <v>1</v>
      </c>
      <c r="C32" s="442" t="s">
        <v>53</v>
      </c>
      <c r="D32" s="443"/>
      <c r="E32" s="443"/>
      <c r="F32" s="443"/>
      <c r="G32" s="443"/>
      <c r="H32" s="444"/>
      <c r="I32" s="66"/>
      <c r="J32" s="66"/>
      <c r="K32" s="66"/>
      <c r="L32" s="71"/>
      <c r="M32" s="71"/>
      <c r="N32" s="72"/>
    </row>
    <row r="33" spans="1:14" s="3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3" customFormat="1" ht="18.75" x14ac:dyDescent="0.3">
      <c r="A34" s="63" t="s">
        <v>54</v>
      </c>
      <c r="B34" s="75">
        <f>B31/B32</f>
        <v>1</v>
      </c>
      <c r="C34" s="53" t="s">
        <v>55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3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3" customFormat="1" ht="27" customHeight="1" x14ac:dyDescent="0.4">
      <c r="A36" s="76" t="s">
        <v>56</v>
      </c>
      <c r="B36" s="77">
        <v>20</v>
      </c>
      <c r="C36" s="53"/>
      <c r="D36" s="445" t="s">
        <v>57</v>
      </c>
      <c r="E36" s="463"/>
      <c r="F36" s="445" t="s">
        <v>58</v>
      </c>
      <c r="G36" s="446"/>
      <c r="J36" s="66"/>
      <c r="K36" s="66"/>
      <c r="L36" s="71"/>
      <c r="M36" s="71"/>
      <c r="N36" s="72"/>
    </row>
    <row r="37" spans="1:14" s="3" customFormat="1" ht="27" customHeight="1" x14ac:dyDescent="0.4">
      <c r="A37" s="78" t="s">
        <v>59</v>
      </c>
      <c r="B37" s="79">
        <v>10</v>
      </c>
      <c r="C37" s="80" t="s">
        <v>60</v>
      </c>
      <c r="D37" s="81" t="s">
        <v>61</v>
      </c>
      <c r="E37" s="82" t="s">
        <v>62</v>
      </c>
      <c r="F37" s="81" t="s">
        <v>61</v>
      </c>
      <c r="G37" s="83" t="s">
        <v>62</v>
      </c>
      <c r="I37" s="84" t="s">
        <v>63</v>
      </c>
      <c r="J37" s="66"/>
      <c r="K37" s="66"/>
      <c r="L37" s="71"/>
      <c r="M37" s="71"/>
      <c r="N37" s="72"/>
    </row>
    <row r="38" spans="1:14" s="3" customFormat="1" ht="26.25" customHeight="1" x14ac:dyDescent="0.4">
      <c r="A38" s="78" t="s">
        <v>64</v>
      </c>
      <c r="B38" s="79">
        <v>25</v>
      </c>
      <c r="C38" s="85">
        <v>1</v>
      </c>
      <c r="D38" s="86">
        <v>119486716</v>
      </c>
      <c r="E38" s="87">
        <f>IF(ISBLANK(D38),"-",$D$48/$D$45*D38)</f>
        <v>121500019.93025225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3" customFormat="1" ht="26.25" customHeight="1" x14ac:dyDescent="0.4">
      <c r="A39" s="78" t="s">
        <v>65</v>
      </c>
      <c r="B39" s="79">
        <v>1</v>
      </c>
      <c r="C39" s="90">
        <v>2</v>
      </c>
      <c r="D39" s="91">
        <v>118884487</v>
      </c>
      <c r="E39" s="92">
        <f>IF(ISBLANK(D39),"-",$D$48/$D$45*D39)</f>
        <v>120887643.60966967</v>
      </c>
      <c r="F39" s="91">
        <v>115693147</v>
      </c>
      <c r="G39" s="93">
        <f>IF(ISBLANK(F39),"-",$D$48/$F$45*F39)</f>
        <v>120529464.06321496</v>
      </c>
      <c r="I39" s="447">
        <f>ABS((F43/D43*D42)-F42)/D42</f>
        <v>2.8726851879071185E-3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66</v>
      </c>
      <c r="B40" s="79">
        <v>1</v>
      </c>
      <c r="C40" s="90">
        <v>3</v>
      </c>
      <c r="D40" s="91">
        <v>119086769</v>
      </c>
      <c r="E40" s="92">
        <f>IF(ISBLANK(D40),"-",$D$48/$D$45*D40)</f>
        <v>121093333.98140548</v>
      </c>
      <c r="F40" s="91">
        <v>115954926</v>
      </c>
      <c r="G40" s="93">
        <f>IF(ISBLANK(F40),"-",$D$48/$F$45*F40)</f>
        <v>120802186.20269488</v>
      </c>
      <c r="I40" s="447"/>
      <c r="L40" s="71"/>
      <c r="M40" s="71"/>
      <c r="N40" s="94"/>
    </row>
    <row r="41" spans="1:14" ht="27" customHeight="1" x14ac:dyDescent="0.4">
      <c r="A41" s="78" t="s">
        <v>67</v>
      </c>
      <c r="B41" s="79">
        <v>1</v>
      </c>
      <c r="C41" s="95">
        <v>4</v>
      </c>
      <c r="D41" s="96">
        <v>119988697</v>
      </c>
      <c r="E41" s="97">
        <f>IF(ISBLANK(D41),"-",$D$48/$D$45*D41)</f>
        <v>122010459.11166391</v>
      </c>
      <c r="F41" s="96">
        <v>116831377</v>
      </c>
      <c r="G41" s="98">
        <f>IF(ISBLANK(F41),"-",$D$48/$F$45*F41)</f>
        <v>121715275.4568723</v>
      </c>
      <c r="I41" s="99"/>
      <c r="L41" s="71"/>
      <c r="M41" s="71"/>
      <c r="N41" s="94"/>
    </row>
    <row r="42" spans="1:14" ht="27" customHeight="1" x14ac:dyDescent="0.4">
      <c r="A42" s="78" t="s">
        <v>68</v>
      </c>
      <c r="B42" s="79">
        <v>1</v>
      </c>
      <c r="C42" s="100" t="s">
        <v>69</v>
      </c>
      <c r="D42" s="101">
        <f>AVERAGE(D38:D41)</f>
        <v>119361667.25</v>
      </c>
      <c r="E42" s="102">
        <f>AVERAGE(E38:E41)</f>
        <v>121372864.15824783</v>
      </c>
      <c r="F42" s="101">
        <f>AVERAGE(F38:F41)</f>
        <v>116159816.66666667</v>
      </c>
      <c r="G42" s="103">
        <f>AVERAGE(G38:G41)</f>
        <v>121015641.90759404</v>
      </c>
      <c r="H42" s="104"/>
    </row>
    <row r="43" spans="1:14" ht="26.25" customHeight="1" x14ac:dyDescent="0.4">
      <c r="A43" s="78" t="s">
        <v>70</v>
      </c>
      <c r="B43" s="79">
        <v>1</v>
      </c>
      <c r="C43" s="105" t="s">
        <v>71</v>
      </c>
      <c r="D43" s="106">
        <v>28.39</v>
      </c>
      <c r="E43" s="94"/>
      <c r="F43" s="106">
        <v>27.71</v>
      </c>
      <c r="H43" s="104"/>
    </row>
    <row r="44" spans="1:14" ht="26.25" customHeight="1" x14ac:dyDescent="0.4">
      <c r="A44" s="78" t="s">
        <v>72</v>
      </c>
      <c r="B44" s="79">
        <v>1</v>
      </c>
      <c r="C44" s="107" t="s">
        <v>73</v>
      </c>
      <c r="D44" s="108">
        <f>D43*$B$34</f>
        <v>28.39</v>
      </c>
      <c r="E44" s="109"/>
      <c r="F44" s="108">
        <f>F43*$B$34</f>
        <v>27.71</v>
      </c>
      <c r="H44" s="104"/>
    </row>
    <row r="45" spans="1:14" ht="19.5" customHeight="1" x14ac:dyDescent="0.3">
      <c r="A45" s="78" t="s">
        <v>74</v>
      </c>
      <c r="B45" s="110">
        <f>(B44/B43)*(B42/B41)*(B40/B39)*(B38/B37)*B36</f>
        <v>50</v>
      </c>
      <c r="C45" s="107" t="s">
        <v>75</v>
      </c>
      <c r="D45" s="111">
        <f>D44*$B$30/100</f>
        <v>24.585740000000001</v>
      </c>
      <c r="E45" s="112"/>
      <c r="F45" s="111">
        <f>F44*$B$30/100</f>
        <v>23.996859999999998</v>
      </c>
      <c r="H45" s="104"/>
    </row>
    <row r="46" spans="1:14" ht="19.5" customHeight="1" x14ac:dyDescent="0.3">
      <c r="A46" s="433" t="s">
        <v>76</v>
      </c>
      <c r="B46" s="434"/>
      <c r="C46" s="107" t="s">
        <v>77</v>
      </c>
      <c r="D46" s="113">
        <f>D45/$B$45</f>
        <v>0.49171480000000001</v>
      </c>
      <c r="E46" s="114"/>
      <c r="F46" s="115">
        <f>F45/$B$45</f>
        <v>0.47993719999999995</v>
      </c>
      <c r="H46" s="104"/>
    </row>
    <row r="47" spans="1:14" ht="27" customHeight="1" x14ac:dyDescent="0.4">
      <c r="A47" s="435"/>
      <c r="B47" s="436"/>
      <c r="C47" s="116" t="s">
        <v>78</v>
      </c>
      <c r="D47" s="117">
        <v>0.5</v>
      </c>
      <c r="E47" s="118"/>
      <c r="F47" s="114"/>
      <c r="H47" s="104"/>
    </row>
    <row r="48" spans="1:14" ht="18.75" x14ac:dyDescent="0.3">
      <c r="C48" s="119" t="s">
        <v>79</v>
      </c>
      <c r="D48" s="111">
        <f>D47*$B$45</f>
        <v>25</v>
      </c>
      <c r="F48" s="120"/>
      <c r="H48" s="104"/>
    </row>
    <row r="49" spans="1:12" ht="19.5" customHeight="1" x14ac:dyDescent="0.3">
      <c r="C49" s="121" t="s">
        <v>80</v>
      </c>
      <c r="D49" s="122">
        <f>D48/B34</f>
        <v>25</v>
      </c>
      <c r="F49" s="120"/>
      <c r="H49" s="104"/>
    </row>
    <row r="50" spans="1:12" ht="18.75" x14ac:dyDescent="0.3">
      <c r="C50" s="76" t="s">
        <v>81</v>
      </c>
      <c r="D50" s="123">
        <f>AVERAGE(E38:E41,G38:G41)</f>
        <v>121219768.90796766</v>
      </c>
      <c r="F50" s="124"/>
      <c r="H50" s="104"/>
    </row>
    <row r="51" spans="1:12" ht="18.75" x14ac:dyDescent="0.3">
      <c r="C51" s="78" t="s">
        <v>82</v>
      </c>
      <c r="D51" s="125">
        <f>STDEV(E38:E41,G38:G41)/D50</f>
        <v>4.4251460378198406E-3</v>
      </c>
      <c r="F51" s="124"/>
      <c r="H51" s="104"/>
    </row>
    <row r="52" spans="1:12" ht="19.5" customHeight="1" x14ac:dyDescent="0.3">
      <c r="C52" s="126" t="s">
        <v>19</v>
      </c>
      <c r="D52" s="127">
        <f>COUNT(E38:E41,G38:G41)</f>
        <v>7</v>
      </c>
      <c r="F52" s="124"/>
    </row>
    <row r="54" spans="1:12" ht="18.75" x14ac:dyDescent="0.3">
      <c r="A54" s="128" t="s">
        <v>1</v>
      </c>
      <c r="B54" s="129" t="s">
        <v>83</v>
      </c>
    </row>
    <row r="55" spans="1:12" ht="18.75" x14ac:dyDescent="0.3">
      <c r="A55" s="53" t="s">
        <v>84</v>
      </c>
      <c r="B55" s="130" t="str">
        <f>B21</f>
        <v>Each film coate tablet contains: Amoxicillin Trihydrate USP Eq. to Amoxicillin 500mg
Diluted Potassium Clavulanate BP Eq. to Clavulanic acid 125mg</v>
      </c>
    </row>
    <row r="56" spans="1:12" ht="26.25" customHeight="1" x14ac:dyDescent="0.4">
      <c r="A56" s="131" t="s">
        <v>85</v>
      </c>
      <c r="B56" s="132">
        <v>500</v>
      </c>
      <c r="C56" s="53" t="str">
        <f>B20</f>
        <v>Amoxicillin &amp; Clavulanic Acid</v>
      </c>
      <c r="H56" s="133"/>
    </row>
    <row r="57" spans="1:12" ht="18.75" x14ac:dyDescent="0.3">
      <c r="A57" s="130" t="s">
        <v>86</v>
      </c>
      <c r="B57" s="221">
        <f>Uniformity!C46</f>
        <v>1092.7750000000001</v>
      </c>
      <c r="H57" s="133"/>
    </row>
    <row r="58" spans="1:12" ht="19.5" customHeight="1" x14ac:dyDescent="0.3">
      <c r="H58" s="133"/>
    </row>
    <row r="59" spans="1:12" s="3" customFormat="1" ht="27" customHeight="1" x14ac:dyDescent="0.4">
      <c r="A59" s="76" t="s">
        <v>87</v>
      </c>
      <c r="B59" s="77">
        <v>100</v>
      </c>
      <c r="C59" s="53"/>
      <c r="D59" s="134" t="s">
        <v>88</v>
      </c>
      <c r="E59" s="135" t="s">
        <v>60</v>
      </c>
      <c r="F59" s="135" t="s">
        <v>61</v>
      </c>
      <c r="G59" s="135" t="s">
        <v>89</v>
      </c>
      <c r="H59" s="80" t="s">
        <v>90</v>
      </c>
      <c r="L59" s="66"/>
    </row>
    <row r="60" spans="1:12" s="3" customFormat="1" ht="26.25" customHeight="1" x14ac:dyDescent="0.4">
      <c r="A60" s="78" t="s">
        <v>91</v>
      </c>
      <c r="B60" s="79">
        <v>1</v>
      </c>
      <c r="C60" s="450" t="s">
        <v>92</v>
      </c>
      <c r="D60" s="453">
        <v>103.89</v>
      </c>
      <c r="E60" s="136">
        <v>1</v>
      </c>
      <c r="F60" s="137">
        <v>120531561</v>
      </c>
      <c r="G60" s="222">
        <f>IF(ISBLANK(F60),"-",(F60/$D$50*$D$47*$B$68)*($B$57/$D$60))</f>
        <v>522.94298111679802</v>
      </c>
      <c r="H60" s="138">
        <f t="shared" ref="H60:H71" si="0">IF(ISBLANK(F60),"-",G60/$B$56)</f>
        <v>1.0458859622335961</v>
      </c>
      <c r="L60" s="66"/>
    </row>
    <row r="61" spans="1:12" s="3" customFormat="1" ht="26.25" customHeight="1" x14ac:dyDescent="0.4">
      <c r="A61" s="78" t="s">
        <v>93</v>
      </c>
      <c r="B61" s="79">
        <v>1</v>
      </c>
      <c r="C61" s="451"/>
      <c r="D61" s="454"/>
      <c r="E61" s="139">
        <v>2</v>
      </c>
      <c r="F61" s="91">
        <v>119846256</v>
      </c>
      <c r="G61" s="223">
        <f>IF(ISBLANK(F61),"-",(F61/$D$50*$D$47*$B$68)*($B$57/$D$60))</f>
        <v>519.9696898335776</v>
      </c>
      <c r="H61" s="140">
        <f t="shared" si="0"/>
        <v>1.0399393796671552</v>
      </c>
      <c r="L61" s="66"/>
    </row>
    <row r="62" spans="1:12" s="3" customFormat="1" ht="26.25" customHeight="1" x14ac:dyDescent="0.4">
      <c r="A62" s="78" t="s">
        <v>94</v>
      </c>
      <c r="B62" s="79">
        <v>1</v>
      </c>
      <c r="C62" s="451"/>
      <c r="D62" s="454"/>
      <c r="E62" s="139">
        <v>3</v>
      </c>
      <c r="F62" s="141">
        <v>120443154</v>
      </c>
      <c r="G62" s="223">
        <f>IF(ISBLANK(F62),"-",(F62/$D$50*$D$47*$B$68)*($B$57/$D$60))</f>
        <v>522.5594150221749</v>
      </c>
      <c r="H62" s="140">
        <f t="shared" si="0"/>
        <v>1.0451188300443499</v>
      </c>
      <c r="L62" s="66"/>
    </row>
    <row r="63" spans="1:12" ht="27" customHeight="1" x14ac:dyDescent="0.4">
      <c r="A63" s="78" t="s">
        <v>95</v>
      </c>
      <c r="B63" s="79">
        <v>1</v>
      </c>
      <c r="C63" s="461"/>
      <c r="D63" s="455"/>
      <c r="E63" s="142">
        <v>4</v>
      </c>
      <c r="F63" s="143"/>
      <c r="G63" s="223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96</v>
      </c>
      <c r="B64" s="79">
        <v>1</v>
      </c>
      <c r="C64" s="450" t="s">
        <v>97</v>
      </c>
      <c r="D64" s="453">
        <v>100.45</v>
      </c>
      <c r="E64" s="136">
        <v>1</v>
      </c>
      <c r="F64" s="137">
        <v>118048031</v>
      </c>
      <c r="G64" s="224">
        <f>IF(ISBLANK(F64),"-",(F64/$D$50*$D$47*$B$68)*($B$57/$D$64))</f>
        <v>529.70748526567036</v>
      </c>
      <c r="H64" s="144">
        <f t="shared" si="0"/>
        <v>1.0594149705313407</v>
      </c>
    </row>
    <row r="65" spans="1:8" ht="26.25" customHeight="1" x14ac:dyDescent="0.4">
      <c r="A65" s="78" t="s">
        <v>98</v>
      </c>
      <c r="B65" s="79">
        <v>1</v>
      </c>
      <c r="C65" s="451"/>
      <c r="D65" s="454"/>
      <c r="E65" s="139">
        <v>2</v>
      </c>
      <c r="F65" s="91">
        <v>117765522</v>
      </c>
      <c r="G65" s="225">
        <f>IF(ISBLANK(F65),"-",(F65/$D$50*$D$47*$B$68)*($B$57/$D$64))</f>
        <v>528.43980523164316</v>
      </c>
      <c r="H65" s="145">
        <f t="shared" si="0"/>
        <v>1.0568796104632863</v>
      </c>
    </row>
    <row r="66" spans="1:8" ht="26.25" customHeight="1" x14ac:dyDescent="0.4">
      <c r="A66" s="78" t="s">
        <v>99</v>
      </c>
      <c r="B66" s="79">
        <v>1</v>
      </c>
      <c r="C66" s="451"/>
      <c r="D66" s="454"/>
      <c r="E66" s="139">
        <v>3</v>
      </c>
      <c r="F66" s="91">
        <v>117941575</v>
      </c>
      <c r="G66" s="225">
        <f>IF(ISBLANK(F66),"-",(F66/$D$50*$D$47*$B$68)*($B$57/$D$64))</f>
        <v>529.22979377370939</v>
      </c>
      <c r="H66" s="145">
        <f t="shared" si="0"/>
        <v>1.0584595875474188</v>
      </c>
    </row>
    <row r="67" spans="1:8" ht="27" customHeight="1" x14ac:dyDescent="0.4">
      <c r="A67" s="78" t="s">
        <v>100</v>
      </c>
      <c r="B67" s="79">
        <v>1</v>
      </c>
      <c r="C67" s="461"/>
      <c r="D67" s="455"/>
      <c r="E67" s="142">
        <v>4</v>
      </c>
      <c r="F67" s="143"/>
      <c r="G67" s="226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8" t="s">
        <v>101</v>
      </c>
      <c r="B68" s="147">
        <f>(B67/B66)*(B65/B64)*(B63/B62)*(B61/B60)*B59</f>
        <v>100</v>
      </c>
      <c r="C68" s="450" t="s">
        <v>102</v>
      </c>
      <c r="D68" s="453">
        <v>99.69</v>
      </c>
      <c r="E68" s="136">
        <v>1</v>
      </c>
      <c r="F68" s="137">
        <v>116729057</v>
      </c>
      <c r="G68" s="224">
        <f>IF(ISBLANK(F68),"-",(F68/$D$50*$D$47*$B$68)*($B$57/$D$68))</f>
        <v>527.78213368667798</v>
      </c>
      <c r="H68" s="140">
        <f t="shared" si="0"/>
        <v>1.0555642673733561</v>
      </c>
    </row>
    <row r="69" spans="1:8" ht="27" customHeight="1" x14ac:dyDescent="0.4">
      <c r="A69" s="126" t="s">
        <v>103</v>
      </c>
      <c r="B69" s="148">
        <f>(D47*B68)/B56*B57</f>
        <v>109.27750000000002</v>
      </c>
      <c r="C69" s="451"/>
      <c r="D69" s="454"/>
      <c r="E69" s="139">
        <v>2</v>
      </c>
      <c r="F69" s="91">
        <v>117285113</v>
      </c>
      <c r="G69" s="225">
        <f>IF(ISBLANK(F69),"-",(F69/$D$50*$D$47*$B$68)*($B$57/$D$68))</f>
        <v>530.29630136413357</v>
      </c>
      <c r="H69" s="140">
        <f t="shared" si="0"/>
        <v>1.0605926027282671</v>
      </c>
    </row>
    <row r="70" spans="1:8" ht="26.25" customHeight="1" x14ac:dyDescent="0.4">
      <c r="A70" s="456" t="s">
        <v>76</v>
      </c>
      <c r="B70" s="457"/>
      <c r="C70" s="451"/>
      <c r="D70" s="454"/>
      <c r="E70" s="139">
        <v>3</v>
      </c>
      <c r="F70" s="91">
        <v>116914156</v>
      </c>
      <c r="G70" s="225">
        <f>IF(ISBLANK(F70),"-",(F70/$D$50*$D$47*$B$68)*($B$57/$D$68))</f>
        <v>528.61904565764735</v>
      </c>
      <c r="H70" s="140">
        <f t="shared" si="0"/>
        <v>1.0572380913152948</v>
      </c>
    </row>
    <row r="71" spans="1:8" ht="27" customHeight="1" x14ac:dyDescent="0.4">
      <c r="A71" s="458"/>
      <c r="B71" s="459"/>
      <c r="C71" s="452"/>
      <c r="D71" s="455"/>
      <c r="E71" s="142">
        <v>4</v>
      </c>
      <c r="F71" s="143"/>
      <c r="G71" s="226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2" t="s">
        <v>69</v>
      </c>
      <c r="G72" s="231">
        <f>AVERAGE(G60:G71)</f>
        <v>526.6162945502258</v>
      </c>
      <c r="H72" s="153">
        <f>AVERAGE(H60:H71)</f>
        <v>1.0532325891004517</v>
      </c>
    </row>
    <row r="73" spans="1:8" ht="26.25" customHeight="1" x14ac:dyDescent="0.4">
      <c r="C73" s="150"/>
      <c r="D73" s="150"/>
      <c r="E73" s="150"/>
      <c r="F73" s="154" t="s">
        <v>82</v>
      </c>
      <c r="G73" s="227">
        <f>STDEV(G60:G71)/G72</f>
        <v>7.128921968327798E-3</v>
      </c>
      <c r="H73" s="227">
        <f>STDEV(H60:H71)/H72</f>
        <v>7.1289219683277703E-3</v>
      </c>
    </row>
    <row r="74" spans="1:8" ht="27" customHeight="1" x14ac:dyDescent="0.4">
      <c r="A74" s="150"/>
      <c r="B74" s="150"/>
      <c r="C74" s="151"/>
      <c r="D74" s="151"/>
      <c r="E74" s="155"/>
      <c r="F74" s="156" t="s">
        <v>19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2" t="s">
        <v>104</v>
      </c>
      <c r="B76" s="158" t="s">
        <v>105</v>
      </c>
      <c r="C76" s="437" t="str">
        <f>B20</f>
        <v>Amoxicillin &amp; Clavulanic Acid</v>
      </c>
      <c r="D76" s="437"/>
      <c r="E76" s="159" t="s">
        <v>106</v>
      </c>
      <c r="F76" s="159"/>
      <c r="G76" s="160">
        <f>H72</f>
        <v>1.0532325891004517</v>
      </c>
      <c r="H76" s="161"/>
    </row>
    <row r="77" spans="1:8" ht="18.75" x14ac:dyDescent="0.3">
      <c r="A77" s="61" t="s">
        <v>107</v>
      </c>
      <c r="B77" s="61" t="s">
        <v>108</v>
      </c>
    </row>
    <row r="78" spans="1:8" ht="18.75" x14ac:dyDescent="0.3">
      <c r="A78" s="61"/>
      <c r="B78" s="61"/>
    </row>
    <row r="79" spans="1:8" ht="26.25" customHeight="1" x14ac:dyDescent="0.4">
      <c r="A79" s="62" t="s">
        <v>3</v>
      </c>
      <c r="B79" s="460" t="str">
        <f>B26</f>
        <v>Amoxicillin</v>
      </c>
      <c r="C79" s="460"/>
    </row>
    <row r="80" spans="1:8" ht="26.25" customHeight="1" x14ac:dyDescent="0.4">
      <c r="A80" s="63" t="s">
        <v>46</v>
      </c>
      <c r="B80" s="460">
        <f>B27</f>
        <v>0</v>
      </c>
      <c r="C80" s="460"/>
    </row>
    <row r="81" spans="1:12" ht="27" customHeight="1" x14ac:dyDescent="0.4">
      <c r="A81" s="63" t="s">
        <v>5</v>
      </c>
      <c r="B81" s="162">
        <f>B28</f>
        <v>86.6</v>
      </c>
    </row>
    <row r="82" spans="1:12" s="3" customFormat="1" ht="27" customHeight="1" x14ac:dyDescent="0.4">
      <c r="A82" s="63" t="s">
        <v>47</v>
      </c>
      <c r="B82" s="65">
        <v>0</v>
      </c>
      <c r="C82" s="439" t="s">
        <v>48</v>
      </c>
      <c r="D82" s="440"/>
      <c r="E82" s="440"/>
      <c r="F82" s="440"/>
      <c r="G82" s="441"/>
      <c r="I82" s="66"/>
      <c r="J82" s="66"/>
      <c r="K82" s="66"/>
      <c r="L82" s="66"/>
    </row>
    <row r="83" spans="1:12" s="3" customFormat="1" ht="19.5" customHeight="1" x14ac:dyDescent="0.3">
      <c r="A83" s="63" t="s">
        <v>49</v>
      </c>
      <c r="B83" s="67">
        <f>B81-B82</f>
        <v>86.6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3" customFormat="1" ht="27" customHeight="1" x14ac:dyDescent="0.4">
      <c r="A84" s="63" t="s">
        <v>50</v>
      </c>
      <c r="B84" s="70">
        <v>1</v>
      </c>
      <c r="C84" s="442" t="s">
        <v>109</v>
      </c>
      <c r="D84" s="443"/>
      <c r="E84" s="443"/>
      <c r="F84" s="443"/>
      <c r="G84" s="443"/>
      <c r="H84" s="444"/>
      <c r="I84" s="66"/>
      <c r="J84" s="66"/>
      <c r="K84" s="66"/>
      <c r="L84" s="66"/>
    </row>
    <row r="85" spans="1:12" s="3" customFormat="1" ht="27" customHeight="1" x14ac:dyDescent="0.4">
      <c r="A85" s="63" t="s">
        <v>52</v>
      </c>
      <c r="B85" s="70">
        <v>1</v>
      </c>
      <c r="C85" s="442" t="s">
        <v>110</v>
      </c>
      <c r="D85" s="443"/>
      <c r="E85" s="443"/>
      <c r="F85" s="443"/>
      <c r="G85" s="443"/>
      <c r="H85" s="444"/>
      <c r="I85" s="66"/>
      <c r="J85" s="66"/>
      <c r="K85" s="66"/>
      <c r="L85" s="66"/>
    </row>
    <row r="86" spans="1:12" s="3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3" customFormat="1" ht="18.75" x14ac:dyDescent="0.3">
      <c r="A87" s="63" t="s">
        <v>54</v>
      </c>
      <c r="B87" s="75">
        <f>B84/B85</f>
        <v>1</v>
      </c>
      <c r="C87" s="53" t="s">
        <v>55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56</v>
      </c>
      <c r="B89" s="77">
        <v>20</v>
      </c>
      <c r="D89" s="163" t="s">
        <v>57</v>
      </c>
      <c r="E89" s="164"/>
      <c r="F89" s="445" t="s">
        <v>58</v>
      </c>
      <c r="G89" s="446"/>
    </row>
    <row r="90" spans="1:12" ht="27" customHeight="1" x14ac:dyDescent="0.4">
      <c r="A90" s="78" t="s">
        <v>59</v>
      </c>
      <c r="B90" s="79">
        <v>10</v>
      </c>
      <c r="C90" s="165" t="s">
        <v>60</v>
      </c>
      <c r="D90" s="81" t="s">
        <v>61</v>
      </c>
      <c r="E90" s="82" t="s">
        <v>62</v>
      </c>
      <c r="F90" s="81" t="s">
        <v>61</v>
      </c>
      <c r="G90" s="166" t="s">
        <v>62</v>
      </c>
      <c r="I90" s="84" t="s">
        <v>63</v>
      </c>
    </row>
    <row r="91" spans="1:12" ht="26.25" customHeight="1" x14ac:dyDescent="0.4">
      <c r="A91" s="78" t="s">
        <v>64</v>
      </c>
      <c r="B91" s="79">
        <v>25</v>
      </c>
      <c r="C91" s="167">
        <v>1</v>
      </c>
      <c r="D91" s="86">
        <v>109871362</v>
      </c>
      <c r="E91" s="87">
        <f>IF(ISBLANK(D91),"-",$D$101/$D$98*D91)</f>
        <v>147088019.95713493</v>
      </c>
      <c r="F91" s="86">
        <v>123993104</v>
      </c>
      <c r="G91" s="88">
        <f>IF(ISBLANK(F91),"-",$D$101/$F$98*F91)</f>
        <v>147467457.59289849</v>
      </c>
      <c r="I91" s="89"/>
    </row>
    <row r="92" spans="1:12" ht="26.25" customHeight="1" x14ac:dyDescent="0.4">
      <c r="A92" s="78" t="s">
        <v>65</v>
      </c>
      <c r="B92" s="79">
        <v>1</v>
      </c>
      <c r="C92" s="151">
        <v>2</v>
      </c>
      <c r="D92" s="91">
        <v>107866182</v>
      </c>
      <c r="E92" s="92">
        <f>IF(ISBLANK(D92),"-",$D$101/$D$98*D92)</f>
        <v>144403626.58575171</v>
      </c>
      <c r="F92" s="91">
        <v>121196562</v>
      </c>
      <c r="G92" s="93">
        <f>IF(ISBLANK(F92),"-",$D$101/$F$98*F92)</f>
        <v>144141474.73185357</v>
      </c>
      <c r="I92" s="447">
        <f>ABS((F96/D96*D95)-F95)/D95</f>
        <v>1.645336331219366E-3</v>
      </c>
    </row>
    <row r="93" spans="1:12" ht="26.25" customHeight="1" x14ac:dyDescent="0.4">
      <c r="A93" s="78" t="s">
        <v>66</v>
      </c>
      <c r="B93" s="79">
        <v>1</v>
      </c>
      <c r="C93" s="151">
        <v>3</v>
      </c>
      <c r="D93" s="91">
        <v>106588385</v>
      </c>
      <c r="E93" s="92">
        <f>IF(ISBLANK(D93),"-",$D$101/$D$98*D93)</f>
        <v>142693002.20451242</v>
      </c>
      <c r="F93" s="91">
        <v>119346421</v>
      </c>
      <c r="G93" s="93">
        <f>IF(ISBLANK(F93),"-",$D$101/$F$98*F93)</f>
        <v>141941065.34893838</v>
      </c>
      <c r="I93" s="447"/>
    </row>
    <row r="94" spans="1:12" ht="27" customHeight="1" x14ac:dyDescent="0.4">
      <c r="A94" s="78" t="s">
        <v>67</v>
      </c>
      <c r="B94" s="79">
        <v>1</v>
      </c>
      <c r="C94" s="168">
        <v>4</v>
      </c>
      <c r="D94" s="96"/>
      <c r="E94" s="97" t="str">
        <f>IF(ISBLANK(D94),"-",$D$101/$D$98*D94)</f>
        <v>-</v>
      </c>
      <c r="F94" s="422"/>
      <c r="G94" s="98" t="str">
        <f>IF(ISBLANK(F94),"-",$D$101/$F$98*F94)</f>
        <v>-</v>
      </c>
      <c r="I94" s="99"/>
    </row>
    <row r="95" spans="1:12" ht="27" customHeight="1" x14ac:dyDescent="0.4">
      <c r="A95" s="78" t="s">
        <v>68</v>
      </c>
      <c r="B95" s="79">
        <v>1</v>
      </c>
      <c r="C95" s="169" t="s">
        <v>69</v>
      </c>
      <c r="D95" s="170">
        <f>AVERAGE(D91:D94)</f>
        <v>108108643</v>
      </c>
      <c r="E95" s="102">
        <f>AVERAGE(E91:E94)</f>
        <v>144728216.24913302</v>
      </c>
      <c r="F95" s="171">
        <f>AVERAGE(F91:F94)</f>
        <v>121512029</v>
      </c>
      <c r="G95" s="172">
        <f>AVERAGE(G91:G94)</f>
        <v>144516665.89123014</v>
      </c>
    </row>
    <row r="96" spans="1:12" ht="26.25" customHeight="1" x14ac:dyDescent="0.4">
      <c r="A96" s="78" t="s">
        <v>70</v>
      </c>
      <c r="B96" s="64">
        <v>1</v>
      </c>
      <c r="C96" s="173" t="s">
        <v>111</v>
      </c>
      <c r="D96" s="174">
        <v>23.96</v>
      </c>
      <c r="E96" s="94"/>
      <c r="F96" s="106">
        <v>26.97</v>
      </c>
    </row>
    <row r="97" spans="1:10" ht="26.25" customHeight="1" x14ac:dyDescent="0.4">
      <c r="A97" s="78" t="s">
        <v>72</v>
      </c>
      <c r="B97" s="64">
        <v>1</v>
      </c>
      <c r="C97" s="175" t="s">
        <v>112</v>
      </c>
      <c r="D97" s="176">
        <f>D96*$B$87</f>
        <v>23.96</v>
      </c>
      <c r="E97" s="109"/>
      <c r="F97" s="108">
        <f>F96*$B$87</f>
        <v>26.97</v>
      </c>
    </row>
    <row r="98" spans="1:10" ht="19.5" customHeight="1" x14ac:dyDescent="0.3">
      <c r="A98" s="78" t="s">
        <v>74</v>
      </c>
      <c r="B98" s="177">
        <f>(B97/B96)*(B95/B94)*(B93/B92)*(B91/B90)*B89</f>
        <v>50</v>
      </c>
      <c r="C98" s="175" t="s">
        <v>113</v>
      </c>
      <c r="D98" s="178">
        <f>D97*$B$83/100</f>
        <v>20.749360000000003</v>
      </c>
      <c r="E98" s="112"/>
      <c r="F98" s="111">
        <f>F97*$B$83/100</f>
        <v>23.356019999999997</v>
      </c>
    </row>
    <row r="99" spans="1:10" ht="19.5" customHeight="1" x14ac:dyDescent="0.3">
      <c r="A99" s="433" t="s">
        <v>76</v>
      </c>
      <c r="B99" s="448"/>
      <c r="C99" s="175" t="s">
        <v>114</v>
      </c>
      <c r="D99" s="179">
        <f>D98/$B$98</f>
        <v>0.41498720000000006</v>
      </c>
      <c r="E99" s="112"/>
      <c r="F99" s="115">
        <f>F98/$B$98</f>
        <v>0.46712039999999994</v>
      </c>
      <c r="G99" s="180"/>
      <c r="H99" s="104"/>
    </row>
    <row r="100" spans="1:10" ht="19.5" customHeight="1" x14ac:dyDescent="0.3">
      <c r="A100" s="435"/>
      <c r="B100" s="449"/>
      <c r="C100" s="175" t="s">
        <v>78</v>
      </c>
      <c r="D100" s="181">
        <f>$B$56/$B$116</f>
        <v>0.55555555555555558</v>
      </c>
      <c r="F100" s="120"/>
      <c r="G100" s="182"/>
      <c r="H100" s="104"/>
    </row>
    <row r="101" spans="1:10" ht="18.75" x14ac:dyDescent="0.3">
      <c r="C101" s="175" t="s">
        <v>79</v>
      </c>
      <c r="D101" s="176">
        <f>D100*$B$98</f>
        <v>27.777777777777779</v>
      </c>
      <c r="F101" s="120"/>
      <c r="G101" s="180"/>
      <c r="H101" s="104"/>
    </row>
    <row r="102" spans="1:10" ht="19.5" customHeight="1" x14ac:dyDescent="0.3">
      <c r="C102" s="183" t="s">
        <v>80</v>
      </c>
      <c r="D102" s="184">
        <f>D101/B34</f>
        <v>27.777777777777779</v>
      </c>
      <c r="F102" s="124"/>
      <c r="G102" s="180"/>
      <c r="H102" s="104"/>
      <c r="J102" s="185"/>
    </row>
    <row r="103" spans="1:10" ht="18.75" x14ac:dyDescent="0.3">
      <c r="C103" s="186" t="s">
        <v>115</v>
      </c>
      <c r="D103" s="187">
        <f>AVERAGE(E91:E94,G91:G94)</f>
        <v>144622441.07018158</v>
      </c>
      <c r="F103" s="124"/>
      <c r="G103" s="188"/>
      <c r="H103" s="104"/>
      <c r="J103" s="189"/>
    </row>
    <row r="104" spans="1:10" ht="18.75" x14ac:dyDescent="0.3">
      <c r="C104" s="154" t="s">
        <v>82</v>
      </c>
      <c r="D104" s="190">
        <f>STDEV(E91:E94,G91:G94)/D103</f>
        <v>1.5573851554877694E-2</v>
      </c>
      <c r="F104" s="124"/>
      <c r="G104" s="180"/>
      <c r="H104" s="104"/>
      <c r="J104" s="189"/>
    </row>
    <row r="105" spans="1:10" ht="19.5" customHeight="1" x14ac:dyDescent="0.3">
      <c r="C105" s="156" t="s">
        <v>19</v>
      </c>
      <c r="D105" s="191">
        <f>COUNT(E91:E94,G91:G94)</f>
        <v>6</v>
      </c>
      <c r="F105" s="124"/>
      <c r="G105" s="180"/>
      <c r="H105" s="104"/>
      <c r="J105" s="189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116</v>
      </c>
      <c r="B107" s="77">
        <v>900</v>
      </c>
      <c r="C107" s="192" t="s">
        <v>117</v>
      </c>
      <c r="D107" s="193" t="s">
        <v>61</v>
      </c>
      <c r="E107" s="194" t="s">
        <v>118</v>
      </c>
      <c r="F107" s="195" t="s">
        <v>119</v>
      </c>
    </row>
    <row r="108" spans="1:10" ht="26.25" customHeight="1" x14ac:dyDescent="0.4">
      <c r="A108" s="78" t="s">
        <v>120</v>
      </c>
      <c r="B108" s="79">
        <v>1</v>
      </c>
      <c r="C108" s="196">
        <v>1</v>
      </c>
      <c r="D108" s="197">
        <v>141361903</v>
      </c>
      <c r="E108" s="228">
        <f t="shared" ref="E108:E113" si="1">IF(ISBLANK(D108),"-",D108/$D$103*$D$100*$B$116)</f>
        <v>488.72741309697813</v>
      </c>
      <c r="F108" s="198">
        <f t="shared" ref="F108:F113" si="2">IF(ISBLANK(D108), "-", E108/$B$56)</f>
        <v>0.97745482619395629</v>
      </c>
    </row>
    <row r="109" spans="1:10" ht="26.25" customHeight="1" x14ac:dyDescent="0.4">
      <c r="A109" s="78" t="s">
        <v>93</v>
      </c>
      <c r="B109" s="79">
        <v>1</v>
      </c>
      <c r="C109" s="196">
        <v>2</v>
      </c>
      <c r="D109" s="197">
        <v>141170293</v>
      </c>
      <c r="E109" s="229">
        <f t="shared" si="1"/>
        <v>488.06496403795893</v>
      </c>
      <c r="F109" s="199">
        <f t="shared" si="2"/>
        <v>0.97612992807591781</v>
      </c>
    </row>
    <row r="110" spans="1:10" ht="26.25" customHeight="1" x14ac:dyDescent="0.4">
      <c r="A110" s="78" t="s">
        <v>94</v>
      </c>
      <c r="B110" s="79">
        <v>1</v>
      </c>
      <c r="C110" s="196">
        <v>3</v>
      </c>
      <c r="D110" s="197">
        <v>140906362</v>
      </c>
      <c r="E110" s="229">
        <f t="shared" si="1"/>
        <v>487.15248116860977</v>
      </c>
      <c r="F110" s="199">
        <f t="shared" si="2"/>
        <v>0.97430496233721953</v>
      </c>
    </row>
    <row r="111" spans="1:10" ht="26.25" customHeight="1" x14ac:dyDescent="0.4">
      <c r="A111" s="78" t="s">
        <v>95</v>
      </c>
      <c r="B111" s="79">
        <v>1</v>
      </c>
      <c r="C111" s="196">
        <v>4</v>
      </c>
      <c r="D111" s="197">
        <v>143969690</v>
      </c>
      <c r="E111" s="229">
        <f t="shared" si="1"/>
        <v>497.74325801254867</v>
      </c>
      <c r="F111" s="199">
        <f t="shared" si="2"/>
        <v>0.9954865160250973</v>
      </c>
    </row>
    <row r="112" spans="1:10" ht="26.25" customHeight="1" x14ac:dyDescent="0.4">
      <c r="A112" s="78" t="s">
        <v>96</v>
      </c>
      <c r="B112" s="79">
        <v>1</v>
      </c>
      <c r="C112" s="196">
        <v>5</v>
      </c>
      <c r="D112" s="197">
        <v>130418096</v>
      </c>
      <c r="E112" s="229">
        <f t="shared" si="1"/>
        <v>450.89162869513257</v>
      </c>
      <c r="F112" s="199">
        <f t="shared" si="2"/>
        <v>0.9017832573902651</v>
      </c>
    </row>
    <row r="113" spans="1:10" ht="26.25" customHeight="1" x14ac:dyDescent="0.4">
      <c r="A113" s="78" t="s">
        <v>98</v>
      </c>
      <c r="B113" s="79">
        <v>1</v>
      </c>
      <c r="C113" s="200">
        <v>6</v>
      </c>
      <c r="D113" s="201">
        <v>145937056</v>
      </c>
      <c r="E113" s="230">
        <f t="shared" si="1"/>
        <v>504.54498942242469</v>
      </c>
      <c r="F113" s="202">
        <f t="shared" si="2"/>
        <v>1.0090899788448493</v>
      </c>
    </row>
    <row r="114" spans="1:10" ht="26.25" customHeight="1" x14ac:dyDescent="0.4">
      <c r="A114" s="78" t="s">
        <v>99</v>
      </c>
      <c r="B114" s="79">
        <v>1</v>
      </c>
      <c r="C114" s="196"/>
      <c r="D114" s="151"/>
      <c r="E114" s="52"/>
      <c r="F114" s="203"/>
    </row>
    <row r="115" spans="1:10" ht="26.25" customHeight="1" x14ac:dyDescent="0.4">
      <c r="A115" s="78" t="s">
        <v>100</v>
      </c>
      <c r="B115" s="79">
        <v>1</v>
      </c>
      <c r="C115" s="196"/>
      <c r="D115" s="204" t="s">
        <v>69</v>
      </c>
      <c r="E115" s="232">
        <f>AVERAGE(E108:E113)</f>
        <v>486.18745573894216</v>
      </c>
      <c r="F115" s="205">
        <f>AVERAGE(F108:F113)</f>
        <v>0.97237491147788413</v>
      </c>
    </row>
    <row r="116" spans="1:10" ht="27" customHeight="1" x14ac:dyDescent="0.4">
      <c r="A116" s="78" t="s">
        <v>101</v>
      </c>
      <c r="B116" s="110">
        <f>(B115/B114)*(B113/B112)*(B111/B110)*(B109/B108)*B107</f>
        <v>900</v>
      </c>
      <c r="C116" s="206"/>
      <c r="D116" s="169" t="s">
        <v>82</v>
      </c>
      <c r="E116" s="207">
        <f>STDEV(E108:E113)/E115</f>
        <v>3.8228515168153232E-2</v>
      </c>
      <c r="F116" s="207">
        <f>STDEV(F108:F113)/F115</f>
        <v>3.8228515168153232E-2</v>
      </c>
      <c r="I116" s="52"/>
    </row>
    <row r="117" spans="1:10" ht="27" customHeight="1" x14ac:dyDescent="0.4">
      <c r="A117" s="433" t="s">
        <v>76</v>
      </c>
      <c r="B117" s="434"/>
      <c r="C117" s="208"/>
      <c r="D117" s="209" t="s">
        <v>19</v>
      </c>
      <c r="E117" s="210">
        <f>COUNT(E108:E113)</f>
        <v>6</v>
      </c>
      <c r="F117" s="210">
        <f>COUNT(F108:F113)</f>
        <v>6</v>
      </c>
      <c r="I117" s="52"/>
      <c r="J117" s="189"/>
    </row>
    <row r="118" spans="1:10" ht="19.5" customHeight="1" x14ac:dyDescent="0.3">
      <c r="A118" s="435"/>
      <c r="B118" s="436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19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104</v>
      </c>
      <c r="B120" s="158" t="s">
        <v>121</v>
      </c>
      <c r="C120" s="437" t="str">
        <f>B20</f>
        <v>Amoxicillin &amp; Clavulanic Acid</v>
      </c>
      <c r="D120" s="437"/>
      <c r="E120" s="159" t="s">
        <v>122</v>
      </c>
      <c r="F120" s="159"/>
      <c r="G120" s="160">
        <f>F115</f>
        <v>0.97237491147788413</v>
      </c>
      <c r="H120" s="52"/>
      <c r="I120" s="52"/>
    </row>
    <row r="121" spans="1:10" ht="19.5" customHeight="1" x14ac:dyDescent="0.3">
      <c r="A121" s="211"/>
      <c r="B121" s="211"/>
      <c r="C121" s="212"/>
      <c r="D121" s="212"/>
      <c r="E121" s="212"/>
      <c r="F121" s="212"/>
      <c r="G121" s="212"/>
      <c r="H121" s="212"/>
    </row>
    <row r="122" spans="1:10" ht="18.75" x14ac:dyDescent="0.3">
      <c r="B122" s="438" t="s">
        <v>24</v>
      </c>
      <c r="C122" s="438"/>
      <c r="E122" s="165" t="s">
        <v>25</v>
      </c>
      <c r="F122" s="213"/>
      <c r="G122" s="438" t="s">
        <v>26</v>
      </c>
      <c r="H122" s="438"/>
    </row>
    <row r="123" spans="1:10" ht="69.95" customHeight="1" x14ac:dyDescent="0.3">
      <c r="A123" s="214" t="s">
        <v>27</v>
      </c>
      <c r="B123" s="215"/>
      <c r="C123" s="215"/>
      <c r="E123" s="215"/>
      <c r="F123" s="52"/>
      <c r="G123" s="216"/>
      <c r="H123" s="216"/>
    </row>
    <row r="124" spans="1:10" ht="69.95" customHeight="1" x14ac:dyDescent="0.3">
      <c r="A124" s="214" t="s">
        <v>28</v>
      </c>
      <c r="B124" s="217"/>
      <c r="C124" s="217"/>
      <c r="E124" s="217"/>
      <c r="F124" s="52"/>
      <c r="G124" s="218"/>
      <c r="H124" s="218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2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1" t="s">
        <v>43</v>
      </c>
      <c r="B1" s="431"/>
      <c r="C1" s="431"/>
      <c r="D1" s="431"/>
      <c r="E1" s="431"/>
      <c r="F1" s="431"/>
      <c r="G1" s="431"/>
      <c r="H1" s="431"/>
      <c r="I1" s="431"/>
    </row>
    <row r="2" spans="1:9" ht="18.75" customHeight="1" x14ac:dyDescent="0.25">
      <c r="A2" s="431"/>
      <c r="B2" s="431"/>
      <c r="C2" s="431"/>
      <c r="D2" s="431"/>
      <c r="E2" s="431"/>
      <c r="F2" s="431"/>
      <c r="G2" s="431"/>
      <c r="H2" s="431"/>
      <c r="I2" s="431"/>
    </row>
    <row r="3" spans="1:9" ht="18.75" customHeight="1" x14ac:dyDescent="0.25">
      <c r="A3" s="431"/>
      <c r="B3" s="431"/>
      <c r="C3" s="431"/>
      <c r="D3" s="431"/>
      <c r="E3" s="431"/>
      <c r="F3" s="431"/>
      <c r="G3" s="431"/>
      <c r="H3" s="431"/>
      <c r="I3" s="431"/>
    </row>
    <row r="4" spans="1:9" ht="18.75" customHeight="1" x14ac:dyDescent="0.25">
      <c r="A4" s="431"/>
      <c r="B4" s="431"/>
      <c r="C4" s="431"/>
      <c r="D4" s="431"/>
      <c r="E4" s="431"/>
      <c r="F4" s="431"/>
      <c r="G4" s="431"/>
      <c r="H4" s="431"/>
      <c r="I4" s="431"/>
    </row>
    <row r="5" spans="1:9" ht="18.75" customHeight="1" x14ac:dyDescent="0.25">
      <c r="A5" s="431"/>
      <c r="B5" s="431"/>
      <c r="C5" s="431"/>
      <c r="D5" s="431"/>
      <c r="E5" s="431"/>
      <c r="F5" s="431"/>
      <c r="G5" s="431"/>
      <c r="H5" s="431"/>
      <c r="I5" s="431"/>
    </row>
    <row r="6" spans="1:9" ht="18.75" customHeight="1" x14ac:dyDescent="0.25">
      <c r="A6" s="431"/>
      <c r="B6" s="431"/>
      <c r="C6" s="431"/>
      <c r="D6" s="431"/>
      <c r="E6" s="431"/>
      <c r="F6" s="431"/>
      <c r="G6" s="431"/>
      <c r="H6" s="431"/>
      <c r="I6" s="431"/>
    </row>
    <row r="7" spans="1:9" ht="18.75" customHeight="1" x14ac:dyDescent="0.25">
      <c r="A7" s="431"/>
      <c r="B7" s="431"/>
      <c r="C7" s="431"/>
      <c r="D7" s="431"/>
      <c r="E7" s="431"/>
      <c r="F7" s="431"/>
      <c r="G7" s="431"/>
      <c r="H7" s="431"/>
      <c r="I7" s="431"/>
    </row>
    <row r="8" spans="1:9" x14ac:dyDescent="0.25">
      <c r="A8" s="432" t="s">
        <v>44</v>
      </c>
      <c r="B8" s="432"/>
      <c r="C8" s="432"/>
      <c r="D8" s="432"/>
      <c r="E8" s="432"/>
      <c r="F8" s="432"/>
      <c r="G8" s="432"/>
      <c r="H8" s="432"/>
      <c r="I8" s="432"/>
    </row>
    <row r="9" spans="1:9" x14ac:dyDescent="0.25">
      <c r="A9" s="432"/>
      <c r="B9" s="432"/>
      <c r="C9" s="432"/>
      <c r="D9" s="432"/>
      <c r="E9" s="432"/>
      <c r="F9" s="432"/>
      <c r="G9" s="432"/>
      <c r="H9" s="432"/>
      <c r="I9" s="432"/>
    </row>
    <row r="10" spans="1:9" x14ac:dyDescent="0.25">
      <c r="A10" s="432"/>
      <c r="B10" s="432"/>
      <c r="C10" s="432"/>
      <c r="D10" s="432"/>
      <c r="E10" s="432"/>
      <c r="F10" s="432"/>
      <c r="G10" s="432"/>
      <c r="H10" s="432"/>
      <c r="I10" s="432"/>
    </row>
    <row r="11" spans="1:9" x14ac:dyDescent="0.25">
      <c r="A11" s="432"/>
      <c r="B11" s="432"/>
      <c r="C11" s="432"/>
      <c r="D11" s="432"/>
      <c r="E11" s="432"/>
      <c r="F11" s="432"/>
      <c r="G11" s="432"/>
      <c r="H11" s="432"/>
      <c r="I11" s="432"/>
    </row>
    <row r="12" spans="1:9" x14ac:dyDescent="0.25">
      <c r="A12" s="432"/>
      <c r="B12" s="432"/>
      <c r="C12" s="432"/>
      <c r="D12" s="432"/>
      <c r="E12" s="432"/>
      <c r="F12" s="432"/>
      <c r="G12" s="432"/>
      <c r="H12" s="432"/>
      <c r="I12" s="432"/>
    </row>
    <row r="13" spans="1:9" x14ac:dyDescent="0.25">
      <c r="A13" s="432"/>
      <c r="B13" s="432"/>
      <c r="C13" s="432"/>
      <c r="D13" s="432"/>
      <c r="E13" s="432"/>
      <c r="F13" s="432"/>
      <c r="G13" s="432"/>
      <c r="H13" s="432"/>
      <c r="I13" s="432"/>
    </row>
    <row r="14" spans="1:9" x14ac:dyDescent="0.25">
      <c r="A14" s="432"/>
      <c r="B14" s="432"/>
      <c r="C14" s="432"/>
      <c r="D14" s="432"/>
      <c r="E14" s="432"/>
      <c r="F14" s="432"/>
      <c r="G14" s="432"/>
      <c r="H14" s="432"/>
      <c r="I14" s="432"/>
    </row>
    <row r="15" spans="1:9" ht="19.5" customHeight="1" x14ac:dyDescent="0.3">
      <c r="A15" s="234"/>
    </row>
    <row r="16" spans="1:9" ht="19.5" customHeight="1" x14ac:dyDescent="0.3">
      <c r="A16" s="465" t="s">
        <v>29</v>
      </c>
      <c r="B16" s="466"/>
      <c r="C16" s="466"/>
      <c r="D16" s="466"/>
      <c r="E16" s="466"/>
      <c r="F16" s="466"/>
      <c r="G16" s="466"/>
      <c r="H16" s="467"/>
    </row>
    <row r="17" spans="1:14" ht="20.25" customHeight="1" x14ac:dyDescent="0.25">
      <c r="A17" s="468" t="s">
        <v>45</v>
      </c>
      <c r="B17" s="468"/>
      <c r="C17" s="468"/>
      <c r="D17" s="468"/>
      <c r="E17" s="468"/>
      <c r="F17" s="468"/>
      <c r="G17" s="468"/>
      <c r="H17" s="468"/>
    </row>
    <row r="18" spans="1:14" ht="26.25" customHeight="1" x14ac:dyDescent="0.4">
      <c r="A18" s="236" t="s">
        <v>31</v>
      </c>
      <c r="B18" s="464" t="s">
        <v>4</v>
      </c>
      <c r="C18" s="464"/>
      <c r="D18" s="402"/>
      <c r="E18" s="237"/>
      <c r="F18" s="238"/>
      <c r="G18" s="238"/>
      <c r="H18" s="238"/>
    </row>
    <row r="19" spans="1:14" ht="26.25" customHeight="1" x14ac:dyDescent="0.4">
      <c r="A19" s="236" t="s">
        <v>32</v>
      </c>
      <c r="B19" s="239" t="s">
        <v>6</v>
      </c>
      <c r="C19" s="415">
        <v>29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33</v>
      </c>
      <c r="B20" s="469" t="s">
        <v>8</v>
      </c>
      <c r="C20" s="469"/>
      <c r="D20" s="238"/>
      <c r="E20" s="238"/>
      <c r="F20" s="238"/>
      <c r="G20" s="238"/>
      <c r="H20" s="238"/>
    </row>
    <row r="21" spans="1:14" ht="26.25" customHeight="1" x14ac:dyDescent="0.4">
      <c r="A21" s="236" t="s">
        <v>34</v>
      </c>
      <c r="B21" s="469" t="s">
        <v>10</v>
      </c>
      <c r="C21" s="469"/>
      <c r="D21" s="469"/>
      <c r="E21" s="469"/>
      <c r="F21" s="469"/>
      <c r="G21" s="469"/>
      <c r="H21" s="469"/>
      <c r="I21" s="240"/>
    </row>
    <row r="22" spans="1:14" ht="26.25" customHeight="1" x14ac:dyDescent="0.4">
      <c r="A22" s="236" t="s">
        <v>35</v>
      </c>
      <c r="B22" s="241" t="s">
        <v>11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36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3</v>
      </c>
      <c r="B26" s="464" t="s">
        <v>124</v>
      </c>
      <c r="C26" s="464"/>
    </row>
    <row r="27" spans="1:14" ht="26.25" customHeight="1" x14ac:dyDescent="0.4">
      <c r="A27" s="245" t="s">
        <v>46</v>
      </c>
      <c r="B27" s="462"/>
      <c r="C27" s="462"/>
    </row>
    <row r="28" spans="1:14" ht="27" customHeight="1" x14ac:dyDescent="0.4">
      <c r="A28" s="245" t="s">
        <v>5</v>
      </c>
      <c r="B28" s="246">
        <v>96.4</v>
      </c>
    </row>
    <row r="29" spans="1:14" s="3" customFormat="1" ht="27" customHeight="1" x14ac:dyDescent="0.4">
      <c r="A29" s="245" t="s">
        <v>47</v>
      </c>
      <c r="B29" s="247"/>
      <c r="C29" s="439" t="s">
        <v>48</v>
      </c>
      <c r="D29" s="440"/>
      <c r="E29" s="440"/>
      <c r="F29" s="440"/>
      <c r="G29" s="441"/>
      <c r="I29" s="248"/>
      <c r="J29" s="248"/>
      <c r="K29" s="248"/>
      <c r="L29" s="248"/>
    </row>
    <row r="30" spans="1:14" s="3" customFormat="1" ht="19.5" customHeight="1" x14ac:dyDescent="0.3">
      <c r="A30" s="245" t="s">
        <v>49</v>
      </c>
      <c r="B30" s="249">
        <f>B28-B29</f>
        <v>96.4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50</v>
      </c>
      <c r="B31" s="252">
        <v>1</v>
      </c>
      <c r="C31" s="442" t="s">
        <v>51</v>
      </c>
      <c r="D31" s="443"/>
      <c r="E31" s="443"/>
      <c r="F31" s="443"/>
      <c r="G31" s="443"/>
      <c r="H31" s="444"/>
      <c r="I31" s="248"/>
      <c r="J31" s="248"/>
      <c r="K31" s="248"/>
      <c r="L31" s="248"/>
    </row>
    <row r="32" spans="1:14" s="3" customFormat="1" ht="27" customHeight="1" x14ac:dyDescent="0.4">
      <c r="A32" s="245" t="s">
        <v>52</v>
      </c>
      <c r="B32" s="252">
        <v>1</v>
      </c>
      <c r="C32" s="442" t="s">
        <v>53</v>
      </c>
      <c r="D32" s="443"/>
      <c r="E32" s="443"/>
      <c r="F32" s="443"/>
      <c r="G32" s="443"/>
      <c r="H32" s="444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54</v>
      </c>
      <c r="B34" s="257">
        <f>B31/B32</f>
        <v>1</v>
      </c>
      <c r="C34" s="235" t="s">
        <v>55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56</v>
      </c>
      <c r="B36" s="259">
        <v>20</v>
      </c>
      <c r="C36" s="235"/>
      <c r="D36" s="445" t="s">
        <v>57</v>
      </c>
      <c r="E36" s="463"/>
      <c r="F36" s="445" t="s">
        <v>58</v>
      </c>
      <c r="G36" s="446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59</v>
      </c>
      <c r="B37" s="261">
        <v>3</v>
      </c>
      <c r="C37" s="262" t="s">
        <v>60</v>
      </c>
      <c r="D37" s="263" t="s">
        <v>61</v>
      </c>
      <c r="E37" s="264" t="s">
        <v>62</v>
      </c>
      <c r="F37" s="263" t="s">
        <v>61</v>
      </c>
      <c r="G37" s="265" t="s">
        <v>62</v>
      </c>
      <c r="I37" s="266" t="s">
        <v>63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64</v>
      </c>
      <c r="B38" s="261">
        <v>25</v>
      </c>
      <c r="C38" s="267">
        <v>1</v>
      </c>
      <c r="D38" s="268">
        <v>34051367</v>
      </c>
      <c r="E38" s="269">
        <f>IF(ISBLANK(D38),"-",$D$48/$D$45*D38)</f>
        <v>36197527.067222103</v>
      </c>
      <c r="F38" s="268">
        <v>34853336</v>
      </c>
      <c r="G38" s="270">
        <f>IF(ISBLANK(F38),"-",$D$48/$F$45*F38)</f>
        <v>34647072.277551502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65</v>
      </c>
      <c r="B39" s="261">
        <v>1</v>
      </c>
      <c r="C39" s="272">
        <v>2</v>
      </c>
      <c r="D39" s="273">
        <v>33865721</v>
      </c>
      <c r="E39" s="274">
        <f>IF(ISBLANK(D39),"-",$D$48/$D$45*D39)</f>
        <v>36000180.331923008</v>
      </c>
      <c r="F39" s="273">
        <v>36804197</v>
      </c>
      <c r="G39" s="275">
        <f>IF(ISBLANK(F39),"-",$D$48/$F$45*F39)</f>
        <v>36586387.988118105</v>
      </c>
      <c r="I39" s="447">
        <f>ABS((F43/D43*D42)-F42)/D42</f>
        <v>4.3503798812068381E-3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66</v>
      </c>
      <c r="B40" s="261">
        <v>1</v>
      </c>
      <c r="C40" s="272">
        <v>3</v>
      </c>
      <c r="D40" s="273">
        <v>33830952</v>
      </c>
      <c r="E40" s="274">
        <f>IF(ISBLANK(D40),"-",$D$48/$D$45*D40)</f>
        <v>35963219.941504605</v>
      </c>
      <c r="F40" s="273">
        <v>36704664</v>
      </c>
      <c r="G40" s="275">
        <f>IF(ISBLANK(F40),"-",$D$48/$F$45*F40)</f>
        <v>36487444.029209793</v>
      </c>
      <c r="I40" s="447"/>
      <c r="L40" s="253"/>
      <c r="M40" s="253"/>
      <c r="N40" s="276"/>
    </row>
    <row r="41" spans="1:14" ht="27" customHeight="1" x14ac:dyDescent="0.4">
      <c r="A41" s="260" t="s">
        <v>67</v>
      </c>
      <c r="B41" s="261">
        <v>1</v>
      </c>
      <c r="C41" s="277">
        <v>4</v>
      </c>
      <c r="D41" s="278"/>
      <c r="E41" s="279" t="str">
        <f>IF(ISBLANK(D41),"-",$D$48/$D$45*D41)</f>
        <v>-</v>
      </c>
      <c r="F41" s="278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68</v>
      </c>
      <c r="B42" s="261">
        <v>1</v>
      </c>
      <c r="C42" s="282" t="s">
        <v>69</v>
      </c>
      <c r="D42" s="283">
        <f>AVERAGE(D38:D41)</f>
        <v>33916013.333333336</v>
      </c>
      <c r="E42" s="284">
        <f>AVERAGE(E38:E41)</f>
        <v>36053642.446883239</v>
      </c>
      <c r="F42" s="283">
        <f>AVERAGE(F38:F41)</f>
        <v>36120732.333333336</v>
      </c>
      <c r="G42" s="285">
        <f>AVERAGE(G38:G41)</f>
        <v>35906968.098293133</v>
      </c>
      <c r="H42" s="286"/>
    </row>
    <row r="43" spans="1:14" ht="26.25" customHeight="1" x14ac:dyDescent="0.4">
      <c r="A43" s="260" t="s">
        <v>70</v>
      </c>
      <c r="B43" s="261">
        <v>1</v>
      </c>
      <c r="C43" s="287" t="s">
        <v>71</v>
      </c>
      <c r="D43" s="288">
        <v>20.329999999999998</v>
      </c>
      <c r="E43" s="276"/>
      <c r="F43" s="288">
        <v>21.74</v>
      </c>
      <c r="H43" s="286"/>
    </row>
    <row r="44" spans="1:14" ht="26.25" customHeight="1" x14ac:dyDescent="0.4">
      <c r="A44" s="260" t="s">
        <v>72</v>
      </c>
      <c r="B44" s="261">
        <v>1</v>
      </c>
      <c r="C44" s="289" t="s">
        <v>73</v>
      </c>
      <c r="D44" s="290">
        <f>D43*$B$34</f>
        <v>20.329999999999998</v>
      </c>
      <c r="E44" s="291"/>
      <c r="F44" s="290">
        <f>F43*$B$34</f>
        <v>21.74</v>
      </c>
      <c r="H44" s="286"/>
    </row>
    <row r="45" spans="1:14" ht="19.5" customHeight="1" x14ac:dyDescent="0.3">
      <c r="A45" s="260" t="s">
        <v>74</v>
      </c>
      <c r="B45" s="292">
        <f>(B44/B43)*(B42/B41)*(B40/B39)*(B38/B37)*B36</f>
        <v>166.66666666666669</v>
      </c>
      <c r="C45" s="289" t="s">
        <v>75</v>
      </c>
      <c r="D45" s="293">
        <f>D44*$B$30/100</f>
        <v>19.598119999999998</v>
      </c>
      <c r="E45" s="294"/>
      <c r="F45" s="293">
        <f>F44*$B$30/100</f>
        <v>20.957359999999998</v>
      </c>
      <c r="H45" s="286"/>
    </row>
    <row r="46" spans="1:14" ht="19.5" customHeight="1" x14ac:dyDescent="0.3">
      <c r="A46" s="433" t="s">
        <v>76</v>
      </c>
      <c r="B46" s="434"/>
      <c r="C46" s="289" t="s">
        <v>77</v>
      </c>
      <c r="D46" s="295">
        <f>D45/$B$45</f>
        <v>0.11758871999999998</v>
      </c>
      <c r="E46" s="296"/>
      <c r="F46" s="297">
        <f>F45/$B$45</f>
        <v>0.12574415999999997</v>
      </c>
      <c r="H46" s="286"/>
    </row>
    <row r="47" spans="1:14" ht="27" customHeight="1" x14ac:dyDescent="0.4">
      <c r="A47" s="435"/>
      <c r="B47" s="436"/>
      <c r="C47" s="298" t="s">
        <v>78</v>
      </c>
      <c r="D47" s="299">
        <v>0.125</v>
      </c>
      <c r="E47" s="300"/>
      <c r="F47" s="296"/>
      <c r="H47" s="286"/>
    </row>
    <row r="48" spans="1:14" ht="18.75" x14ac:dyDescent="0.3">
      <c r="C48" s="301" t="s">
        <v>79</v>
      </c>
      <c r="D48" s="293">
        <f>D47*$B$45</f>
        <v>20.833333333333336</v>
      </c>
      <c r="F48" s="302"/>
      <c r="H48" s="286"/>
    </row>
    <row r="49" spans="1:12" ht="19.5" customHeight="1" x14ac:dyDescent="0.3">
      <c r="C49" s="303" t="s">
        <v>80</v>
      </c>
      <c r="D49" s="304">
        <f>D48/B34</f>
        <v>20.833333333333336</v>
      </c>
      <c r="F49" s="302"/>
      <c r="H49" s="286"/>
    </row>
    <row r="50" spans="1:12" ht="18.75" x14ac:dyDescent="0.3">
      <c r="C50" s="258" t="s">
        <v>81</v>
      </c>
      <c r="D50" s="305">
        <f>AVERAGE(E38:E41,G38:G41)</f>
        <v>35980305.272588186</v>
      </c>
      <c r="F50" s="306"/>
      <c r="H50" s="286"/>
    </row>
    <row r="51" spans="1:12" ht="18.75" x14ac:dyDescent="0.3">
      <c r="C51" s="260" t="s">
        <v>82</v>
      </c>
      <c r="D51" s="307">
        <f>STDEV(E38:E41,G38:G41)/D50</f>
        <v>1.945472427681345E-2</v>
      </c>
      <c r="F51" s="306"/>
      <c r="H51" s="286"/>
    </row>
    <row r="52" spans="1:12" ht="19.5" customHeight="1" x14ac:dyDescent="0.3">
      <c r="C52" s="308" t="s">
        <v>19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83</v>
      </c>
    </row>
    <row r="55" spans="1:12" ht="18.75" x14ac:dyDescent="0.3">
      <c r="A55" s="235" t="s">
        <v>84</v>
      </c>
      <c r="B55" s="312" t="str">
        <f>B21</f>
        <v>Each film coate tablet contains: Amoxicillin Trihydrate USP Eq. to Amoxicillin 500mg
Diluted Potassium Clavulanate BP Eq. to Clavulanic acid 125mg</v>
      </c>
    </row>
    <row r="56" spans="1:12" ht="26.25" customHeight="1" x14ac:dyDescent="0.4">
      <c r="A56" s="313" t="s">
        <v>85</v>
      </c>
      <c r="B56" s="314">
        <v>125</v>
      </c>
      <c r="C56" s="235" t="str">
        <f>B20</f>
        <v>Amoxicillin &amp; Clavulanic Acid</v>
      </c>
      <c r="H56" s="315"/>
    </row>
    <row r="57" spans="1:12" ht="18.75" x14ac:dyDescent="0.3">
      <c r="A57" s="312" t="s">
        <v>86</v>
      </c>
      <c r="B57" s="403">
        <f>Uniformity!C46</f>
        <v>1092.7750000000001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87</v>
      </c>
      <c r="B59" s="259">
        <v>100</v>
      </c>
      <c r="C59" s="235"/>
      <c r="D59" s="316" t="s">
        <v>88</v>
      </c>
      <c r="E59" s="317" t="s">
        <v>60</v>
      </c>
      <c r="F59" s="317" t="s">
        <v>61</v>
      </c>
      <c r="G59" s="317" t="s">
        <v>89</v>
      </c>
      <c r="H59" s="262" t="s">
        <v>90</v>
      </c>
      <c r="L59" s="248"/>
    </row>
    <row r="60" spans="1:12" s="3" customFormat="1" ht="26.25" customHeight="1" x14ac:dyDescent="0.4">
      <c r="A60" s="260" t="s">
        <v>91</v>
      </c>
      <c r="B60" s="261">
        <v>1</v>
      </c>
      <c r="C60" s="450" t="s">
        <v>92</v>
      </c>
      <c r="D60" s="453">
        <v>103.89</v>
      </c>
      <c r="E60" s="318">
        <v>1</v>
      </c>
      <c r="F60" s="319">
        <v>35927308</v>
      </c>
      <c r="G60" s="404">
        <f>IF(ISBLANK(F60),"-",(F60/$D$50*$D$47*$B$68)*($B$57/$D$60))</f>
        <v>131.28854973712635</v>
      </c>
      <c r="H60" s="320">
        <f t="shared" ref="H60:H71" si="0">IF(ISBLANK(F60),"-",G60/$B$56)</f>
        <v>1.0503083978970107</v>
      </c>
      <c r="L60" s="248"/>
    </row>
    <row r="61" spans="1:12" s="3" customFormat="1" ht="26.25" customHeight="1" x14ac:dyDescent="0.4">
      <c r="A61" s="260" t="s">
        <v>93</v>
      </c>
      <c r="B61" s="261">
        <v>1</v>
      </c>
      <c r="C61" s="451"/>
      <c r="D61" s="454"/>
      <c r="E61" s="321">
        <v>2</v>
      </c>
      <c r="F61" s="273">
        <v>35790420</v>
      </c>
      <c r="G61" s="405">
        <f>IF(ISBLANK(F61),"-",(F61/$D$50*$D$47*$B$68)*($B$57/$D$60))</f>
        <v>130.78832225010129</v>
      </c>
      <c r="H61" s="322">
        <f t="shared" si="0"/>
        <v>1.0463065780008103</v>
      </c>
      <c r="L61" s="248"/>
    </row>
    <row r="62" spans="1:12" s="3" customFormat="1" ht="26.25" customHeight="1" x14ac:dyDescent="0.4">
      <c r="A62" s="260" t="s">
        <v>94</v>
      </c>
      <c r="B62" s="261">
        <v>1</v>
      </c>
      <c r="C62" s="451"/>
      <c r="D62" s="454"/>
      <c r="E62" s="321">
        <v>3</v>
      </c>
      <c r="F62" s="323">
        <v>35824502</v>
      </c>
      <c r="G62" s="405">
        <f>IF(ISBLANK(F62),"-",(F62/$D$50*$D$47*$B$68)*($B$57/$D$60))</f>
        <v>130.91286752224192</v>
      </c>
      <c r="H62" s="322">
        <f t="shared" si="0"/>
        <v>1.0473029401779355</v>
      </c>
      <c r="L62" s="248"/>
    </row>
    <row r="63" spans="1:12" ht="27" customHeight="1" x14ac:dyDescent="0.4">
      <c r="A63" s="260" t="s">
        <v>95</v>
      </c>
      <c r="B63" s="261">
        <v>1</v>
      </c>
      <c r="C63" s="461"/>
      <c r="D63" s="455"/>
      <c r="E63" s="324">
        <v>4</v>
      </c>
      <c r="F63" s="325"/>
      <c r="G63" s="405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96</v>
      </c>
      <c r="B64" s="261">
        <v>1</v>
      </c>
      <c r="C64" s="450" t="s">
        <v>97</v>
      </c>
      <c r="D64" s="453">
        <v>100.45</v>
      </c>
      <c r="E64" s="318">
        <v>1</v>
      </c>
      <c r="F64" s="319">
        <v>34383544</v>
      </c>
      <c r="G64" s="406">
        <f>IF(ISBLANK(F64),"-",(F64/$D$50*$D$47*$B$68)*($B$57/$D$64))</f>
        <v>129.95009984546391</v>
      </c>
      <c r="H64" s="326">
        <f t="shared" si="0"/>
        <v>1.0396007987637113</v>
      </c>
    </row>
    <row r="65" spans="1:8" ht="26.25" customHeight="1" x14ac:dyDescent="0.4">
      <c r="A65" s="260" t="s">
        <v>98</v>
      </c>
      <c r="B65" s="261">
        <v>1</v>
      </c>
      <c r="C65" s="451"/>
      <c r="D65" s="454"/>
      <c r="E65" s="321">
        <v>2</v>
      </c>
      <c r="F65" s="273">
        <v>34269426</v>
      </c>
      <c r="G65" s="407">
        <f>IF(ISBLANK(F65),"-",(F65/$D$50*$D$47*$B$68)*($B$57/$D$64))</f>
        <v>129.51879917750009</v>
      </c>
      <c r="H65" s="327">
        <f t="shared" si="0"/>
        <v>1.0361503934200007</v>
      </c>
    </row>
    <row r="66" spans="1:8" ht="26.25" customHeight="1" x14ac:dyDescent="0.4">
      <c r="A66" s="260" t="s">
        <v>99</v>
      </c>
      <c r="B66" s="261">
        <v>1</v>
      </c>
      <c r="C66" s="451"/>
      <c r="D66" s="454"/>
      <c r="E66" s="321">
        <v>3</v>
      </c>
      <c r="F66" s="273">
        <v>34394546</v>
      </c>
      <c r="G66" s="407">
        <f>IF(ISBLANK(F66),"-",(F66/$D$50*$D$47*$B$68)*($B$57/$D$64))</f>
        <v>129.99168110301258</v>
      </c>
      <c r="H66" s="327">
        <f t="shared" si="0"/>
        <v>1.0399334488241005</v>
      </c>
    </row>
    <row r="67" spans="1:8" ht="27" customHeight="1" x14ac:dyDescent="0.4">
      <c r="A67" s="260" t="s">
        <v>100</v>
      </c>
      <c r="B67" s="261">
        <v>1</v>
      </c>
      <c r="C67" s="461"/>
      <c r="D67" s="455"/>
      <c r="E67" s="324">
        <v>4</v>
      </c>
      <c r="F67" s="325"/>
      <c r="G67" s="408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101</v>
      </c>
      <c r="B68" s="329">
        <f>(B67/B66)*(B65/B64)*(B63/B62)*(B61/B60)*B59</f>
        <v>100</v>
      </c>
      <c r="C68" s="450" t="s">
        <v>102</v>
      </c>
      <c r="D68" s="453">
        <v>99.69</v>
      </c>
      <c r="E68" s="318">
        <v>1</v>
      </c>
      <c r="F68" s="319">
        <v>34229341</v>
      </c>
      <c r="G68" s="406">
        <f>IF(ISBLANK(F68),"-",(F68/$D$50*$D$47*$B$68)*($B$57/$D$68))</f>
        <v>130.35354969787423</v>
      </c>
      <c r="H68" s="322">
        <f t="shared" si="0"/>
        <v>1.0428283975829937</v>
      </c>
    </row>
    <row r="69" spans="1:8" ht="27" customHeight="1" x14ac:dyDescent="0.4">
      <c r="A69" s="308" t="s">
        <v>103</v>
      </c>
      <c r="B69" s="330">
        <f>(D47*B68)/B56*B57</f>
        <v>109.27750000000002</v>
      </c>
      <c r="C69" s="451"/>
      <c r="D69" s="454"/>
      <c r="E69" s="321">
        <v>2</v>
      </c>
      <c r="F69" s="273">
        <v>34357465</v>
      </c>
      <c r="G69" s="407">
        <f>IF(ISBLANK(F69),"-",(F69/$D$50*$D$47*$B$68)*($B$57/$D$68))</f>
        <v>130.84147665508587</v>
      </c>
      <c r="H69" s="322">
        <f t="shared" si="0"/>
        <v>1.0467318132406869</v>
      </c>
    </row>
    <row r="70" spans="1:8" ht="26.25" customHeight="1" x14ac:dyDescent="0.4">
      <c r="A70" s="456" t="s">
        <v>76</v>
      </c>
      <c r="B70" s="457"/>
      <c r="C70" s="451"/>
      <c r="D70" s="454"/>
      <c r="E70" s="321">
        <v>3</v>
      </c>
      <c r="F70" s="273">
        <v>34249452</v>
      </c>
      <c r="G70" s="407">
        <f>IF(ISBLANK(F70),"-",(F70/$D$50*$D$47*$B$68)*($B$57/$D$68))</f>
        <v>130.43013721493961</v>
      </c>
      <c r="H70" s="322">
        <f t="shared" si="0"/>
        <v>1.0434410977195168</v>
      </c>
    </row>
    <row r="71" spans="1:8" ht="27" customHeight="1" x14ac:dyDescent="0.4">
      <c r="A71" s="458"/>
      <c r="B71" s="459"/>
      <c r="C71" s="452"/>
      <c r="D71" s="455"/>
      <c r="E71" s="324">
        <v>4</v>
      </c>
      <c r="F71" s="325"/>
      <c r="G71" s="408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4" t="s">
        <v>69</v>
      </c>
      <c r="G72" s="413">
        <f>AVERAGE(G60:G71)</f>
        <v>130.45283146703841</v>
      </c>
      <c r="H72" s="335">
        <f>AVERAGE(H60:H71)</f>
        <v>1.0436226517363076</v>
      </c>
    </row>
    <row r="73" spans="1:8" ht="26.25" customHeight="1" x14ac:dyDescent="0.4">
      <c r="C73" s="332"/>
      <c r="D73" s="332"/>
      <c r="E73" s="332"/>
      <c r="F73" s="336" t="s">
        <v>82</v>
      </c>
      <c r="G73" s="409">
        <f>STDEV(G60:G71)/G72</f>
        <v>4.3038847361399598E-3</v>
      </c>
      <c r="H73" s="409">
        <f>STDEV(H60:H71)/H72</f>
        <v>4.3038847361399546E-3</v>
      </c>
    </row>
    <row r="74" spans="1:8" ht="27" customHeight="1" x14ac:dyDescent="0.4">
      <c r="A74" s="332"/>
      <c r="B74" s="332"/>
      <c r="C74" s="333"/>
      <c r="D74" s="333"/>
      <c r="E74" s="337"/>
      <c r="F74" s="338" t="s">
        <v>19</v>
      </c>
      <c r="G74" s="339">
        <f>COUNT(G60:G71)</f>
        <v>9</v>
      </c>
      <c r="H74" s="339">
        <f>COUNT(H60:H71)</f>
        <v>9</v>
      </c>
    </row>
    <row r="76" spans="1:8" ht="26.25" customHeight="1" x14ac:dyDescent="0.4">
      <c r="A76" s="244" t="s">
        <v>104</v>
      </c>
      <c r="B76" s="340" t="s">
        <v>105</v>
      </c>
      <c r="C76" s="437" t="str">
        <f>B20</f>
        <v>Amoxicillin &amp; Clavulanic Acid</v>
      </c>
      <c r="D76" s="437"/>
      <c r="E76" s="341" t="s">
        <v>106</v>
      </c>
      <c r="F76" s="341"/>
      <c r="G76" s="342">
        <f>H72</f>
        <v>1.0436226517363076</v>
      </c>
      <c r="H76" s="343"/>
    </row>
    <row r="77" spans="1:8" ht="30.75" x14ac:dyDescent="0.45">
      <c r="A77" s="243" t="s">
        <v>107</v>
      </c>
      <c r="B77" s="243" t="s">
        <v>108</v>
      </c>
      <c r="D77" s="470" t="s">
        <v>125</v>
      </c>
    </row>
    <row r="78" spans="1:8" ht="18.75" x14ac:dyDescent="0.3">
      <c r="A78" s="243"/>
      <c r="B78" s="243"/>
    </row>
    <row r="79" spans="1:8" ht="26.25" customHeight="1" x14ac:dyDescent="0.4">
      <c r="A79" s="244" t="s">
        <v>3</v>
      </c>
      <c r="B79" s="460" t="str">
        <f>B26</f>
        <v>Clavulanic acid</v>
      </c>
      <c r="C79" s="460"/>
    </row>
    <row r="80" spans="1:8" ht="26.25" customHeight="1" x14ac:dyDescent="0.4">
      <c r="A80" s="245" t="s">
        <v>46</v>
      </c>
      <c r="B80" s="460">
        <f>B27</f>
        <v>0</v>
      </c>
      <c r="C80" s="460"/>
    </row>
    <row r="81" spans="1:12" ht="27" customHeight="1" x14ac:dyDescent="0.4">
      <c r="A81" s="245" t="s">
        <v>5</v>
      </c>
      <c r="B81" s="344">
        <f>B28</f>
        <v>96.4</v>
      </c>
    </row>
    <row r="82" spans="1:12" s="3" customFormat="1" ht="27" customHeight="1" x14ac:dyDescent="0.4">
      <c r="A82" s="245" t="s">
        <v>47</v>
      </c>
      <c r="B82" s="247">
        <v>0</v>
      </c>
      <c r="C82" s="439" t="s">
        <v>48</v>
      </c>
      <c r="D82" s="440"/>
      <c r="E82" s="440"/>
      <c r="F82" s="440"/>
      <c r="G82" s="441"/>
      <c r="I82" s="248"/>
      <c r="J82" s="248"/>
      <c r="K82" s="248"/>
      <c r="L82" s="248"/>
    </row>
    <row r="83" spans="1:12" s="3" customFormat="1" ht="19.5" customHeight="1" x14ac:dyDescent="0.3">
      <c r="A83" s="245" t="s">
        <v>49</v>
      </c>
      <c r="B83" s="249">
        <f>B81-B82</f>
        <v>96.4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50</v>
      </c>
      <c r="B84" s="252">
        <v>1</v>
      </c>
      <c r="C84" s="442" t="s">
        <v>109</v>
      </c>
      <c r="D84" s="443"/>
      <c r="E84" s="443"/>
      <c r="F84" s="443"/>
      <c r="G84" s="443"/>
      <c r="H84" s="444"/>
      <c r="I84" s="248"/>
      <c r="J84" s="248"/>
      <c r="K84" s="248"/>
      <c r="L84" s="248"/>
    </row>
    <row r="85" spans="1:12" s="3" customFormat="1" ht="27" customHeight="1" x14ac:dyDescent="0.4">
      <c r="A85" s="245" t="s">
        <v>52</v>
      </c>
      <c r="B85" s="252">
        <v>1</v>
      </c>
      <c r="C85" s="442" t="s">
        <v>110</v>
      </c>
      <c r="D85" s="443"/>
      <c r="E85" s="443"/>
      <c r="F85" s="443"/>
      <c r="G85" s="443"/>
      <c r="H85" s="444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54</v>
      </c>
      <c r="B87" s="257">
        <f>B84/B85</f>
        <v>1</v>
      </c>
      <c r="C87" s="235" t="s">
        <v>55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56</v>
      </c>
      <c r="B89" s="259">
        <v>20</v>
      </c>
      <c r="D89" s="345" t="s">
        <v>57</v>
      </c>
      <c r="E89" s="346"/>
      <c r="F89" s="445" t="s">
        <v>58</v>
      </c>
      <c r="G89" s="446"/>
    </row>
    <row r="90" spans="1:12" ht="27" customHeight="1" x14ac:dyDescent="0.4">
      <c r="A90" s="260" t="s">
        <v>59</v>
      </c>
      <c r="B90" s="261">
        <v>3</v>
      </c>
      <c r="C90" s="347" t="s">
        <v>60</v>
      </c>
      <c r="D90" s="263" t="s">
        <v>61</v>
      </c>
      <c r="E90" s="264" t="s">
        <v>62</v>
      </c>
      <c r="F90" s="263" t="s">
        <v>61</v>
      </c>
      <c r="G90" s="348" t="s">
        <v>62</v>
      </c>
      <c r="I90" s="266" t="s">
        <v>63</v>
      </c>
    </row>
    <row r="91" spans="1:12" ht="26.25" customHeight="1" x14ac:dyDescent="0.4">
      <c r="A91" s="260" t="s">
        <v>64</v>
      </c>
      <c r="B91" s="261">
        <v>25</v>
      </c>
      <c r="C91" s="349">
        <v>1</v>
      </c>
      <c r="D91" s="268">
        <v>49622398</v>
      </c>
      <c r="E91" s="269">
        <f>IF(ISBLANK(D91),"-",$D$101/$D$98*D91)</f>
        <v>51582808.839897372</v>
      </c>
      <c r="F91" s="268">
        <v>44495700</v>
      </c>
      <c r="G91" s="270">
        <f>IF(ISBLANK(F91),"-",$D$101/$F$98*F91)</f>
        <v>50661807.800375178</v>
      </c>
      <c r="I91" s="271"/>
    </row>
    <row r="92" spans="1:12" ht="26.25" customHeight="1" x14ac:dyDescent="0.4">
      <c r="A92" s="260" t="s">
        <v>65</v>
      </c>
      <c r="B92" s="261">
        <v>1</v>
      </c>
      <c r="C92" s="333">
        <v>2</v>
      </c>
      <c r="D92" s="273">
        <v>48777801</v>
      </c>
      <c r="E92" s="274">
        <f>IF(ISBLANK(D92),"-",$D$101/$D$98*D92)</f>
        <v>50704844.707697414</v>
      </c>
      <c r="F92" s="273">
        <v>43843421</v>
      </c>
      <c r="G92" s="275">
        <f>IF(ISBLANK(F92),"-",$D$101/$F$98*F92)</f>
        <v>49919137.534928828</v>
      </c>
      <c r="I92" s="447">
        <f>ABS((F96/D96*D95)-F95)/D95</f>
        <v>1.618858991835093E-2</v>
      </c>
    </row>
    <row r="93" spans="1:12" ht="26.25" customHeight="1" x14ac:dyDescent="0.4">
      <c r="A93" s="260" t="s">
        <v>66</v>
      </c>
      <c r="B93" s="261">
        <v>1</v>
      </c>
      <c r="C93" s="333">
        <v>3</v>
      </c>
      <c r="D93" s="273">
        <v>48323247</v>
      </c>
      <c r="E93" s="274">
        <f>IF(ISBLANK(D93),"-",$D$101/$D$98*D93)</f>
        <v>50232332.837363966</v>
      </c>
      <c r="F93" s="273">
        <v>43242234</v>
      </c>
      <c r="G93" s="275">
        <f>IF(ISBLANK(F93),"-",$D$101/$F$98*F93)</f>
        <v>49234639.476777501</v>
      </c>
      <c r="I93" s="447"/>
    </row>
    <row r="94" spans="1:12" ht="27" customHeight="1" x14ac:dyDescent="0.4">
      <c r="A94" s="260" t="s">
        <v>67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422"/>
      <c r="G94" s="280" t="str">
        <f>IF(ISBLANK(F94),"-",$D$101/$F$98*F94)</f>
        <v>-</v>
      </c>
      <c r="I94" s="281"/>
    </row>
    <row r="95" spans="1:12" ht="27" customHeight="1" x14ac:dyDescent="0.4">
      <c r="A95" s="260" t="s">
        <v>68</v>
      </c>
      <c r="B95" s="261">
        <v>1</v>
      </c>
      <c r="C95" s="351" t="s">
        <v>69</v>
      </c>
      <c r="D95" s="352">
        <f>AVERAGE(D91:D94)</f>
        <v>48907815.333333336</v>
      </c>
      <c r="E95" s="284">
        <f>AVERAGE(E91:E94)</f>
        <v>50839995.461652912</v>
      </c>
      <c r="F95" s="353">
        <f>AVERAGE(F91:F94)</f>
        <v>43860451.666666664</v>
      </c>
      <c r="G95" s="354">
        <f>AVERAGE(G91:G94)</f>
        <v>49938528.270693839</v>
      </c>
    </row>
    <row r="96" spans="1:12" ht="26.25" customHeight="1" x14ac:dyDescent="0.4">
      <c r="A96" s="260" t="s">
        <v>70</v>
      </c>
      <c r="B96" s="246">
        <v>1</v>
      </c>
      <c r="C96" s="355" t="s">
        <v>111</v>
      </c>
      <c r="D96" s="356">
        <v>23.1</v>
      </c>
      <c r="E96" s="276"/>
      <c r="F96" s="288">
        <v>21.09</v>
      </c>
    </row>
    <row r="97" spans="1:10" ht="26.25" customHeight="1" x14ac:dyDescent="0.4">
      <c r="A97" s="260" t="s">
        <v>72</v>
      </c>
      <c r="B97" s="246">
        <v>1</v>
      </c>
      <c r="C97" s="357" t="s">
        <v>112</v>
      </c>
      <c r="D97" s="358">
        <f>D96*$B$87</f>
        <v>23.1</v>
      </c>
      <c r="E97" s="291"/>
      <c r="F97" s="290">
        <f>F96*$B$87</f>
        <v>21.09</v>
      </c>
    </row>
    <row r="98" spans="1:10" ht="19.5" customHeight="1" x14ac:dyDescent="0.3">
      <c r="A98" s="260" t="s">
        <v>74</v>
      </c>
      <c r="B98" s="359">
        <f>(B97/B96)*(B95/B94)*(B93/B92)*(B91/B90)*B89</f>
        <v>166.66666666666669</v>
      </c>
      <c r="C98" s="357" t="s">
        <v>113</v>
      </c>
      <c r="D98" s="360">
        <f>D97*$B$83/100</f>
        <v>22.2684</v>
      </c>
      <c r="E98" s="294"/>
      <c r="F98" s="293">
        <f>F97*$B$83/100</f>
        <v>20.330760000000001</v>
      </c>
    </row>
    <row r="99" spans="1:10" ht="19.5" customHeight="1" x14ac:dyDescent="0.3">
      <c r="A99" s="433" t="s">
        <v>76</v>
      </c>
      <c r="B99" s="448"/>
      <c r="C99" s="357" t="s">
        <v>114</v>
      </c>
      <c r="D99" s="361">
        <f>D98/$B$98</f>
        <v>0.13361039999999999</v>
      </c>
      <c r="E99" s="294"/>
      <c r="F99" s="297">
        <f>F98/$B$98</f>
        <v>0.12198455999999999</v>
      </c>
      <c r="G99" s="362"/>
      <c r="H99" s="286"/>
    </row>
    <row r="100" spans="1:10" ht="19.5" customHeight="1" x14ac:dyDescent="0.3">
      <c r="A100" s="435"/>
      <c r="B100" s="449"/>
      <c r="C100" s="357" t="s">
        <v>78</v>
      </c>
      <c r="D100" s="363">
        <f>$B$56/$B$116</f>
        <v>0.1388888888888889</v>
      </c>
      <c r="F100" s="302"/>
      <c r="G100" s="364"/>
      <c r="H100" s="286"/>
    </row>
    <row r="101" spans="1:10" ht="18.75" x14ac:dyDescent="0.3">
      <c r="C101" s="357" t="s">
        <v>79</v>
      </c>
      <c r="D101" s="358">
        <f>D100*$B$98</f>
        <v>23.148148148148152</v>
      </c>
      <c r="F101" s="302"/>
      <c r="G101" s="362"/>
      <c r="H101" s="286"/>
    </row>
    <row r="102" spans="1:10" ht="19.5" customHeight="1" x14ac:dyDescent="0.3">
      <c r="C102" s="365" t="s">
        <v>80</v>
      </c>
      <c r="D102" s="366">
        <f>D101/B34</f>
        <v>23.148148148148152</v>
      </c>
      <c r="F102" s="306"/>
      <c r="G102" s="362"/>
      <c r="H102" s="286"/>
      <c r="J102" s="367"/>
    </row>
    <row r="103" spans="1:10" ht="18.75" x14ac:dyDescent="0.3">
      <c r="C103" s="368" t="s">
        <v>115</v>
      </c>
      <c r="D103" s="369">
        <f>AVERAGE(E91:E94,G91:G94)</f>
        <v>50389261.866173379</v>
      </c>
      <c r="F103" s="306"/>
      <c r="G103" s="370"/>
      <c r="H103" s="286"/>
      <c r="J103" s="371"/>
    </row>
    <row r="104" spans="1:10" ht="18.75" x14ac:dyDescent="0.3">
      <c r="C104" s="336" t="s">
        <v>82</v>
      </c>
      <c r="D104" s="372">
        <f>STDEV(E91:E94,G91:G94)/D103</f>
        <v>1.5819799094798179E-2</v>
      </c>
      <c r="F104" s="306"/>
      <c r="G104" s="362"/>
      <c r="H104" s="286"/>
      <c r="J104" s="371"/>
    </row>
    <row r="105" spans="1:10" ht="19.5" customHeight="1" x14ac:dyDescent="0.3">
      <c r="C105" s="338" t="s">
        <v>19</v>
      </c>
      <c r="D105" s="373">
        <f>COUNT(E91:E94,G91:G94)</f>
        <v>6</v>
      </c>
      <c r="F105" s="306"/>
      <c r="G105" s="362"/>
      <c r="H105" s="286"/>
      <c r="J105" s="371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116</v>
      </c>
      <c r="B107" s="259">
        <v>900</v>
      </c>
      <c r="C107" s="374" t="s">
        <v>117</v>
      </c>
      <c r="D107" s="375" t="s">
        <v>61</v>
      </c>
      <c r="E107" s="376" t="s">
        <v>118</v>
      </c>
      <c r="F107" s="377" t="s">
        <v>119</v>
      </c>
    </row>
    <row r="108" spans="1:10" ht="26.25" customHeight="1" x14ac:dyDescent="0.4">
      <c r="A108" s="260" t="s">
        <v>120</v>
      </c>
      <c r="B108" s="261">
        <v>1</v>
      </c>
      <c r="C108" s="378">
        <v>1</v>
      </c>
      <c r="D108" s="379">
        <v>48799504</v>
      </c>
      <c r="E108" s="410">
        <f t="shared" ref="E108:E113" si="1">IF(ISBLANK(D108),"-",D108/$D$103*$D$100*$B$116)</f>
        <v>121.05630791339148</v>
      </c>
      <c r="F108" s="380">
        <f t="shared" ref="F108:F113" si="2">IF(ISBLANK(D108), "-", E108/$B$56)</f>
        <v>0.9684504633071318</v>
      </c>
    </row>
    <row r="109" spans="1:10" ht="26.25" customHeight="1" x14ac:dyDescent="0.4">
      <c r="A109" s="260" t="s">
        <v>93</v>
      </c>
      <c r="B109" s="261">
        <v>1</v>
      </c>
      <c r="C109" s="378">
        <v>2</v>
      </c>
      <c r="D109" s="379">
        <v>48603231</v>
      </c>
      <c r="E109" s="411">
        <f t="shared" si="1"/>
        <v>120.5694159826234</v>
      </c>
      <c r="F109" s="381">
        <f t="shared" si="2"/>
        <v>0.96455532786098719</v>
      </c>
    </row>
    <row r="110" spans="1:10" ht="26.25" customHeight="1" x14ac:dyDescent="0.4">
      <c r="A110" s="260" t="s">
        <v>94</v>
      </c>
      <c r="B110" s="261">
        <v>1</v>
      </c>
      <c r="C110" s="378">
        <v>3</v>
      </c>
      <c r="D110" s="379">
        <v>48432440</v>
      </c>
      <c r="E110" s="411">
        <f t="shared" si="1"/>
        <v>120.14573692463878</v>
      </c>
      <c r="F110" s="381">
        <f t="shared" si="2"/>
        <v>0.96116589539711028</v>
      </c>
    </row>
    <row r="111" spans="1:10" ht="26.25" customHeight="1" x14ac:dyDescent="0.4">
      <c r="A111" s="260" t="s">
        <v>95</v>
      </c>
      <c r="B111" s="261">
        <v>1</v>
      </c>
      <c r="C111" s="378">
        <v>4</v>
      </c>
      <c r="D111" s="379">
        <v>46712538</v>
      </c>
      <c r="E111" s="411">
        <f t="shared" si="1"/>
        <v>115.87919794315944</v>
      </c>
      <c r="F111" s="381">
        <f t="shared" si="2"/>
        <v>0.92703358354527554</v>
      </c>
    </row>
    <row r="112" spans="1:10" ht="26.25" customHeight="1" x14ac:dyDescent="0.4">
      <c r="A112" s="260" t="s">
        <v>96</v>
      </c>
      <c r="B112" s="261">
        <v>1</v>
      </c>
      <c r="C112" s="378">
        <v>5</v>
      </c>
      <c r="D112" s="379">
        <v>43833861</v>
      </c>
      <c r="E112" s="411">
        <f t="shared" si="1"/>
        <v>108.7381005808748</v>
      </c>
      <c r="F112" s="381">
        <f t="shared" si="2"/>
        <v>0.86990480464699838</v>
      </c>
    </row>
    <row r="113" spans="1:10" ht="26.25" customHeight="1" x14ac:dyDescent="0.4">
      <c r="A113" s="260" t="s">
        <v>98</v>
      </c>
      <c r="B113" s="261">
        <v>1</v>
      </c>
      <c r="C113" s="382">
        <v>6</v>
      </c>
      <c r="D113" s="383">
        <v>47010810</v>
      </c>
      <c r="E113" s="412">
        <f t="shared" si="1"/>
        <v>116.61911749385698</v>
      </c>
      <c r="F113" s="384">
        <f t="shared" si="2"/>
        <v>0.93295293995085582</v>
      </c>
    </row>
    <row r="114" spans="1:10" ht="26.25" customHeight="1" x14ac:dyDescent="0.4">
      <c r="A114" s="260" t="s">
        <v>99</v>
      </c>
      <c r="B114" s="261">
        <v>1</v>
      </c>
      <c r="C114" s="378"/>
      <c r="D114" s="333"/>
      <c r="E114" s="234"/>
      <c r="F114" s="385"/>
    </row>
    <row r="115" spans="1:10" ht="26.25" customHeight="1" x14ac:dyDescent="0.4">
      <c r="A115" s="260" t="s">
        <v>100</v>
      </c>
      <c r="B115" s="261">
        <v>1</v>
      </c>
      <c r="C115" s="378"/>
      <c r="D115" s="386" t="s">
        <v>69</v>
      </c>
      <c r="E115" s="414">
        <f>AVERAGE(E108:E113)</f>
        <v>117.16797947309082</v>
      </c>
      <c r="F115" s="387">
        <f>AVERAGE(F108:F113)</f>
        <v>0.93734383578472658</v>
      </c>
    </row>
    <row r="116" spans="1:10" ht="27" customHeight="1" x14ac:dyDescent="0.4">
      <c r="A116" s="260" t="s">
        <v>101</v>
      </c>
      <c r="B116" s="292">
        <f>(B115/B114)*(B113/B112)*(B111/B110)*(B109/B108)*B107</f>
        <v>900</v>
      </c>
      <c r="C116" s="388"/>
      <c r="D116" s="351" t="s">
        <v>82</v>
      </c>
      <c r="E116" s="389">
        <f>STDEV(E108:E113)/E115</f>
        <v>3.9772502902190261E-2</v>
      </c>
      <c r="F116" s="389">
        <f>STDEV(F108:F113)/F115</f>
        <v>3.9772502902190268E-2</v>
      </c>
      <c r="I116" s="234"/>
    </row>
    <row r="117" spans="1:10" ht="27" customHeight="1" x14ac:dyDescent="0.4">
      <c r="A117" s="433" t="s">
        <v>76</v>
      </c>
      <c r="B117" s="434"/>
      <c r="C117" s="390"/>
      <c r="D117" s="391" t="s">
        <v>19</v>
      </c>
      <c r="E117" s="392">
        <f>COUNT(E108:E113)</f>
        <v>6</v>
      </c>
      <c r="F117" s="392">
        <f>COUNT(F108:F113)</f>
        <v>6</v>
      </c>
      <c r="I117" s="234"/>
      <c r="J117" s="371"/>
    </row>
    <row r="118" spans="1:10" ht="19.5" customHeight="1" x14ac:dyDescent="0.3">
      <c r="A118" s="435"/>
      <c r="B118" s="436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1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104</v>
      </c>
      <c r="B120" s="340" t="s">
        <v>121</v>
      </c>
      <c r="C120" s="437" t="str">
        <f>B20</f>
        <v>Amoxicillin &amp; Clavulanic Acid</v>
      </c>
      <c r="D120" s="437"/>
      <c r="E120" s="341" t="s">
        <v>122</v>
      </c>
      <c r="F120" s="341"/>
      <c r="G120" s="342">
        <f>F115</f>
        <v>0.93734383578472658</v>
      </c>
      <c r="H120" s="234"/>
      <c r="I120" s="234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38" t="s">
        <v>24</v>
      </c>
      <c r="C122" s="438"/>
      <c r="E122" s="347" t="s">
        <v>25</v>
      </c>
      <c r="F122" s="395"/>
      <c r="G122" s="438" t="s">
        <v>26</v>
      </c>
      <c r="H122" s="438"/>
    </row>
    <row r="123" spans="1:10" ht="69.95" customHeight="1" x14ac:dyDescent="0.3">
      <c r="A123" s="396" t="s">
        <v>27</v>
      </c>
      <c r="B123" s="397"/>
      <c r="C123" s="397"/>
      <c r="E123" s="397"/>
      <c r="F123" s="234"/>
      <c r="G123" s="398"/>
      <c r="H123" s="398"/>
    </row>
    <row r="124" spans="1:10" ht="69.95" customHeight="1" x14ac:dyDescent="0.3">
      <c r="A124" s="396" t="s">
        <v>28</v>
      </c>
      <c r="B124" s="399"/>
      <c r="C124" s="399"/>
      <c r="E124" s="399"/>
      <c r="F124" s="234"/>
      <c r="G124" s="400"/>
      <c r="H124" s="400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4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362" customWidth="1"/>
    <col min="2" max="2" width="33.7109375" style="362" customWidth="1"/>
    <col min="3" max="3" width="42.28515625" style="362" customWidth="1"/>
    <col min="4" max="4" width="30.5703125" style="362" customWidth="1"/>
    <col min="5" max="5" width="39.85546875" style="362" customWidth="1"/>
    <col min="6" max="6" width="30.7109375" style="362" customWidth="1"/>
    <col min="7" max="7" width="39.85546875" style="362" customWidth="1"/>
    <col min="8" max="8" width="30" style="362" customWidth="1"/>
    <col min="9" max="9" width="30.28515625" style="362" hidden="1" customWidth="1"/>
    <col min="10" max="10" width="30.42578125" style="362" customWidth="1"/>
    <col min="11" max="11" width="21.28515625" style="362" customWidth="1"/>
    <col min="12" max="12" width="9.140625" style="362"/>
    <col min="13" max="16384" width="9.140625" style="5"/>
  </cols>
  <sheetData>
    <row r="1" spans="1:9" ht="18.75" customHeight="1" x14ac:dyDescent="0.25">
      <c r="A1" s="431" t="s">
        <v>43</v>
      </c>
      <c r="B1" s="431"/>
      <c r="C1" s="431"/>
      <c r="D1" s="431"/>
      <c r="E1" s="431"/>
      <c r="F1" s="431"/>
      <c r="G1" s="431"/>
      <c r="H1" s="431"/>
      <c r="I1" s="431"/>
    </row>
    <row r="2" spans="1:9" ht="18.75" customHeight="1" x14ac:dyDescent="0.25">
      <c r="A2" s="431"/>
      <c r="B2" s="431"/>
      <c r="C2" s="431"/>
      <c r="D2" s="431"/>
      <c r="E2" s="431"/>
      <c r="F2" s="431"/>
      <c r="G2" s="431"/>
      <c r="H2" s="431"/>
      <c r="I2" s="431"/>
    </row>
    <row r="3" spans="1:9" ht="18.75" customHeight="1" x14ac:dyDescent="0.25">
      <c r="A3" s="431"/>
      <c r="B3" s="431"/>
      <c r="C3" s="431"/>
      <c r="D3" s="431"/>
      <c r="E3" s="431"/>
      <c r="F3" s="431"/>
      <c r="G3" s="431"/>
      <c r="H3" s="431"/>
      <c r="I3" s="431"/>
    </row>
    <row r="4" spans="1:9" ht="18.75" customHeight="1" x14ac:dyDescent="0.25">
      <c r="A4" s="431"/>
      <c r="B4" s="431"/>
      <c r="C4" s="431"/>
      <c r="D4" s="431"/>
      <c r="E4" s="431"/>
      <c r="F4" s="431"/>
      <c r="G4" s="431"/>
      <c r="H4" s="431"/>
      <c r="I4" s="431"/>
    </row>
    <row r="5" spans="1:9" ht="18.75" customHeight="1" x14ac:dyDescent="0.25">
      <c r="A5" s="431"/>
      <c r="B5" s="431"/>
      <c r="C5" s="431"/>
      <c r="D5" s="431"/>
      <c r="E5" s="431"/>
      <c r="F5" s="431"/>
      <c r="G5" s="431"/>
      <c r="H5" s="431"/>
      <c r="I5" s="431"/>
    </row>
    <row r="6" spans="1:9" ht="18.75" customHeight="1" x14ac:dyDescent="0.25">
      <c r="A6" s="431"/>
      <c r="B6" s="431"/>
      <c r="C6" s="431"/>
      <c r="D6" s="431"/>
      <c r="E6" s="431"/>
      <c r="F6" s="431"/>
      <c r="G6" s="431"/>
      <c r="H6" s="431"/>
      <c r="I6" s="431"/>
    </row>
    <row r="7" spans="1:9" ht="18.75" customHeight="1" x14ac:dyDescent="0.25">
      <c r="A7" s="431"/>
      <c r="B7" s="431"/>
      <c r="C7" s="431"/>
      <c r="D7" s="431"/>
      <c r="E7" s="431"/>
      <c r="F7" s="431"/>
      <c r="G7" s="431"/>
      <c r="H7" s="431"/>
      <c r="I7" s="431"/>
    </row>
    <row r="8" spans="1:9" x14ac:dyDescent="0.25">
      <c r="A8" s="432" t="s">
        <v>44</v>
      </c>
      <c r="B8" s="432"/>
      <c r="C8" s="432"/>
      <c r="D8" s="432"/>
      <c r="E8" s="432"/>
      <c r="F8" s="432"/>
      <c r="G8" s="432"/>
      <c r="H8" s="432"/>
      <c r="I8" s="432"/>
    </row>
    <row r="9" spans="1:9" x14ac:dyDescent="0.25">
      <c r="A9" s="432"/>
      <c r="B9" s="432"/>
      <c r="C9" s="432"/>
      <c r="D9" s="432"/>
      <c r="E9" s="432"/>
      <c r="F9" s="432"/>
      <c r="G9" s="432"/>
      <c r="H9" s="432"/>
      <c r="I9" s="432"/>
    </row>
    <row r="10" spans="1:9" x14ac:dyDescent="0.25">
      <c r="A10" s="432"/>
      <c r="B10" s="432"/>
      <c r="C10" s="432"/>
      <c r="D10" s="432"/>
      <c r="E10" s="432"/>
      <c r="F10" s="432"/>
      <c r="G10" s="432"/>
      <c r="H10" s="432"/>
      <c r="I10" s="432"/>
    </row>
    <row r="11" spans="1:9" x14ac:dyDescent="0.25">
      <c r="A11" s="432"/>
      <c r="B11" s="432"/>
      <c r="C11" s="432"/>
      <c r="D11" s="432"/>
      <c r="E11" s="432"/>
      <c r="F11" s="432"/>
      <c r="G11" s="432"/>
      <c r="H11" s="432"/>
      <c r="I11" s="432"/>
    </row>
    <row r="12" spans="1:9" x14ac:dyDescent="0.25">
      <c r="A12" s="432"/>
      <c r="B12" s="432"/>
      <c r="C12" s="432"/>
      <c r="D12" s="432"/>
      <c r="E12" s="432"/>
      <c r="F12" s="432"/>
      <c r="G12" s="432"/>
      <c r="H12" s="432"/>
      <c r="I12" s="432"/>
    </row>
    <row r="13" spans="1:9" x14ac:dyDescent="0.25">
      <c r="A13" s="432"/>
      <c r="B13" s="432"/>
      <c r="C13" s="432"/>
      <c r="D13" s="432"/>
      <c r="E13" s="432"/>
      <c r="F13" s="432"/>
      <c r="G13" s="432"/>
      <c r="H13" s="432"/>
      <c r="I13" s="432"/>
    </row>
    <row r="14" spans="1:9" x14ac:dyDescent="0.25">
      <c r="A14" s="432"/>
      <c r="B14" s="432"/>
      <c r="C14" s="432"/>
      <c r="D14" s="432"/>
      <c r="E14" s="432"/>
      <c r="F14" s="432"/>
      <c r="G14" s="432"/>
      <c r="H14" s="432"/>
      <c r="I14" s="432"/>
    </row>
    <row r="15" spans="1:9" ht="19.5" customHeight="1" thickBot="1" x14ac:dyDescent="0.35">
      <c r="A15" s="341"/>
    </row>
    <row r="16" spans="1:9" ht="19.5" customHeight="1" thickBot="1" x14ac:dyDescent="0.35">
      <c r="A16" s="465" t="s">
        <v>29</v>
      </c>
      <c r="B16" s="466"/>
      <c r="C16" s="466"/>
      <c r="D16" s="466"/>
      <c r="E16" s="466"/>
      <c r="F16" s="466"/>
      <c r="G16" s="466"/>
      <c r="H16" s="467"/>
    </row>
    <row r="17" spans="1:14" ht="20.25" customHeight="1" x14ac:dyDescent="0.25">
      <c r="A17" s="468" t="s">
        <v>45</v>
      </c>
      <c r="B17" s="468"/>
      <c r="C17" s="468"/>
      <c r="D17" s="468"/>
      <c r="E17" s="468"/>
      <c r="F17" s="468"/>
      <c r="G17" s="468"/>
      <c r="H17" s="468"/>
    </row>
    <row r="18" spans="1:14" ht="26.25" customHeight="1" x14ac:dyDescent="0.4">
      <c r="A18" s="236" t="s">
        <v>31</v>
      </c>
      <c r="B18" s="464" t="s">
        <v>4</v>
      </c>
      <c r="C18" s="464"/>
      <c r="D18" s="402"/>
      <c r="E18" s="237"/>
      <c r="F18" s="415"/>
      <c r="G18" s="415"/>
      <c r="H18" s="415"/>
    </row>
    <row r="19" spans="1:14" ht="26.25" customHeight="1" x14ac:dyDescent="0.4">
      <c r="A19" s="236" t="s">
        <v>32</v>
      </c>
      <c r="B19" s="416" t="s">
        <v>6</v>
      </c>
      <c r="C19" s="415">
        <v>29</v>
      </c>
      <c r="D19" s="415"/>
      <c r="E19" s="415"/>
      <c r="F19" s="415"/>
      <c r="G19" s="415"/>
      <c r="H19" s="415"/>
    </row>
    <row r="20" spans="1:14" ht="26.25" customHeight="1" x14ac:dyDescent="0.4">
      <c r="A20" s="236" t="s">
        <v>33</v>
      </c>
      <c r="B20" s="469" t="s">
        <v>8</v>
      </c>
      <c r="C20" s="469"/>
      <c r="D20" s="415"/>
      <c r="E20" s="415"/>
      <c r="F20" s="415"/>
      <c r="G20" s="415"/>
      <c r="H20" s="415"/>
    </row>
    <row r="21" spans="1:14" ht="26.25" customHeight="1" x14ac:dyDescent="0.4">
      <c r="A21" s="236" t="s">
        <v>34</v>
      </c>
      <c r="B21" s="469" t="s">
        <v>10</v>
      </c>
      <c r="C21" s="469"/>
      <c r="D21" s="469"/>
      <c r="E21" s="469"/>
      <c r="F21" s="469"/>
      <c r="G21" s="469"/>
      <c r="H21" s="469"/>
      <c r="I21" s="240"/>
    </row>
    <row r="22" spans="1:14" ht="26.25" customHeight="1" x14ac:dyDescent="0.4">
      <c r="A22" s="236" t="s">
        <v>35</v>
      </c>
      <c r="B22" s="241" t="s">
        <v>11</v>
      </c>
      <c r="C22" s="415"/>
      <c r="D22" s="415"/>
      <c r="E22" s="415"/>
      <c r="F22" s="415"/>
      <c r="G22" s="415"/>
      <c r="H22" s="415"/>
    </row>
    <row r="23" spans="1:14" ht="26.25" customHeight="1" x14ac:dyDescent="0.4">
      <c r="A23" s="236" t="s">
        <v>36</v>
      </c>
      <c r="B23" s="241"/>
      <c r="C23" s="415"/>
      <c r="D23" s="415"/>
      <c r="E23" s="415"/>
      <c r="F23" s="415"/>
      <c r="G23" s="415"/>
      <c r="H23" s="415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396" t="s">
        <v>3</v>
      </c>
      <c r="B26" s="464" t="s">
        <v>123</v>
      </c>
      <c r="C26" s="464"/>
    </row>
    <row r="27" spans="1:14" ht="26.25" customHeight="1" x14ac:dyDescent="0.4">
      <c r="A27" s="351" t="s">
        <v>46</v>
      </c>
      <c r="B27" s="462"/>
      <c r="C27" s="462"/>
    </row>
    <row r="28" spans="1:14" ht="27" customHeight="1" thickBot="1" x14ac:dyDescent="0.45">
      <c r="A28" s="351" t="s">
        <v>5</v>
      </c>
      <c r="B28" s="344">
        <v>86.6</v>
      </c>
    </row>
    <row r="29" spans="1:14" s="4" customFormat="1" ht="27" customHeight="1" thickBot="1" x14ac:dyDescent="0.45">
      <c r="A29" s="351" t="s">
        <v>47</v>
      </c>
      <c r="B29" s="247"/>
      <c r="C29" s="439" t="s">
        <v>48</v>
      </c>
      <c r="D29" s="440"/>
      <c r="E29" s="440"/>
      <c r="F29" s="440"/>
      <c r="G29" s="441"/>
      <c r="I29" s="248"/>
      <c r="J29" s="248"/>
      <c r="K29" s="248"/>
      <c r="L29" s="248"/>
    </row>
    <row r="30" spans="1:14" s="4" customFormat="1" ht="19.5" customHeight="1" thickBot="1" x14ac:dyDescent="0.35">
      <c r="A30" s="351" t="s">
        <v>49</v>
      </c>
      <c r="B30" s="419">
        <f>B28-B29</f>
        <v>86.6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4" customFormat="1" ht="27" customHeight="1" thickBot="1" x14ac:dyDescent="0.45">
      <c r="A31" s="351" t="s">
        <v>50</v>
      </c>
      <c r="B31" s="252">
        <v>1</v>
      </c>
      <c r="C31" s="442" t="s">
        <v>51</v>
      </c>
      <c r="D31" s="443"/>
      <c r="E31" s="443"/>
      <c r="F31" s="443"/>
      <c r="G31" s="443"/>
      <c r="H31" s="444"/>
      <c r="I31" s="248"/>
      <c r="J31" s="248"/>
      <c r="K31" s="248"/>
      <c r="L31" s="248"/>
    </row>
    <row r="32" spans="1:14" s="4" customFormat="1" ht="27" customHeight="1" thickBot="1" x14ac:dyDescent="0.45">
      <c r="A32" s="351" t="s">
        <v>52</v>
      </c>
      <c r="B32" s="252">
        <v>1</v>
      </c>
      <c r="C32" s="442" t="s">
        <v>53</v>
      </c>
      <c r="D32" s="443"/>
      <c r="E32" s="443"/>
      <c r="F32" s="443"/>
      <c r="G32" s="443"/>
      <c r="H32" s="444"/>
      <c r="I32" s="248"/>
      <c r="J32" s="248"/>
      <c r="K32" s="248"/>
      <c r="L32" s="253"/>
      <c r="M32" s="253"/>
      <c r="N32" s="254"/>
    </row>
    <row r="33" spans="1:14" s="4" customFormat="1" ht="17.25" customHeight="1" x14ac:dyDescent="0.3">
      <c r="A33" s="351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4" customFormat="1" ht="18.75" x14ac:dyDescent="0.3">
      <c r="A34" s="351" t="s">
        <v>54</v>
      </c>
      <c r="B34" s="257">
        <f>B31/B32</f>
        <v>1</v>
      </c>
      <c r="C34" s="341" t="s">
        <v>55</v>
      </c>
      <c r="D34" s="341"/>
      <c r="E34" s="341"/>
      <c r="F34" s="341"/>
      <c r="G34" s="341"/>
      <c r="I34" s="248"/>
      <c r="J34" s="248"/>
      <c r="K34" s="248"/>
      <c r="L34" s="253"/>
      <c r="M34" s="253"/>
      <c r="N34" s="254"/>
    </row>
    <row r="35" spans="1:14" s="4" customFormat="1" ht="19.5" customHeight="1" thickBot="1" x14ac:dyDescent="0.35">
      <c r="A35" s="351"/>
      <c r="B35" s="419"/>
      <c r="G35" s="341"/>
      <c r="I35" s="248"/>
      <c r="J35" s="248"/>
      <c r="K35" s="248"/>
      <c r="L35" s="253"/>
      <c r="M35" s="253"/>
      <c r="N35" s="254"/>
    </row>
    <row r="36" spans="1:14" s="4" customFormat="1" ht="27" customHeight="1" thickBot="1" x14ac:dyDescent="0.45">
      <c r="A36" s="258" t="s">
        <v>56</v>
      </c>
      <c r="B36" s="259">
        <v>20</v>
      </c>
      <c r="C36" s="341"/>
      <c r="D36" s="445" t="s">
        <v>57</v>
      </c>
      <c r="E36" s="463"/>
      <c r="F36" s="445" t="s">
        <v>58</v>
      </c>
      <c r="G36" s="446"/>
      <c r="J36" s="248"/>
      <c r="K36" s="248"/>
      <c r="L36" s="253"/>
      <c r="M36" s="253"/>
      <c r="N36" s="254"/>
    </row>
    <row r="37" spans="1:14" s="4" customFormat="1" ht="27" customHeight="1" thickBot="1" x14ac:dyDescent="0.45">
      <c r="A37" s="260" t="s">
        <v>59</v>
      </c>
      <c r="B37" s="261">
        <v>10</v>
      </c>
      <c r="C37" s="262" t="s">
        <v>60</v>
      </c>
      <c r="D37" s="263" t="s">
        <v>61</v>
      </c>
      <c r="E37" s="264" t="s">
        <v>62</v>
      </c>
      <c r="F37" s="263" t="s">
        <v>61</v>
      </c>
      <c r="G37" s="265" t="s">
        <v>62</v>
      </c>
      <c r="I37" s="266" t="s">
        <v>63</v>
      </c>
      <c r="J37" s="248"/>
      <c r="K37" s="248"/>
      <c r="L37" s="253"/>
      <c r="M37" s="253"/>
      <c r="N37" s="254"/>
    </row>
    <row r="38" spans="1:14" s="4" customFormat="1" ht="26.25" customHeight="1" x14ac:dyDescent="0.4">
      <c r="A38" s="260" t="s">
        <v>64</v>
      </c>
      <c r="B38" s="261">
        <v>25</v>
      </c>
      <c r="C38" s="267">
        <v>1</v>
      </c>
      <c r="D38" s="268">
        <v>119486716</v>
      </c>
      <c r="E38" s="269">
        <f>IF(ISBLANK(D38),"-",$D$48/$D$45*D38)</f>
        <v>121500019.93025225</v>
      </c>
      <c r="F38" s="268"/>
      <c r="G38" s="270" t="str">
        <f>IF(ISBLANK(F38),"-",$D$48/$F$45*F38)</f>
        <v>-</v>
      </c>
      <c r="I38" s="271"/>
      <c r="J38" s="248"/>
      <c r="K38" s="248"/>
      <c r="L38" s="253"/>
      <c r="M38" s="253"/>
      <c r="N38" s="254"/>
    </row>
    <row r="39" spans="1:14" s="4" customFormat="1" ht="26.25" customHeight="1" x14ac:dyDescent="0.4">
      <c r="A39" s="260" t="s">
        <v>65</v>
      </c>
      <c r="B39" s="261">
        <v>1</v>
      </c>
      <c r="C39" s="292">
        <v>2</v>
      </c>
      <c r="D39" s="273">
        <v>118884487</v>
      </c>
      <c r="E39" s="274">
        <f>IF(ISBLANK(D39),"-",$D$48/$D$45*D39)</f>
        <v>120887643.60966967</v>
      </c>
      <c r="F39" s="273">
        <v>115693147</v>
      </c>
      <c r="G39" s="275">
        <f>IF(ISBLANK(F39),"-",$D$48/$F$45*F39)</f>
        <v>120529464.06321496</v>
      </c>
      <c r="I39" s="447">
        <f>ABS((F43/D43*D42)-F42)/D42</f>
        <v>2.8726851879071185E-3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66</v>
      </c>
      <c r="B40" s="261">
        <v>1</v>
      </c>
      <c r="C40" s="292">
        <v>3</v>
      </c>
      <c r="D40" s="273">
        <v>119086769</v>
      </c>
      <c r="E40" s="274">
        <f>IF(ISBLANK(D40),"-",$D$48/$D$45*D40)</f>
        <v>121093333.98140548</v>
      </c>
      <c r="F40" s="273">
        <v>115954926</v>
      </c>
      <c r="G40" s="275">
        <f>IF(ISBLANK(F40),"-",$D$48/$F$45*F40)</f>
        <v>120802186.20269488</v>
      </c>
      <c r="I40" s="447"/>
      <c r="L40" s="253"/>
      <c r="M40" s="253"/>
      <c r="N40" s="341"/>
    </row>
    <row r="41" spans="1:14" ht="27" customHeight="1" thickBot="1" x14ac:dyDescent="0.45">
      <c r="A41" s="260" t="s">
        <v>67</v>
      </c>
      <c r="B41" s="261">
        <v>1</v>
      </c>
      <c r="C41" s="277">
        <v>4</v>
      </c>
      <c r="D41" s="278">
        <v>119988697</v>
      </c>
      <c r="E41" s="279">
        <f>IF(ISBLANK(D41),"-",$D$48/$D$45*D41)</f>
        <v>122010459.11166391</v>
      </c>
      <c r="F41" s="278">
        <v>116831377</v>
      </c>
      <c r="G41" s="280">
        <f>IF(ISBLANK(F41),"-",$D$48/$F$45*F41)</f>
        <v>121715275.4568723</v>
      </c>
      <c r="I41" s="281"/>
      <c r="L41" s="253"/>
      <c r="M41" s="253"/>
      <c r="N41" s="341"/>
    </row>
    <row r="42" spans="1:14" ht="27" customHeight="1" thickBot="1" x14ac:dyDescent="0.45">
      <c r="A42" s="260" t="s">
        <v>68</v>
      </c>
      <c r="B42" s="261">
        <v>1</v>
      </c>
      <c r="C42" s="282" t="s">
        <v>69</v>
      </c>
      <c r="D42" s="283">
        <f>AVERAGE(D38:D41)</f>
        <v>119361667.25</v>
      </c>
      <c r="E42" s="284">
        <f>AVERAGE(E38:E41)</f>
        <v>121372864.15824783</v>
      </c>
      <c r="F42" s="283">
        <f>AVERAGE(F38:F41)</f>
        <v>116159816.66666667</v>
      </c>
      <c r="G42" s="285">
        <f>AVERAGE(G38:G41)</f>
        <v>121015641.90759404</v>
      </c>
      <c r="H42" s="286"/>
    </row>
    <row r="43" spans="1:14" ht="26.25" customHeight="1" x14ac:dyDescent="0.4">
      <c r="A43" s="260" t="s">
        <v>70</v>
      </c>
      <c r="B43" s="261">
        <v>1</v>
      </c>
      <c r="C43" s="287" t="s">
        <v>71</v>
      </c>
      <c r="D43" s="288">
        <v>28.39</v>
      </c>
      <c r="E43" s="341"/>
      <c r="F43" s="288">
        <v>27.71</v>
      </c>
      <c r="H43" s="286"/>
    </row>
    <row r="44" spans="1:14" ht="26.25" customHeight="1" x14ac:dyDescent="0.4">
      <c r="A44" s="260" t="s">
        <v>72</v>
      </c>
      <c r="B44" s="261">
        <v>1</v>
      </c>
      <c r="C44" s="289" t="s">
        <v>73</v>
      </c>
      <c r="D44" s="290">
        <f>D43*$B$34</f>
        <v>28.39</v>
      </c>
      <c r="E44" s="359"/>
      <c r="F44" s="290">
        <f>F43*$B$34</f>
        <v>27.71</v>
      </c>
      <c r="H44" s="286"/>
    </row>
    <row r="45" spans="1:14" ht="19.5" customHeight="1" thickBot="1" x14ac:dyDescent="0.35">
      <c r="A45" s="260" t="s">
        <v>74</v>
      </c>
      <c r="B45" s="292">
        <f>(B44/B43)*(B42/B41)*(B40/B39)*(B38/B37)*B36</f>
        <v>50</v>
      </c>
      <c r="C45" s="289" t="s">
        <v>75</v>
      </c>
      <c r="D45" s="293">
        <f>D44*$B$30/100</f>
        <v>24.585740000000001</v>
      </c>
      <c r="E45" s="337"/>
      <c r="F45" s="293">
        <f>F44*$B$30/100</f>
        <v>23.996859999999998</v>
      </c>
      <c r="H45" s="286"/>
    </row>
    <row r="46" spans="1:14" ht="19.5" customHeight="1" thickBot="1" x14ac:dyDescent="0.35">
      <c r="A46" s="433" t="s">
        <v>76</v>
      </c>
      <c r="B46" s="434"/>
      <c r="C46" s="289" t="s">
        <v>77</v>
      </c>
      <c r="D46" s="295">
        <f>D45/$B$45</f>
        <v>0.49171480000000001</v>
      </c>
      <c r="E46" s="296"/>
      <c r="F46" s="297">
        <f>F45/$B$45</f>
        <v>0.47993719999999995</v>
      </c>
      <c r="H46" s="286"/>
    </row>
    <row r="47" spans="1:14" ht="27" customHeight="1" thickBot="1" x14ac:dyDescent="0.45">
      <c r="A47" s="435"/>
      <c r="B47" s="436"/>
      <c r="C47" s="298" t="s">
        <v>78</v>
      </c>
      <c r="D47" s="299">
        <v>0.5</v>
      </c>
      <c r="E47" s="300"/>
      <c r="F47" s="296"/>
      <c r="H47" s="286"/>
    </row>
    <row r="48" spans="1:14" ht="18.75" x14ac:dyDescent="0.3">
      <c r="C48" s="301" t="s">
        <v>79</v>
      </c>
      <c r="D48" s="293">
        <f>D47*$B$45</f>
        <v>25</v>
      </c>
      <c r="F48" s="302"/>
      <c r="H48" s="286"/>
    </row>
    <row r="49" spans="1:12" ht="19.5" customHeight="1" thickBot="1" x14ac:dyDescent="0.35">
      <c r="C49" s="303" t="s">
        <v>80</v>
      </c>
      <c r="D49" s="304">
        <f>D48/B34</f>
        <v>25</v>
      </c>
      <c r="F49" s="302"/>
      <c r="H49" s="286"/>
    </row>
    <row r="50" spans="1:12" ht="18.75" x14ac:dyDescent="0.3">
      <c r="C50" s="258" t="s">
        <v>81</v>
      </c>
      <c r="D50" s="305">
        <f>AVERAGE(E38:E41,G38:G41)</f>
        <v>121219768.90796766</v>
      </c>
      <c r="F50" s="306"/>
      <c r="H50" s="286"/>
    </row>
    <row r="51" spans="1:12" ht="18.75" x14ac:dyDescent="0.3">
      <c r="C51" s="260" t="s">
        <v>82</v>
      </c>
      <c r="D51" s="307">
        <f>STDEV(E38:E41,G38:G41)/D50</f>
        <v>4.4251460378198406E-3</v>
      </c>
      <c r="F51" s="306"/>
      <c r="H51" s="286"/>
    </row>
    <row r="52" spans="1:12" ht="19.5" customHeight="1" thickBot="1" x14ac:dyDescent="0.35">
      <c r="C52" s="308" t="s">
        <v>19</v>
      </c>
      <c r="D52" s="309">
        <f>COUNT(E38:E41,G38:G41)</f>
        <v>7</v>
      </c>
      <c r="F52" s="306"/>
    </row>
    <row r="54" spans="1:12" ht="18.75" x14ac:dyDescent="0.3">
      <c r="A54" s="310" t="s">
        <v>1</v>
      </c>
      <c r="B54" s="311" t="s">
        <v>83</v>
      </c>
    </row>
    <row r="55" spans="1:12" ht="18.75" x14ac:dyDescent="0.3">
      <c r="A55" s="341" t="s">
        <v>84</v>
      </c>
      <c r="B55" s="313" t="str">
        <f>B21</f>
        <v>Each film coate tablet contains: Amoxicillin Trihydrate USP Eq. to Amoxicillin 500mg
Diluted Potassium Clavulanate BP Eq. to Clavulanic acid 125mg</v>
      </c>
    </row>
    <row r="56" spans="1:12" ht="26.25" customHeight="1" x14ac:dyDescent="0.4">
      <c r="A56" s="313" t="s">
        <v>85</v>
      </c>
      <c r="B56" s="314">
        <v>500</v>
      </c>
      <c r="C56" s="341" t="str">
        <f>B20</f>
        <v>Amoxicillin &amp; Clavulanic Acid</v>
      </c>
      <c r="H56" s="359"/>
    </row>
    <row r="57" spans="1:12" ht="18.75" x14ac:dyDescent="0.3">
      <c r="A57" s="313" t="s">
        <v>86</v>
      </c>
      <c r="B57" s="403">
        <f>Uniformity!C46</f>
        <v>1092.7750000000001</v>
      </c>
      <c r="H57" s="359"/>
    </row>
    <row r="58" spans="1:12" ht="19.5" customHeight="1" thickBot="1" x14ac:dyDescent="0.35">
      <c r="H58" s="359"/>
    </row>
    <row r="59" spans="1:12" s="4" customFormat="1" ht="27" customHeight="1" thickBot="1" x14ac:dyDescent="0.45">
      <c r="A59" s="258" t="s">
        <v>87</v>
      </c>
      <c r="B59" s="259">
        <v>100</v>
      </c>
      <c r="C59" s="341"/>
      <c r="D59" s="316" t="s">
        <v>88</v>
      </c>
      <c r="E59" s="317" t="s">
        <v>60</v>
      </c>
      <c r="F59" s="317" t="s">
        <v>61</v>
      </c>
      <c r="G59" s="317" t="s">
        <v>89</v>
      </c>
      <c r="H59" s="262" t="s">
        <v>90</v>
      </c>
      <c r="L59" s="248"/>
    </row>
    <row r="60" spans="1:12" s="4" customFormat="1" ht="26.25" customHeight="1" x14ac:dyDescent="0.4">
      <c r="A60" s="260" t="s">
        <v>91</v>
      </c>
      <c r="B60" s="261">
        <v>1</v>
      </c>
      <c r="C60" s="450" t="s">
        <v>92</v>
      </c>
      <c r="D60" s="453">
        <v>103.89</v>
      </c>
      <c r="E60" s="318">
        <v>1</v>
      </c>
      <c r="F60" s="319">
        <v>120531561</v>
      </c>
      <c r="G60" s="404">
        <f>IF(ISBLANK(F60),"-",(F60/$D$50*$D$47*$B$68)*($B$57/$D$60))</f>
        <v>522.94298111679802</v>
      </c>
      <c r="H60" s="320">
        <f t="shared" ref="H60:H71" si="0">IF(ISBLANK(F60),"-",G60/$B$56)</f>
        <v>1.0458859622335961</v>
      </c>
      <c r="L60" s="248"/>
    </row>
    <row r="61" spans="1:12" s="4" customFormat="1" ht="26.25" customHeight="1" x14ac:dyDescent="0.4">
      <c r="A61" s="260" t="s">
        <v>93</v>
      </c>
      <c r="B61" s="261">
        <v>1</v>
      </c>
      <c r="C61" s="451"/>
      <c r="D61" s="454"/>
      <c r="E61" s="321">
        <v>2</v>
      </c>
      <c r="F61" s="273">
        <v>119846256</v>
      </c>
      <c r="G61" s="405">
        <f>IF(ISBLANK(F61),"-",(F61/$D$50*$D$47*$B$68)*($B$57/$D$60))</f>
        <v>519.9696898335776</v>
      </c>
      <c r="H61" s="322">
        <f t="shared" si="0"/>
        <v>1.0399393796671552</v>
      </c>
      <c r="L61" s="248"/>
    </row>
    <row r="62" spans="1:12" s="4" customFormat="1" ht="26.25" customHeight="1" x14ac:dyDescent="0.4">
      <c r="A62" s="260" t="s">
        <v>94</v>
      </c>
      <c r="B62" s="261">
        <v>1</v>
      </c>
      <c r="C62" s="451"/>
      <c r="D62" s="454"/>
      <c r="E62" s="321">
        <v>3</v>
      </c>
      <c r="F62" s="323">
        <v>120443154</v>
      </c>
      <c r="G62" s="405">
        <f>IF(ISBLANK(F62),"-",(F62/$D$50*$D$47*$B$68)*($B$57/$D$60))</f>
        <v>522.5594150221749</v>
      </c>
      <c r="H62" s="322">
        <f t="shared" si="0"/>
        <v>1.0451188300443499</v>
      </c>
      <c r="L62" s="248"/>
    </row>
    <row r="63" spans="1:12" ht="27" customHeight="1" thickBot="1" x14ac:dyDescent="0.45">
      <c r="A63" s="260" t="s">
        <v>95</v>
      </c>
      <c r="B63" s="261">
        <v>1</v>
      </c>
      <c r="C63" s="461"/>
      <c r="D63" s="455"/>
      <c r="E63" s="324">
        <v>4</v>
      </c>
      <c r="F63" s="325"/>
      <c r="G63" s="405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96</v>
      </c>
      <c r="B64" s="261">
        <v>1</v>
      </c>
      <c r="C64" s="450" t="s">
        <v>97</v>
      </c>
      <c r="D64" s="453">
        <v>100.45</v>
      </c>
      <c r="E64" s="318">
        <v>1</v>
      </c>
      <c r="F64" s="319">
        <v>118048031</v>
      </c>
      <c r="G64" s="406">
        <f>IF(ISBLANK(F64),"-",(F64/$D$50*$D$47*$B$68)*($B$57/$D$64))</f>
        <v>529.70748526567036</v>
      </c>
      <c r="H64" s="326">
        <f t="shared" si="0"/>
        <v>1.0594149705313407</v>
      </c>
    </row>
    <row r="65" spans="1:8" ht="26.25" customHeight="1" x14ac:dyDescent="0.4">
      <c r="A65" s="260" t="s">
        <v>98</v>
      </c>
      <c r="B65" s="261">
        <v>1</v>
      </c>
      <c r="C65" s="451"/>
      <c r="D65" s="454"/>
      <c r="E65" s="321">
        <v>2</v>
      </c>
      <c r="F65" s="273">
        <v>117765522</v>
      </c>
      <c r="G65" s="407">
        <f>IF(ISBLANK(F65),"-",(F65/$D$50*$D$47*$B$68)*($B$57/$D$64))</f>
        <v>528.43980523164316</v>
      </c>
      <c r="H65" s="327">
        <f t="shared" si="0"/>
        <v>1.0568796104632863</v>
      </c>
    </row>
    <row r="66" spans="1:8" ht="26.25" customHeight="1" x14ac:dyDescent="0.4">
      <c r="A66" s="260" t="s">
        <v>99</v>
      </c>
      <c r="B66" s="261">
        <v>1</v>
      </c>
      <c r="C66" s="451"/>
      <c r="D66" s="454"/>
      <c r="E66" s="321">
        <v>3</v>
      </c>
      <c r="F66" s="273">
        <v>117941575</v>
      </c>
      <c r="G66" s="407">
        <f>IF(ISBLANK(F66),"-",(F66/$D$50*$D$47*$B$68)*($B$57/$D$64))</f>
        <v>529.22979377370939</v>
      </c>
      <c r="H66" s="327">
        <f t="shared" si="0"/>
        <v>1.0584595875474188</v>
      </c>
    </row>
    <row r="67" spans="1:8" ht="27" customHeight="1" thickBot="1" x14ac:dyDescent="0.45">
      <c r="A67" s="260" t="s">
        <v>100</v>
      </c>
      <c r="B67" s="261">
        <v>1</v>
      </c>
      <c r="C67" s="461"/>
      <c r="D67" s="455"/>
      <c r="E67" s="324">
        <v>4</v>
      </c>
      <c r="F67" s="325"/>
      <c r="G67" s="408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101</v>
      </c>
      <c r="B68" s="329">
        <f>(B67/B66)*(B65/B64)*(B63/B62)*(B61/B60)*B59</f>
        <v>100</v>
      </c>
      <c r="C68" s="450" t="s">
        <v>102</v>
      </c>
      <c r="D68" s="453">
        <v>99.69</v>
      </c>
      <c r="E68" s="318">
        <v>1</v>
      </c>
      <c r="F68" s="319">
        <v>116729057</v>
      </c>
      <c r="G68" s="406">
        <f>IF(ISBLANK(F68),"-",(F68/$D$50*$D$47*$B$68)*($B$57/$D$68))</f>
        <v>527.78213368667798</v>
      </c>
      <c r="H68" s="322">
        <f t="shared" si="0"/>
        <v>1.0555642673733561</v>
      </c>
    </row>
    <row r="69" spans="1:8" ht="27" customHeight="1" thickBot="1" x14ac:dyDescent="0.45">
      <c r="A69" s="308" t="s">
        <v>103</v>
      </c>
      <c r="B69" s="330">
        <f>(D47*B68)/B56*B57</f>
        <v>109.27750000000002</v>
      </c>
      <c r="C69" s="451"/>
      <c r="D69" s="454"/>
      <c r="E69" s="321">
        <v>2</v>
      </c>
      <c r="F69" s="273">
        <v>117285113</v>
      </c>
      <c r="G69" s="407">
        <f>IF(ISBLANK(F69),"-",(F69/$D$50*$D$47*$B$68)*($B$57/$D$68))</f>
        <v>530.29630136413357</v>
      </c>
      <c r="H69" s="322">
        <f t="shared" si="0"/>
        <v>1.0605926027282671</v>
      </c>
    </row>
    <row r="70" spans="1:8" ht="26.25" customHeight="1" x14ac:dyDescent="0.4">
      <c r="A70" s="456" t="s">
        <v>76</v>
      </c>
      <c r="B70" s="457"/>
      <c r="C70" s="451"/>
      <c r="D70" s="454"/>
      <c r="E70" s="321">
        <v>3</v>
      </c>
      <c r="F70" s="273">
        <v>116914156</v>
      </c>
      <c r="G70" s="407">
        <f>IF(ISBLANK(F70),"-",(F70/$D$50*$D$47*$B$68)*($B$57/$D$68))</f>
        <v>528.61904565764735</v>
      </c>
      <c r="H70" s="322">
        <f t="shared" si="0"/>
        <v>1.0572380913152948</v>
      </c>
    </row>
    <row r="71" spans="1:8" ht="27" customHeight="1" thickBot="1" x14ac:dyDescent="0.45">
      <c r="A71" s="458"/>
      <c r="B71" s="459"/>
      <c r="C71" s="452"/>
      <c r="D71" s="455"/>
      <c r="E71" s="324">
        <v>4</v>
      </c>
      <c r="F71" s="325"/>
      <c r="G71" s="408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59"/>
      <c r="B72" s="359"/>
      <c r="C72" s="359"/>
      <c r="D72" s="359"/>
      <c r="E72" s="359"/>
      <c r="F72" s="334" t="s">
        <v>69</v>
      </c>
      <c r="G72" s="413">
        <f>AVERAGE(G60:G71)</f>
        <v>526.6162945502258</v>
      </c>
      <c r="H72" s="335">
        <f>AVERAGE(H60:H71)</f>
        <v>1.0532325891004517</v>
      </c>
    </row>
    <row r="73" spans="1:8" ht="26.25" customHeight="1" x14ac:dyDescent="0.4">
      <c r="C73" s="359"/>
      <c r="D73" s="359"/>
      <c r="E73" s="359"/>
      <c r="F73" s="336" t="s">
        <v>82</v>
      </c>
      <c r="G73" s="409">
        <f>STDEV(G60:G71)/G72</f>
        <v>7.128921968327798E-3</v>
      </c>
      <c r="H73" s="409">
        <f>STDEV(H60:H71)/H72</f>
        <v>7.1289219683277703E-3</v>
      </c>
    </row>
    <row r="74" spans="1:8" ht="27" customHeight="1" thickBot="1" x14ac:dyDescent="0.45">
      <c r="A74" s="359"/>
      <c r="B74" s="359"/>
      <c r="C74" s="359"/>
      <c r="D74" s="359"/>
      <c r="E74" s="337"/>
      <c r="F74" s="338" t="s">
        <v>19</v>
      </c>
      <c r="G74" s="339">
        <f>COUNT(G60:G71)</f>
        <v>9</v>
      </c>
      <c r="H74" s="339">
        <f>COUNT(H60:H71)</f>
        <v>9</v>
      </c>
    </row>
    <row r="76" spans="1:8" ht="26.25" customHeight="1" x14ac:dyDescent="0.4">
      <c r="A76" s="396" t="s">
        <v>104</v>
      </c>
      <c r="B76" s="351" t="s">
        <v>105</v>
      </c>
      <c r="C76" s="437" t="str">
        <f>B20</f>
        <v>Amoxicillin &amp; Clavulanic Acid</v>
      </c>
      <c r="D76" s="437"/>
      <c r="E76" s="341" t="s">
        <v>106</v>
      </c>
      <c r="F76" s="341"/>
      <c r="G76" s="342">
        <f>H72</f>
        <v>1.0532325891004517</v>
      </c>
      <c r="H76" s="419"/>
    </row>
    <row r="77" spans="1:8" ht="18.75" x14ac:dyDescent="0.3">
      <c r="A77" s="243" t="s">
        <v>107</v>
      </c>
      <c r="B77" s="243" t="s">
        <v>108</v>
      </c>
    </row>
    <row r="78" spans="1:8" ht="18.75" x14ac:dyDescent="0.3">
      <c r="A78" s="243"/>
      <c r="B78" s="243"/>
    </row>
    <row r="79" spans="1:8" ht="26.25" customHeight="1" x14ac:dyDescent="0.4">
      <c r="A79" s="396" t="s">
        <v>3</v>
      </c>
      <c r="B79" s="460" t="str">
        <f>B26</f>
        <v>Amoxicillin</v>
      </c>
      <c r="C79" s="460"/>
    </row>
    <row r="80" spans="1:8" ht="26.25" customHeight="1" x14ac:dyDescent="0.4">
      <c r="A80" s="351" t="s">
        <v>46</v>
      </c>
      <c r="B80" s="460">
        <f>B27</f>
        <v>0</v>
      </c>
      <c r="C80" s="460"/>
    </row>
    <row r="81" spans="1:12" ht="27" customHeight="1" thickBot="1" x14ac:dyDescent="0.45">
      <c r="A81" s="351" t="s">
        <v>5</v>
      </c>
      <c r="B81" s="344">
        <f>B28</f>
        <v>86.6</v>
      </c>
    </row>
    <row r="82" spans="1:12" s="4" customFormat="1" ht="27" customHeight="1" thickBot="1" x14ac:dyDescent="0.45">
      <c r="A82" s="351" t="s">
        <v>47</v>
      </c>
      <c r="B82" s="247">
        <v>0</v>
      </c>
      <c r="C82" s="439" t="s">
        <v>48</v>
      </c>
      <c r="D82" s="440"/>
      <c r="E82" s="440"/>
      <c r="F82" s="440"/>
      <c r="G82" s="441"/>
      <c r="I82" s="248"/>
      <c r="J82" s="248"/>
      <c r="K82" s="248"/>
      <c r="L82" s="248"/>
    </row>
    <row r="83" spans="1:12" s="4" customFormat="1" ht="19.5" customHeight="1" thickBot="1" x14ac:dyDescent="0.35">
      <c r="A83" s="351" t="s">
        <v>49</v>
      </c>
      <c r="B83" s="419">
        <f>B81-B82</f>
        <v>86.6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4" customFormat="1" ht="27" customHeight="1" thickBot="1" x14ac:dyDescent="0.45">
      <c r="A84" s="351" t="s">
        <v>50</v>
      </c>
      <c r="B84" s="252">
        <v>1</v>
      </c>
      <c r="C84" s="442" t="s">
        <v>109</v>
      </c>
      <c r="D84" s="443"/>
      <c r="E84" s="443"/>
      <c r="F84" s="443"/>
      <c r="G84" s="443"/>
      <c r="H84" s="444"/>
      <c r="I84" s="248"/>
      <c r="J84" s="248"/>
      <c r="K84" s="248"/>
      <c r="L84" s="248"/>
    </row>
    <row r="85" spans="1:12" s="4" customFormat="1" ht="27" customHeight="1" thickBot="1" x14ac:dyDescent="0.45">
      <c r="A85" s="351" t="s">
        <v>52</v>
      </c>
      <c r="B85" s="252">
        <v>1</v>
      </c>
      <c r="C85" s="442" t="s">
        <v>110</v>
      </c>
      <c r="D85" s="443"/>
      <c r="E85" s="443"/>
      <c r="F85" s="443"/>
      <c r="G85" s="443"/>
      <c r="H85" s="444"/>
      <c r="I85" s="248"/>
      <c r="J85" s="248"/>
      <c r="K85" s="248"/>
      <c r="L85" s="248"/>
    </row>
    <row r="86" spans="1:12" s="4" customFormat="1" ht="18.75" x14ac:dyDescent="0.3">
      <c r="A86" s="351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4" customFormat="1" ht="18.75" x14ac:dyDescent="0.3">
      <c r="A87" s="351" t="s">
        <v>54</v>
      </c>
      <c r="B87" s="257">
        <f>B84/B85</f>
        <v>1</v>
      </c>
      <c r="C87" s="341" t="s">
        <v>55</v>
      </c>
      <c r="D87" s="341"/>
      <c r="E87" s="341"/>
      <c r="F87" s="341"/>
      <c r="G87" s="341"/>
      <c r="I87" s="248"/>
      <c r="J87" s="248"/>
      <c r="K87" s="248"/>
      <c r="L87" s="248"/>
    </row>
    <row r="88" spans="1:12" ht="19.5" customHeight="1" thickBot="1" x14ac:dyDescent="0.35">
      <c r="A88" s="243"/>
      <c r="B88" s="243"/>
    </row>
    <row r="89" spans="1:12" ht="27" customHeight="1" thickBot="1" x14ac:dyDescent="0.45">
      <c r="A89" s="258" t="s">
        <v>56</v>
      </c>
      <c r="B89" s="259">
        <v>20</v>
      </c>
      <c r="D89" s="417" t="s">
        <v>57</v>
      </c>
      <c r="E89" s="418"/>
      <c r="F89" s="445" t="s">
        <v>58</v>
      </c>
      <c r="G89" s="446"/>
    </row>
    <row r="90" spans="1:12" ht="27" customHeight="1" thickBot="1" x14ac:dyDescent="0.45">
      <c r="A90" s="260" t="s">
        <v>59</v>
      </c>
      <c r="B90" s="261">
        <v>10</v>
      </c>
      <c r="C90" s="420" t="s">
        <v>60</v>
      </c>
      <c r="D90" s="263" t="s">
        <v>61</v>
      </c>
      <c r="E90" s="264" t="s">
        <v>62</v>
      </c>
      <c r="F90" s="263" t="s">
        <v>61</v>
      </c>
      <c r="G90" s="348" t="s">
        <v>62</v>
      </c>
      <c r="I90" s="266" t="s">
        <v>63</v>
      </c>
    </row>
    <row r="91" spans="1:12" ht="26.25" customHeight="1" x14ac:dyDescent="0.4">
      <c r="A91" s="260" t="s">
        <v>64</v>
      </c>
      <c r="B91" s="261">
        <v>25</v>
      </c>
      <c r="C91" s="349">
        <v>1</v>
      </c>
      <c r="D91" s="268">
        <v>120973297</v>
      </c>
      <c r="E91" s="269">
        <f>IF(ISBLANK(D91),"-",$D$101/$D$98*D91)</f>
        <v>145548917.30053377</v>
      </c>
      <c r="F91" s="268">
        <v>130814033</v>
      </c>
      <c r="G91" s="270">
        <f>IF(ISBLANK(F91),"-",$D$101/$F$98*F91)</f>
        <v>144191929.51314211</v>
      </c>
      <c r="I91" s="271"/>
    </row>
    <row r="92" spans="1:12" ht="26.25" customHeight="1" x14ac:dyDescent="0.4">
      <c r="A92" s="260" t="s">
        <v>65</v>
      </c>
      <c r="B92" s="261">
        <v>1</v>
      </c>
      <c r="C92" s="359">
        <v>2</v>
      </c>
      <c r="D92" s="273">
        <v>120873903</v>
      </c>
      <c r="E92" s="274">
        <f>IF(ISBLANK(D92),"-",$D$101/$D$98*D92)</f>
        <v>145429331.49569148</v>
      </c>
      <c r="F92" s="273">
        <v>130780098</v>
      </c>
      <c r="G92" s="275">
        <f>IF(ISBLANK(F92),"-",$D$101/$F$98*F92)</f>
        <v>144154524.0986326</v>
      </c>
      <c r="I92" s="447">
        <f>ABS((F96/D96*D95)-F95)/D95</f>
        <v>8.2615494826773234E-3</v>
      </c>
    </row>
    <row r="93" spans="1:12" ht="26.25" customHeight="1" x14ac:dyDescent="0.4">
      <c r="A93" s="260" t="s">
        <v>66</v>
      </c>
      <c r="B93" s="261">
        <v>1</v>
      </c>
      <c r="C93" s="359">
        <v>3</v>
      </c>
      <c r="D93" s="273">
        <v>121398382</v>
      </c>
      <c r="E93" s="274">
        <f>IF(ISBLANK(D93),"-",$D$101/$D$98*D93)</f>
        <v>146060357.94937956</v>
      </c>
      <c r="F93" s="273">
        <v>131118429</v>
      </c>
      <c r="G93" s="275">
        <f>IF(ISBLANK(F93),"-",$D$101/$F$98*F93)</f>
        <v>144527455.03413942</v>
      </c>
      <c r="I93" s="447"/>
    </row>
    <row r="94" spans="1:12" ht="27" customHeight="1" thickBot="1" x14ac:dyDescent="0.45">
      <c r="A94" s="260" t="s">
        <v>67</v>
      </c>
      <c r="B94" s="261">
        <v>1</v>
      </c>
      <c r="C94" s="350">
        <v>4</v>
      </c>
      <c r="D94" s="278">
        <v>120307472</v>
      </c>
      <c r="E94" s="279">
        <f>IF(ISBLANK(D94),"-",$D$101/$D$98*D94)</f>
        <v>144747830.52961084</v>
      </c>
      <c r="F94" s="422">
        <v>131101765</v>
      </c>
      <c r="G94" s="280">
        <f>IF(ISBLANK(F94),"-",$D$101/$F$98*F94)</f>
        <v>144509086.86477485</v>
      </c>
      <c r="I94" s="281"/>
    </row>
    <row r="95" spans="1:12" ht="27" customHeight="1" thickBot="1" x14ac:dyDescent="0.45">
      <c r="A95" s="260" t="s">
        <v>68</v>
      </c>
      <c r="B95" s="261">
        <v>1</v>
      </c>
      <c r="C95" s="351" t="s">
        <v>69</v>
      </c>
      <c r="D95" s="352">
        <f>AVERAGE(D91:D94)</f>
        <v>120888263.5</v>
      </c>
      <c r="E95" s="284">
        <f>AVERAGE(E91:E94)</f>
        <v>145446609.31880391</v>
      </c>
      <c r="F95" s="353">
        <f>AVERAGE(F91:F94)</f>
        <v>130953581.25</v>
      </c>
      <c r="G95" s="354">
        <f>AVERAGE(G91:G94)</f>
        <v>144345748.87767223</v>
      </c>
    </row>
    <row r="96" spans="1:12" ht="26.25" customHeight="1" x14ac:dyDescent="0.4">
      <c r="A96" s="260" t="s">
        <v>70</v>
      </c>
      <c r="B96" s="344">
        <v>1</v>
      </c>
      <c r="C96" s="355" t="s">
        <v>111</v>
      </c>
      <c r="D96" s="356">
        <v>26.66</v>
      </c>
      <c r="E96" s="341"/>
      <c r="F96" s="288">
        <v>29.1</v>
      </c>
    </row>
    <row r="97" spans="1:10" ht="26.25" customHeight="1" x14ac:dyDescent="0.4">
      <c r="A97" s="260" t="s">
        <v>72</v>
      </c>
      <c r="B97" s="344">
        <v>1</v>
      </c>
      <c r="C97" s="357" t="s">
        <v>112</v>
      </c>
      <c r="D97" s="358">
        <f>D96*$B$87</f>
        <v>26.66</v>
      </c>
      <c r="E97" s="359"/>
      <c r="F97" s="290">
        <f>F96*$B$87</f>
        <v>29.1</v>
      </c>
    </row>
    <row r="98" spans="1:10" ht="19.5" customHeight="1" thickBot="1" x14ac:dyDescent="0.35">
      <c r="A98" s="260" t="s">
        <v>74</v>
      </c>
      <c r="B98" s="359">
        <f>(B97/B96)*(B95/B94)*(B93/B92)*(B91/B90)*B89</f>
        <v>50</v>
      </c>
      <c r="C98" s="357" t="s">
        <v>113</v>
      </c>
      <c r="D98" s="360">
        <f>D97*$B$83/100</f>
        <v>23.08756</v>
      </c>
      <c r="E98" s="337"/>
      <c r="F98" s="293">
        <f>F97*$B$83/100</f>
        <v>25.200599999999998</v>
      </c>
    </row>
    <row r="99" spans="1:10" ht="19.5" customHeight="1" thickBot="1" x14ac:dyDescent="0.35">
      <c r="A99" s="433" t="s">
        <v>76</v>
      </c>
      <c r="B99" s="448"/>
      <c r="C99" s="357" t="s">
        <v>114</v>
      </c>
      <c r="D99" s="361">
        <f>D98/$B$98</f>
        <v>0.46175119999999997</v>
      </c>
      <c r="E99" s="337"/>
      <c r="F99" s="297">
        <f>F98/$B$98</f>
        <v>0.5040119999999999</v>
      </c>
      <c r="H99" s="286"/>
    </row>
    <row r="100" spans="1:10" ht="19.5" customHeight="1" thickBot="1" x14ac:dyDescent="0.35">
      <c r="A100" s="435"/>
      <c r="B100" s="449"/>
      <c r="C100" s="357" t="s">
        <v>78</v>
      </c>
      <c r="D100" s="363">
        <f>$B$56/$B$116</f>
        <v>0.55555555555555558</v>
      </c>
      <c r="F100" s="302"/>
      <c r="G100" s="370"/>
      <c r="H100" s="286"/>
    </row>
    <row r="101" spans="1:10" ht="18.75" x14ac:dyDescent="0.3">
      <c r="C101" s="357" t="s">
        <v>79</v>
      </c>
      <c r="D101" s="358">
        <f>D100*$B$98</f>
        <v>27.777777777777779</v>
      </c>
      <c r="F101" s="302"/>
      <c r="H101" s="286"/>
    </row>
    <row r="102" spans="1:10" ht="19.5" customHeight="1" thickBot="1" x14ac:dyDescent="0.35">
      <c r="C102" s="365" t="s">
        <v>80</v>
      </c>
      <c r="D102" s="366">
        <f>D101/B34</f>
        <v>27.777777777777779</v>
      </c>
      <c r="F102" s="306"/>
      <c r="H102" s="286"/>
      <c r="J102" s="367"/>
    </row>
    <row r="103" spans="1:10" ht="18.75" x14ac:dyDescent="0.3">
      <c r="C103" s="368" t="s">
        <v>115</v>
      </c>
      <c r="D103" s="369">
        <f>AVERAGE(E91:E94,G91:G94)</f>
        <v>144896179.09823808</v>
      </c>
      <c r="F103" s="306"/>
      <c r="G103" s="370"/>
      <c r="H103" s="286"/>
      <c r="J103" s="371"/>
    </row>
    <row r="104" spans="1:10" ht="18.75" x14ac:dyDescent="0.3">
      <c r="C104" s="336" t="s">
        <v>82</v>
      </c>
      <c r="D104" s="372">
        <f>STDEV(E91:E94,G91:G94)/D103</f>
        <v>4.8236139544033212E-3</v>
      </c>
      <c r="F104" s="306"/>
      <c r="H104" s="286"/>
      <c r="J104" s="371"/>
    </row>
    <row r="105" spans="1:10" ht="19.5" customHeight="1" thickBot="1" x14ac:dyDescent="0.35">
      <c r="C105" s="338" t="s">
        <v>19</v>
      </c>
      <c r="D105" s="373">
        <f>COUNT(E91:E94,G91:G94)</f>
        <v>8</v>
      </c>
      <c r="F105" s="306"/>
      <c r="H105" s="286"/>
      <c r="J105" s="371"/>
    </row>
    <row r="106" spans="1:10" ht="19.5" customHeight="1" thickBot="1" x14ac:dyDescent="0.35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116</v>
      </c>
      <c r="B107" s="259">
        <v>900</v>
      </c>
      <c r="C107" s="417" t="s">
        <v>117</v>
      </c>
      <c r="D107" s="375" t="s">
        <v>61</v>
      </c>
      <c r="E107" s="376" t="s">
        <v>118</v>
      </c>
      <c r="F107" s="377" t="s">
        <v>119</v>
      </c>
    </row>
    <row r="108" spans="1:10" ht="26.25" customHeight="1" x14ac:dyDescent="0.4">
      <c r="A108" s="260" t="s">
        <v>120</v>
      </c>
      <c r="B108" s="261">
        <v>1</v>
      </c>
      <c r="C108" s="378">
        <v>1</v>
      </c>
      <c r="D108" s="379">
        <v>141361903</v>
      </c>
      <c r="E108" s="410">
        <f t="shared" ref="E108:E113" si="1">IF(ISBLANK(D108),"-",D108/$D$103*$D$100*$B$116)</f>
        <v>487.80410870654543</v>
      </c>
      <c r="F108" s="380">
        <f t="shared" ref="F108:F113" si="2">IF(ISBLANK(D108), "-", E108/$B$56)</f>
        <v>0.97560821741309089</v>
      </c>
    </row>
    <row r="109" spans="1:10" ht="26.25" customHeight="1" x14ac:dyDescent="0.4">
      <c r="A109" s="260" t="s">
        <v>93</v>
      </c>
      <c r="B109" s="261">
        <v>1</v>
      </c>
      <c r="C109" s="378">
        <v>2</v>
      </c>
      <c r="D109" s="379">
        <v>141170293</v>
      </c>
      <c r="E109" s="411">
        <f t="shared" si="1"/>
        <v>487.1429111470498</v>
      </c>
      <c r="F109" s="381">
        <f t="shared" si="2"/>
        <v>0.97428582229409966</v>
      </c>
    </row>
    <row r="110" spans="1:10" ht="26.25" customHeight="1" x14ac:dyDescent="0.4">
      <c r="A110" s="260" t="s">
        <v>94</v>
      </c>
      <c r="B110" s="261">
        <v>1</v>
      </c>
      <c r="C110" s="378">
        <v>3</v>
      </c>
      <c r="D110" s="379">
        <v>140906362</v>
      </c>
      <c r="E110" s="411">
        <f t="shared" si="1"/>
        <v>486.23215214138594</v>
      </c>
      <c r="F110" s="381">
        <f t="shared" si="2"/>
        <v>0.97246430428277186</v>
      </c>
    </row>
    <row r="111" spans="1:10" ht="26.25" customHeight="1" x14ac:dyDescent="0.4">
      <c r="A111" s="260" t="s">
        <v>95</v>
      </c>
      <c r="B111" s="261">
        <v>1</v>
      </c>
      <c r="C111" s="378">
        <v>4</v>
      </c>
      <c r="D111" s="379">
        <v>143969690</v>
      </c>
      <c r="E111" s="411">
        <f t="shared" si="1"/>
        <v>496.80292087754117</v>
      </c>
      <c r="F111" s="381">
        <f t="shared" si="2"/>
        <v>0.99360584175508238</v>
      </c>
    </row>
    <row r="112" spans="1:10" ht="26.25" customHeight="1" x14ac:dyDescent="0.4">
      <c r="A112" s="260" t="s">
        <v>96</v>
      </c>
      <c r="B112" s="261">
        <v>1</v>
      </c>
      <c r="C112" s="378">
        <v>5</v>
      </c>
      <c r="D112" s="379">
        <v>130418096</v>
      </c>
      <c r="E112" s="411">
        <f t="shared" si="1"/>
        <v>450.03980371206995</v>
      </c>
      <c r="F112" s="381">
        <f t="shared" si="2"/>
        <v>0.90007960742413995</v>
      </c>
    </row>
    <row r="113" spans="1:10" ht="26.25" customHeight="1" x14ac:dyDescent="0.4">
      <c r="A113" s="260" t="s">
        <v>98</v>
      </c>
      <c r="B113" s="261">
        <v>1</v>
      </c>
      <c r="C113" s="382">
        <v>6</v>
      </c>
      <c r="D113" s="383">
        <v>145937056</v>
      </c>
      <c r="E113" s="412">
        <f t="shared" si="1"/>
        <v>503.59180244862159</v>
      </c>
      <c r="F113" s="384">
        <f t="shared" si="2"/>
        <v>1.0071836048972431</v>
      </c>
    </row>
    <row r="114" spans="1:10" ht="26.25" customHeight="1" x14ac:dyDescent="0.4">
      <c r="A114" s="260" t="s">
        <v>99</v>
      </c>
      <c r="B114" s="261">
        <v>1</v>
      </c>
      <c r="C114" s="378"/>
      <c r="D114" s="359"/>
      <c r="E114" s="341"/>
      <c r="F114" s="385"/>
    </row>
    <row r="115" spans="1:10" ht="26.25" customHeight="1" x14ac:dyDescent="0.4">
      <c r="A115" s="260" t="s">
        <v>100</v>
      </c>
      <c r="B115" s="261">
        <v>1</v>
      </c>
      <c r="C115" s="378"/>
      <c r="D115" s="386" t="s">
        <v>69</v>
      </c>
      <c r="E115" s="414">
        <f>AVERAGE(E108:E113)</f>
        <v>485.26894983886905</v>
      </c>
      <c r="F115" s="387">
        <f>AVERAGE(F108:F113)</f>
        <v>0.97053789967773796</v>
      </c>
    </row>
    <row r="116" spans="1:10" ht="27" customHeight="1" thickBot="1" x14ac:dyDescent="0.45">
      <c r="A116" s="260" t="s">
        <v>101</v>
      </c>
      <c r="B116" s="292">
        <f>(B115/B114)*(B113/B112)*(B111/B110)*(B109/B108)*B107</f>
        <v>900</v>
      </c>
      <c r="C116" s="388"/>
      <c r="D116" s="351" t="s">
        <v>82</v>
      </c>
      <c r="E116" s="389">
        <f>STDEV(E108:E113)/E115</f>
        <v>3.822851516815326E-2</v>
      </c>
      <c r="F116" s="389">
        <f>STDEV(F108:F113)/F115</f>
        <v>3.8228515168153246E-2</v>
      </c>
      <c r="I116" s="341"/>
    </row>
    <row r="117" spans="1:10" ht="27" customHeight="1" thickBot="1" x14ac:dyDescent="0.45">
      <c r="A117" s="433" t="s">
        <v>76</v>
      </c>
      <c r="B117" s="434"/>
      <c r="C117" s="390"/>
      <c r="D117" s="391" t="s">
        <v>19</v>
      </c>
      <c r="E117" s="392">
        <f>COUNT(E108:E113)</f>
        <v>6</v>
      </c>
      <c r="F117" s="392">
        <f>COUNT(F108:F113)</f>
        <v>6</v>
      </c>
      <c r="I117" s="341"/>
      <c r="J117" s="371"/>
    </row>
    <row r="118" spans="1:10" ht="19.5" customHeight="1" thickBot="1" x14ac:dyDescent="0.35">
      <c r="A118" s="435"/>
      <c r="B118" s="436"/>
      <c r="C118" s="341"/>
      <c r="D118" s="341"/>
      <c r="E118" s="341"/>
      <c r="F118" s="359"/>
      <c r="G118" s="341"/>
      <c r="H118" s="341"/>
      <c r="I118" s="341"/>
    </row>
    <row r="119" spans="1:10" ht="18.75" x14ac:dyDescent="0.3">
      <c r="A119" s="401"/>
      <c r="B119" s="256"/>
      <c r="C119" s="341"/>
      <c r="D119" s="341"/>
      <c r="E119" s="341"/>
      <c r="F119" s="359"/>
      <c r="G119" s="341"/>
      <c r="H119" s="341"/>
      <c r="I119" s="341"/>
    </row>
    <row r="120" spans="1:10" ht="26.25" customHeight="1" x14ac:dyDescent="0.4">
      <c r="A120" s="396" t="s">
        <v>104</v>
      </c>
      <c r="B120" s="351" t="s">
        <v>121</v>
      </c>
      <c r="C120" s="437" t="str">
        <f>B20</f>
        <v>Amoxicillin &amp; Clavulanic Acid</v>
      </c>
      <c r="D120" s="437"/>
      <c r="E120" s="341" t="s">
        <v>122</v>
      </c>
      <c r="F120" s="341"/>
      <c r="G120" s="342">
        <f>F115</f>
        <v>0.97053789967773796</v>
      </c>
      <c r="H120" s="341"/>
      <c r="I120" s="341"/>
    </row>
    <row r="121" spans="1:10" ht="19.5" customHeight="1" thickBot="1" x14ac:dyDescent="0.35">
      <c r="A121" s="421"/>
      <c r="B121" s="421"/>
      <c r="C121" s="394"/>
      <c r="D121" s="394"/>
      <c r="E121" s="394"/>
      <c r="F121" s="394"/>
      <c r="G121" s="394"/>
      <c r="H121" s="394"/>
    </row>
    <row r="122" spans="1:10" ht="18.75" x14ac:dyDescent="0.3">
      <c r="B122" s="438" t="s">
        <v>24</v>
      </c>
      <c r="C122" s="438"/>
      <c r="E122" s="420" t="s">
        <v>25</v>
      </c>
      <c r="F122" s="395"/>
      <c r="G122" s="438" t="s">
        <v>26</v>
      </c>
      <c r="H122" s="438"/>
    </row>
    <row r="123" spans="1:10" ht="69.95" customHeight="1" x14ac:dyDescent="0.3">
      <c r="A123" s="396" t="s">
        <v>27</v>
      </c>
      <c r="B123" s="398"/>
      <c r="C123" s="398"/>
      <c r="E123" s="398"/>
      <c r="F123" s="341"/>
      <c r="G123" s="398"/>
      <c r="H123" s="398"/>
    </row>
    <row r="124" spans="1:10" ht="69.95" customHeight="1" x14ac:dyDescent="0.3">
      <c r="A124" s="396" t="s">
        <v>28</v>
      </c>
      <c r="B124" s="399"/>
      <c r="C124" s="399"/>
      <c r="E124" s="399"/>
      <c r="F124" s="341"/>
      <c r="G124" s="400"/>
      <c r="H124" s="400"/>
    </row>
    <row r="125" spans="1:10" ht="18.75" x14ac:dyDescent="0.3">
      <c r="A125" s="359"/>
      <c r="B125" s="359"/>
      <c r="C125" s="359"/>
      <c r="D125" s="359"/>
      <c r="E125" s="359"/>
      <c r="F125" s="337"/>
      <c r="G125" s="359"/>
      <c r="H125" s="359"/>
      <c r="I125" s="341"/>
    </row>
    <row r="126" spans="1:10" ht="18.75" x14ac:dyDescent="0.3">
      <c r="A126" s="359"/>
      <c r="B126" s="359"/>
      <c r="C126" s="359"/>
      <c r="D126" s="359"/>
      <c r="E126" s="359"/>
      <c r="F126" s="337"/>
      <c r="G126" s="359"/>
      <c r="H126" s="359"/>
      <c r="I126" s="341"/>
    </row>
    <row r="127" spans="1:10" ht="18.75" x14ac:dyDescent="0.3">
      <c r="A127" s="359"/>
      <c r="B127" s="359"/>
      <c r="C127" s="359"/>
      <c r="D127" s="359"/>
      <c r="E127" s="359"/>
      <c r="F127" s="337"/>
      <c r="G127" s="359"/>
      <c r="H127" s="359"/>
      <c r="I127" s="341"/>
    </row>
    <row r="128" spans="1:10" ht="18.75" x14ac:dyDescent="0.3">
      <c r="A128" s="359"/>
      <c r="B128" s="359"/>
      <c r="C128" s="359"/>
      <c r="D128" s="359"/>
      <c r="E128" s="359"/>
      <c r="F128" s="337"/>
      <c r="G128" s="359"/>
      <c r="H128" s="359"/>
      <c r="I128" s="341"/>
    </row>
    <row r="129" spans="1:9" ht="18.75" x14ac:dyDescent="0.3">
      <c r="A129" s="359"/>
      <c r="B129" s="359"/>
      <c r="C129" s="359"/>
      <c r="D129" s="359"/>
      <c r="E129" s="359"/>
      <c r="F129" s="337"/>
      <c r="G129" s="359"/>
      <c r="H129" s="359"/>
      <c r="I129" s="341"/>
    </row>
    <row r="130" spans="1:9" ht="18.75" x14ac:dyDescent="0.3">
      <c r="A130" s="359"/>
      <c r="B130" s="359"/>
      <c r="C130" s="359"/>
      <c r="D130" s="359"/>
      <c r="E130" s="359"/>
      <c r="F130" s="337"/>
      <c r="G130" s="359"/>
      <c r="H130" s="359"/>
      <c r="I130" s="341"/>
    </row>
    <row r="131" spans="1:9" ht="18.75" x14ac:dyDescent="0.3">
      <c r="A131" s="359"/>
      <c r="B131" s="359"/>
      <c r="C131" s="359"/>
      <c r="D131" s="359"/>
      <c r="E131" s="359"/>
      <c r="F131" s="337"/>
      <c r="G131" s="359"/>
      <c r="H131" s="359"/>
      <c r="I131" s="341"/>
    </row>
    <row r="132" spans="1:9" ht="18.75" x14ac:dyDescent="0.3">
      <c r="A132" s="359"/>
      <c r="B132" s="359"/>
      <c r="C132" s="359"/>
      <c r="D132" s="359"/>
      <c r="E132" s="359"/>
      <c r="F132" s="337"/>
      <c r="G132" s="359"/>
      <c r="H132" s="359"/>
      <c r="I132" s="341"/>
    </row>
    <row r="133" spans="1:9" ht="18.75" x14ac:dyDescent="0.3">
      <c r="A133" s="359"/>
      <c r="B133" s="359"/>
      <c r="C133" s="359"/>
      <c r="D133" s="359"/>
      <c r="E133" s="359"/>
      <c r="F133" s="337"/>
      <c r="G133" s="359"/>
      <c r="H133" s="359"/>
      <c r="I133" s="341"/>
    </row>
    <row r="250" spans="1:1" x14ac:dyDescent="0.25">
      <c r="A250" s="36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5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362" customWidth="1"/>
    <col min="2" max="2" width="33.7109375" style="362" customWidth="1"/>
    <col min="3" max="3" width="42.28515625" style="362" customWidth="1"/>
    <col min="4" max="4" width="30.5703125" style="362" customWidth="1"/>
    <col min="5" max="5" width="39.85546875" style="362" customWidth="1"/>
    <col min="6" max="6" width="30.7109375" style="362" customWidth="1"/>
    <col min="7" max="7" width="39.85546875" style="362" customWidth="1"/>
    <col min="8" max="8" width="30" style="362" customWidth="1"/>
    <col min="9" max="9" width="30.28515625" style="362" hidden="1" customWidth="1"/>
    <col min="10" max="10" width="30.42578125" style="362" customWidth="1"/>
    <col min="11" max="11" width="21.28515625" style="362" customWidth="1"/>
    <col min="12" max="12" width="9.140625" style="362"/>
    <col min="13" max="16384" width="9.140625" style="5"/>
  </cols>
  <sheetData>
    <row r="1" spans="1:9" ht="18.75" customHeight="1" x14ac:dyDescent="0.25">
      <c r="A1" s="431" t="s">
        <v>43</v>
      </c>
      <c r="B1" s="431"/>
      <c r="C1" s="431"/>
      <c r="D1" s="431"/>
      <c r="E1" s="431"/>
      <c r="F1" s="431"/>
      <c r="G1" s="431"/>
      <c r="H1" s="431"/>
      <c r="I1" s="431"/>
    </row>
    <row r="2" spans="1:9" ht="18.75" customHeight="1" x14ac:dyDescent="0.25">
      <c r="A2" s="431"/>
      <c r="B2" s="431"/>
      <c r="C2" s="431"/>
      <c r="D2" s="431"/>
      <c r="E2" s="431"/>
      <c r="F2" s="431"/>
      <c r="G2" s="431"/>
      <c r="H2" s="431"/>
      <c r="I2" s="431"/>
    </row>
    <row r="3" spans="1:9" ht="18.75" customHeight="1" x14ac:dyDescent="0.25">
      <c r="A3" s="431"/>
      <c r="B3" s="431"/>
      <c r="C3" s="431"/>
      <c r="D3" s="431"/>
      <c r="E3" s="431"/>
      <c r="F3" s="431"/>
      <c r="G3" s="431"/>
      <c r="H3" s="431"/>
      <c r="I3" s="431"/>
    </row>
    <row r="4" spans="1:9" ht="18.75" customHeight="1" x14ac:dyDescent="0.25">
      <c r="A4" s="431"/>
      <c r="B4" s="431"/>
      <c r="C4" s="431"/>
      <c r="D4" s="431"/>
      <c r="E4" s="431"/>
      <c r="F4" s="431"/>
      <c r="G4" s="431"/>
      <c r="H4" s="431"/>
      <c r="I4" s="431"/>
    </row>
    <row r="5" spans="1:9" ht="18.75" customHeight="1" x14ac:dyDescent="0.25">
      <c r="A5" s="431"/>
      <c r="B5" s="431"/>
      <c r="C5" s="431"/>
      <c r="D5" s="431"/>
      <c r="E5" s="431"/>
      <c r="F5" s="431"/>
      <c r="G5" s="431"/>
      <c r="H5" s="431"/>
      <c r="I5" s="431"/>
    </row>
    <row r="6" spans="1:9" ht="18.75" customHeight="1" x14ac:dyDescent="0.25">
      <c r="A6" s="431"/>
      <c r="B6" s="431"/>
      <c r="C6" s="431"/>
      <c r="D6" s="431"/>
      <c r="E6" s="431"/>
      <c r="F6" s="431"/>
      <c r="G6" s="431"/>
      <c r="H6" s="431"/>
      <c r="I6" s="431"/>
    </row>
    <row r="7" spans="1:9" ht="18.75" customHeight="1" x14ac:dyDescent="0.25">
      <c r="A7" s="431"/>
      <c r="B7" s="431"/>
      <c r="C7" s="431"/>
      <c r="D7" s="431"/>
      <c r="E7" s="431"/>
      <c r="F7" s="431"/>
      <c r="G7" s="431"/>
      <c r="H7" s="431"/>
      <c r="I7" s="431"/>
    </row>
    <row r="8" spans="1:9" x14ac:dyDescent="0.25">
      <c r="A8" s="432" t="s">
        <v>44</v>
      </c>
      <c r="B8" s="432"/>
      <c r="C8" s="432"/>
      <c r="D8" s="432"/>
      <c r="E8" s="432"/>
      <c r="F8" s="432"/>
      <c r="G8" s="432"/>
      <c r="H8" s="432"/>
      <c r="I8" s="432"/>
    </row>
    <row r="9" spans="1:9" x14ac:dyDescent="0.25">
      <c r="A9" s="432"/>
      <c r="B9" s="432"/>
      <c r="C9" s="432"/>
      <c r="D9" s="432"/>
      <c r="E9" s="432"/>
      <c r="F9" s="432"/>
      <c r="G9" s="432"/>
      <c r="H9" s="432"/>
      <c r="I9" s="432"/>
    </row>
    <row r="10" spans="1:9" x14ac:dyDescent="0.25">
      <c r="A10" s="432"/>
      <c r="B10" s="432"/>
      <c r="C10" s="432"/>
      <c r="D10" s="432"/>
      <c r="E10" s="432"/>
      <c r="F10" s="432"/>
      <c r="G10" s="432"/>
      <c r="H10" s="432"/>
      <c r="I10" s="432"/>
    </row>
    <row r="11" spans="1:9" x14ac:dyDescent="0.25">
      <c r="A11" s="432"/>
      <c r="B11" s="432"/>
      <c r="C11" s="432"/>
      <c r="D11" s="432"/>
      <c r="E11" s="432"/>
      <c r="F11" s="432"/>
      <c r="G11" s="432"/>
      <c r="H11" s="432"/>
      <c r="I11" s="432"/>
    </row>
    <row r="12" spans="1:9" x14ac:dyDescent="0.25">
      <c r="A12" s="432"/>
      <c r="B12" s="432"/>
      <c r="C12" s="432"/>
      <c r="D12" s="432"/>
      <c r="E12" s="432"/>
      <c r="F12" s="432"/>
      <c r="G12" s="432"/>
      <c r="H12" s="432"/>
      <c r="I12" s="432"/>
    </row>
    <row r="13" spans="1:9" x14ac:dyDescent="0.25">
      <c r="A13" s="432"/>
      <c r="B13" s="432"/>
      <c r="C13" s="432"/>
      <c r="D13" s="432"/>
      <c r="E13" s="432"/>
      <c r="F13" s="432"/>
      <c r="G13" s="432"/>
      <c r="H13" s="432"/>
      <c r="I13" s="432"/>
    </row>
    <row r="14" spans="1:9" x14ac:dyDescent="0.25">
      <c r="A14" s="432"/>
      <c r="B14" s="432"/>
      <c r="C14" s="432"/>
      <c r="D14" s="432"/>
      <c r="E14" s="432"/>
      <c r="F14" s="432"/>
      <c r="G14" s="432"/>
      <c r="H14" s="432"/>
      <c r="I14" s="432"/>
    </row>
    <row r="15" spans="1:9" ht="19.5" customHeight="1" thickBot="1" x14ac:dyDescent="0.35">
      <c r="A15" s="341"/>
    </row>
    <row r="16" spans="1:9" ht="19.5" customHeight="1" thickBot="1" x14ac:dyDescent="0.35">
      <c r="A16" s="465" t="s">
        <v>29</v>
      </c>
      <c r="B16" s="466"/>
      <c r="C16" s="466"/>
      <c r="D16" s="466"/>
      <c r="E16" s="466"/>
      <c r="F16" s="466"/>
      <c r="G16" s="466"/>
      <c r="H16" s="467"/>
    </row>
    <row r="17" spans="1:14" ht="20.25" customHeight="1" x14ac:dyDescent="0.25">
      <c r="A17" s="468" t="s">
        <v>45</v>
      </c>
      <c r="B17" s="468"/>
      <c r="C17" s="468"/>
      <c r="D17" s="468"/>
      <c r="E17" s="468"/>
      <c r="F17" s="468"/>
      <c r="G17" s="468"/>
      <c r="H17" s="468"/>
    </row>
    <row r="18" spans="1:14" ht="26.25" customHeight="1" x14ac:dyDescent="0.4">
      <c r="A18" s="236" t="s">
        <v>31</v>
      </c>
      <c r="B18" s="464" t="s">
        <v>4</v>
      </c>
      <c r="C18" s="464"/>
      <c r="D18" s="402"/>
      <c r="E18" s="237"/>
      <c r="F18" s="415"/>
      <c r="G18" s="415"/>
      <c r="H18" s="415"/>
    </row>
    <row r="19" spans="1:14" ht="26.25" customHeight="1" x14ac:dyDescent="0.4">
      <c r="A19" s="236" t="s">
        <v>32</v>
      </c>
      <c r="B19" s="416" t="s">
        <v>6</v>
      </c>
      <c r="C19" s="415">
        <v>29</v>
      </c>
      <c r="D19" s="415"/>
      <c r="E19" s="415"/>
      <c r="F19" s="415"/>
      <c r="G19" s="415"/>
      <c r="H19" s="415"/>
    </row>
    <row r="20" spans="1:14" ht="26.25" customHeight="1" x14ac:dyDescent="0.4">
      <c r="A20" s="236" t="s">
        <v>33</v>
      </c>
      <c r="B20" s="469" t="s">
        <v>8</v>
      </c>
      <c r="C20" s="469"/>
      <c r="D20" s="415"/>
      <c r="E20" s="415"/>
      <c r="F20" s="415"/>
      <c r="G20" s="415"/>
      <c r="H20" s="415"/>
    </row>
    <row r="21" spans="1:14" ht="26.25" customHeight="1" x14ac:dyDescent="0.4">
      <c r="A21" s="236" t="s">
        <v>34</v>
      </c>
      <c r="B21" s="469" t="s">
        <v>10</v>
      </c>
      <c r="C21" s="469"/>
      <c r="D21" s="469"/>
      <c r="E21" s="469"/>
      <c r="F21" s="469"/>
      <c r="G21" s="469"/>
      <c r="H21" s="469"/>
      <c r="I21" s="240"/>
    </row>
    <row r="22" spans="1:14" ht="26.25" customHeight="1" x14ac:dyDescent="0.4">
      <c r="A22" s="236" t="s">
        <v>35</v>
      </c>
      <c r="B22" s="241" t="s">
        <v>11</v>
      </c>
      <c r="C22" s="415"/>
      <c r="D22" s="415"/>
      <c r="E22" s="415"/>
      <c r="F22" s="415"/>
      <c r="G22" s="415"/>
      <c r="H22" s="415"/>
    </row>
    <row r="23" spans="1:14" ht="26.25" customHeight="1" x14ac:dyDescent="0.4">
      <c r="A23" s="236" t="s">
        <v>36</v>
      </c>
      <c r="B23" s="241"/>
      <c r="C23" s="415"/>
      <c r="D23" s="415"/>
      <c r="E23" s="415"/>
      <c r="F23" s="415"/>
      <c r="G23" s="415"/>
      <c r="H23" s="415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396" t="s">
        <v>3</v>
      </c>
      <c r="B26" s="464" t="s">
        <v>124</v>
      </c>
      <c r="C26" s="464"/>
    </row>
    <row r="27" spans="1:14" ht="26.25" customHeight="1" x14ac:dyDescent="0.4">
      <c r="A27" s="351" t="s">
        <v>46</v>
      </c>
      <c r="B27" s="462"/>
      <c r="C27" s="462"/>
    </row>
    <row r="28" spans="1:14" ht="27" customHeight="1" thickBot="1" x14ac:dyDescent="0.45">
      <c r="A28" s="351" t="s">
        <v>5</v>
      </c>
      <c r="B28" s="344">
        <v>96.4</v>
      </c>
    </row>
    <row r="29" spans="1:14" s="4" customFormat="1" ht="27" customHeight="1" thickBot="1" x14ac:dyDescent="0.45">
      <c r="A29" s="351" t="s">
        <v>47</v>
      </c>
      <c r="B29" s="247"/>
      <c r="C29" s="439" t="s">
        <v>48</v>
      </c>
      <c r="D29" s="440"/>
      <c r="E29" s="440"/>
      <c r="F29" s="440"/>
      <c r="G29" s="441"/>
      <c r="I29" s="248"/>
      <c r="J29" s="248"/>
      <c r="K29" s="248"/>
      <c r="L29" s="248"/>
    </row>
    <row r="30" spans="1:14" s="4" customFormat="1" ht="19.5" customHeight="1" thickBot="1" x14ac:dyDescent="0.35">
      <c r="A30" s="351" t="s">
        <v>49</v>
      </c>
      <c r="B30" s="419">
        <f>B28-B29</f>
        <v>96.4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4" customFormat="1" ht="27" customHeight="1" thickBot="1" x14ac:dyDescent="0.45">
      <c r="A31" s="351" t="s">
        <v>50</v>
      </c>
      <c r="B31" s="252">
        <v>1</v>
      </c>
      <c r="C31" s="442" t="s">
        <v>51</v>
      </c>
      <c r="D31" s="443"/>
      <c r="E31" s="443"/>
      <c r="F31" s="443"/>
      <c r="G31" s="443"/>
      <c r="H31" s="444"/>
      <c r="I31" s="248"/>
      <c r="J31" s="248"/>
      <c r="K31" s="248"/>
      <c r="L31" s="248"/>
    </row>
    <row r="32" spans="1:14" s="4" customFormat="1" ht="27" customHeight="1" thickBot="1" x14ac:dyDescent="0.45">
      <c r="A32" s="351" t="s">
        <v>52</v>
      </c>
      <c r="B32" s="252">
        <v>1</v>
      </c>
      <c r="C32" s="442" t="s">
        <v>53</v>
      </c>
      <c r="D32" s="443"/>
      <c r="E32" s="443"/>
      <c r="F32" s="443"/>
      <c r="G32" s="443"/>
      <c r="H32" s="444"/>
      <c r="I32" s="248"/>
      <c r="J32" s="248"/>
      <c r="K32" s="248"/>
      <c r="L32" s="253"/>
      <c r="M32" s="253"/>
      <c r="N32" s="254"/>
    </row>
    <row r="33" spans="1:14" s="4" customFormat="1" ht="17.25" customHeight="1" x14ac:dyDescent="0.3">
      <c r="A33" s="351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4" customFormat="1" ht="18.75" x14ac:dyDescent="0.3">
      <c r="A34" s="351" t="s">
        <v>54</v>
      </c>
      <c r="B34" s="257">
        <f>B31/B32</f>
        <v>1</v>
      </c>
      <c r="C34" s="341" t="s">
        <v>55</v>
      </c>
      <c r="D34" s="341"/>
      <c r="E34" s="341"/>
      <c r="F34" s="341"/>
      <c r="G34" s="341"/>
      <c r="I34" s="248"/>
      <c r="J34" s="248"/>
      <c r="K34" s="248"/>
      <c r="L34" s="253"/>
      <c r="M34" s="253"/>
      <c r="N34" s="254"/>
    </row>
    <row r="35" spans="1:14" s="4" customFormat="1" ht="19.5" customHeight="1" thickBot="1" x14ac:dyDescent="0.35">
      <c r="A35" s="351"/>
      <c r="B35" s="419"/>
      <c r="G35" s="341"/>
      <c r="I35" s="248"/>
      <c r="J35" s="248"/>
      <c r="K35" s="248"/>
      <c r="L35" s="253"/>
      <c r="M35" s="253"/>
      <c r="N35" s="254"/>
    </row>
    <row r="36" spans="1:14" s="4" customFormat="1" ht="27" customHeight="1" thickBot="1" x14ac:dyDescent="0.45">
      <c r="A36" s="258" t="s">
        <v>56</v>
      </c>
      <c r="B36" s="259">
        <v>20</v>
      </c>
      <c r="C36" s="341"/>
      <c r="D36" s="445" t="s">
        <v>57</v>
      </c>
      <c r="E36" s="463"/>
      <c r="F36" s="445" t="s">
        <v>58</v>
      </c>
      <c r="G36" s="446"/>
      <c r="J36" s="248"/>
      <c r="K36" s="248"/>
      <c r="L36" s="253"/>
      <c r="M36" s="253"/>
      <c r="N36" s="254"/>
    </row>
    <row r="37" spans="1:14" s="4" customFormat="1" ht="27" customHeight="1" thickBot="1" x14ac:dyDescent="0.45">
      <c r="A37" s="260" t="s">
        <v>59</v>
      </c>
      <c r="B37" s="261">
        <v>3</v>
      </c>
      <c r="C37" s="262" t="s">
        <v>60</v>
      </c>
      <c r="D37" s="263" t="s">
        <v>61</v>
      </c>
      <c r="E37" s="264" t="s">
        <v>62</v>
      </c>
      <c r="F37" s="263" t="s">
        <v>61</v>
      </c>
      <c r="G37" s="265" t="s">
        <v>62</v>
      </c>
      <c r="I37" s="266" t="s">
        <v>63</v>
      </c>
      <c r="J37" s="248"/>
      <c r="K37" s="248"/>
      <c r="L37" s="253"/>
      <c r="M37" s="253"/>
      <c r="N37" s="254"/>
    </row>
    <row r="38" spans="1:14" s="4" customFormat="1" ht="26.25" customHeight="1" x14ac:dyDescent="0.4">
      <c r="A38" s="260" t="s">
        <v>64</v>
      </c>
      <c r="B38" s="261">
        <v>25</v>
      </c>
      <c r="C38" s="267">
        <v>1</v>
      </c>
      <c r="D38" s="268">
        <v>34051367</v>
      </c>
      <c r="E38" s="269">
        <f>IF(ISBLANK(D38),"-",$D$48/$D$45*D38)</f>
        <v>36197527.067222103</v>
      </c>
      <c r="F38" s="268">
        <v>34853336</v>
      </c>
      <c r="G38" s="270">
        <f>IF(ISBLANK(F38),"-",$D$48/$F$45*F38)</f>
        <v>34647072.277551502</v>
      </c>
      <c r="I38" s="271"/>
      <c r="J38" s="248"/>
      <c r="K38" s="248"/>
      <c r="L38" s="253"/>
      <c r="M38" s="253"/>
      <c r="N38" s="254"/>
    </row>
    <row r="39" spans="1:14" s="4" customFormat="1" ht="26.25" customHeight="1" x14ac:dyDescent="0.4">
      <c r="A39" s="260" t="s">
        <v>65</v>
      </c>
      <c r="B39" s="261">
        <v>1</v>
      </c>
      <c r="C39" s="292">
        <v>2</v>
      </c>
      <c r="D39" s="273">
        <v>33865721</v>
      </c>
      <c r="E39" s="274">
        <f>IF(ISBLANK(D39),"-",$D$48/$D$45*D39)</f>
        <v>36000180.331923008</v>
      </c>
      <c r="F39" s="273">
        <v>36804197</v>
      </c>
      <c r="G39" s="275">
        <f>IF(ISBLANK(F39),"-",$D$48/$F$45*F39)</f>
        <v>36586387.988118105</v>
      </c>
      <c r="I39" s="447">
        <f>ABS((F43/D43*D42)-F42)/D42</f>
        <v>4.3503798812068381E-3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66</v>
      </c>
      <c r="B40" s="261">
        <v>1</v>
      </c>
      <c r="C40" s="292">
        <v>3</v>
      </c>
      <c r="D40" s="273">
        <v>33830952</v>
      </c>
      <c r="E40" s="274">
        <f>IF(ISBLANK(D40),"-",$D$48/$D$45*D40)</f>
        <v>35963219.941504605</v>
      </c>
      <c r="F40" s="273">
        <v>36704664</v>
      </c>
      <c r="G40" s="275">
        <f>IF(ISBLANK(F40),"-",$D$48/$F$45*F40)</f>
        <v>36487444.029209793</v>
      </c>
      <c r="I40" s="447"/>
      <c r="L40" s="253"/>
      <c r="M40" s="253"/>
      <c r="N40" s="341"/>
    </row>
    <row r="41" spans="1:14" ht="27" customHeight="1" thickBot="1" x14ac:dyDescent="0.45">
      <c r="A41" s="260" t="s">
        <v>67</v>
      </c>
      <c r="B41" s="261">
        <v>1</v>
      </c>
      <c r="C41" s="277">
        <v>4</v>
      </c>
      <c r="D41" s="278"/>
      <c r="E41" s="279" t="str">
        <f>IF(ISBLANK(D41),"-",$D$48/$D$45*D41)</f>
        <v>-</v>
      </c>
      <c r="F41" s="278"/>
      <c r="G41" s="280" t="str">
        <f>IF(ISBLANK(F41),"-",$D$48/$F$45*F41)</f>
        <v>-</v>
      </c>
      <c r="I41" s="281"/>
      <c r="L41" s="253"/>
      <c r="M41" s="253"/>
      <c r="N41" s="341"/>
    </row>
    <row r="42" spans="1:14" ht="27" customHeight="1" thickBot="1" x14ac:dyDescent="0.45">
      <c r="A42" s="260" t="s">
        <v>68</v>
      </c>
      <c r="B42" s="261">
        <v>1</v>
      </c>
      <c r="C42" s="282" t="s">
        <v>69</v>
      </c>
      <c r="D42" s="283">
        <f>AVERAGE(D38:D41)</f>
        <v>33916013.333333336</v>
      </c>
      <c r="E42" s="284">
        <f>AVERAGE(E38:E41)</f>
        <v>36053642.446883239</v>
      </c>
      <c r="F42" s="283">
        <f>AVERAGE(F38:F41)</f>
        <v>36120732.333333336</v>
      </c>
      <c r="G42" s="285">
        <f>AVERAGE(G38:G41)</f>
        <v>35906968.098293133</v>
      </c>
      <c r="H42" s="286"/>
    </row>
    <row r="43" spans="1:14" ht="26.25" customHeight="1" x14ac:dyDescent="0.4">
      <c r="A43" s="260" t="s">
        <v>70</v>
      </c>
      <c r="B43" s="261">
        <v>1</v>
      </c>
      <c r="C43" s="287" t="s">
        <v>71</v>
      </c>
      <c r="D43" s="288">
        <v>20.329999999999998</v>
      </c>
      <c r="E43" s="341"/>
      <c r="F43" s="288">
        <v>21.74</v>
      </c>
      <c r="H43" s="286"/>
    </row>
    <row r="44" spans="1:14" ht="26.25" customHeight="1" x14ac:dyDescent="0.4">
      <c r="A44" s="260" t="s">
        <v>72</v>
      </c>
      <c r="B44" s="261">
        <v>1</v>
      </c>
      <c r="C44" s="289" t="s">
        <v>73</v>
      </c>
      <c r="D44" s="290">
        <f>D43*$B$34</f>
        <v>20.329999999999998</v>
      </c>
      <c r="E44" s="359"/>
      <c r="F44" s="290">
        <f>F43*$B$34</f>
        <v>21.74</v>
      </c>
      <c r="H44" s="286"/>
    </row>
    <row r="45" spans="1:14" ht="19.5" customHeight="1" thickBot="1" x14ac:dyDescent="0.35">
      <c r="A45" s="260" t="s">
        <v>74</v>
      </c>
      <c r="B45" s="292">
        <f>(B44/B43)*(B42/B41)*(B40/B39)*(B38/B37)*B36</f>
        <v>166.66666666666669</v>
      </c>
      <c r="C45" s="289" t="s">
        <v>75</v>
      </c>
      <c r="D45" s="293">
        <f>D44*$B$30/100</f>
        <v>19.598119999999998</v>
      </c>
      <c r="E45" s="337"/>
      <c r="F45" s="293">
        <f>F44*$B$30/100</f>
        <v>20.957359999999998</v>
      </c>
      <c r="H45" s="286"/>
    </row>
    <row r="46" spans="1:14" ht="19.5" customHeight="1" thickBot="1" x14ac:dyDescent="0.35">
      <c r="A46" s="433" t="s">
        <v>76</v>
      </c>
      <c r="B46" s="434"/>
      <c r="C46" s="289" t="s">
        <v>77</v>
      </c>
      <c r="D46" s="295">
        <f>D45/$B$45</f>
        <v>0.11758871999999998</v>
      </c>
      <c r="E46" s="296"/>
      <c r="F46" s="297">
        <f>F45/$B$45</f>
        <v>0.12574415999999997</v>
      </c>
      <c r="H46" s="286"/>
    </row>
    <row r="47" spans="1:14" ht="27" customHeight="1" thickBot="1" x14ac:dyDescent="0.45">
      <c r="A47" s="435"/>
      <c r="B47" s="436"/>
      <c r="C47" s="298" t="s">
        <v>78</v>
      </c>
      <c r="D47" s="299">
        <v>0.125</v>
      </c>
      <c r="E47" s="300"/>
      <c r="F47" s="296"/>
      <c r="H47" s="286"/>
    </row>
    <row r="48" spans="1:14" ht="18.75" x14ac:dyDescent="0.3">
      <c r="C48" s="301" t="s">
        <v>79</v>
      </c>
      <c r="D48" s="293">
        <f>D47*$B$45</f>
        <v>20.833333333333336</v>
      </c>
      <c r="F48" s="302"/>
      <c r="H48" s="286"/>
    </row>
    <row r="49" spans="1:12" ht="19.5" customHeight="1" thickBot="1" x14ac:dyDescent="0.35">
      <c r="C49" s="303" t="s">
        <v>80</v>
      </c>
      <c r="D49" s="304">
        <f>D48/B34</f>
        <v>20.833333333333336</v>
      </c>
      <c r="F49" s="302"/>
      <c r="H49" s="286"/>
    </row>
    <row r="50" spans="1:12" ht="18.75" x14ac:dyDescent="0.3">
      <c r="C50" s="258" t="s">
        <v>81</v>
      </c>
      <c r="D50" s="305">
        <f>AVERAGE(E38:E41,G38:G41)</f>
        <v>35980305.272588186</v>
      </c>
      <c r="F50" s="306"/>
      <c r="H50" s="286"/>
    </row>
    <row r="51" spans="1:12" ht="18.75" x14ac:dyDescent="0.3">
      <c r="C51" s="260" t="s">
        <v>82</v>
      </c>
      <c r="D51" s="307">
        <f>STDEV(E38:E41,G38:G41)/D50</f>
        <v>1.945472427681345E-2</v>
      </c>
      <c r="F51" s="306"/>
      <c r="H51" s="286"/>
    </row>
    <row r="52" spans="1:12" ht="19.5" customHeight="1" thickBot="1" x14ac:dyDescent="0.35">
      <c r="C52" s="308" t="s">
        <v>19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83</v>
      </c>
    </row>
    <row r="55" spans="1:12" ht="18.75" x14ac:dyDescent="0.3">
      <c r="A55" s="341" t="s">
        <v>84</v>
      </c>
      <c r="B55" s="313" t="str">
        <f>B21</f>
        <v>Each film coate tablet contains: Amoxicillin Trihydrate USP Eq. to Amoxicillin 500mg
Diluted Potassium Clavulanate BP Eq. to Clavulanic acid 125mg</v>
      </c>
    </row>
    <row r="56" spans="1:12" ht="26.25" customHeight="1" x14ac:dyDescent="0.4">
      <c r="A56" s="313" t="s">
        <v>85</v>
      </c>
      <c r="B56" s="314">
        <v>125</v>
      </c>
      <c r="C56" s="341" t="str">
        <f>B20</f>
        <v>Amoxicillin &amp; Clavulanic Acid</v>
      </c>
      <c r="H56" s="359"/>
    </row>
    <row r="57" spans="1:12" ht="18.75" x14ac:dyDescent="0.3">
      <c r="A57" s="313" t="s">
        <v>86</v>
      </c>
      <c r="B57" s="403">
        <f>Uniformity!C46</f>
        <v>1092.7750000000001</v>
      </c>
      <c r="H57" s="359"/>
    </row>
    <row r="58" spans="1:12" ht="19.5" customHeight="1" thickBot="1" x14ac:dyDescent="0.35">
      <c r="H58" s="359"/>
    </row>
    <row r="59" spans="1:12" s="4" customFormat="1" ht="27" customHeight="1" thickBot="1" x14ac:dyDescent="0.45">
      <c r="A59" s="258" t="s">
        <v>87</v>
      </c>
      <c r="B59" s="259">
        <v>100</v>
      </c>
      <c r="C59" s="341"/>
      <c r="D59" s="316" t="s">
        <v>88</v>
      </c>
      <c r="E59" s="317" t="s">
        <v>60</v>
      </c>
      <c r="F59" s="317" t="s">
        <v>61</v>
      </c>
      <c r="G59" s="317" t="s">
        <v>89</v>
      </c>
      <c r="H59" s="262" t="s">
        <v>90</v>
      </c>
      <c r="L59" s="248"/>
    </row>
    <row r="60" spans="1:12" s="4" customFormat="1" ht="26.25" customHeight="1" x14ac:dyDescent="0.4">
      <c r="A60" s="260" t="s">
        <v>91</v>
      </c>
      <c r="B60" s="261">
        <v>1</v>
      </c>
      <c r="C60" s="450" t="s">
        <v>92</v>
      </c>
      <c r="D60" s="453">
        <v>103.89</v>
      </c>
      <c r="E60" s="318">
        <v>1</v>
      </c>
      <c r="F60" s="319">
        <v>35927308</v>
      </c>
      <c r="G60" s="404">
        <f>IF(ISBLANK(F60),"-",(F60/$D$50*$D$47*$B$68)*($B$57/$D$60))</f>
        <v>131.28854973712635</v>
      </c>
      <c r="H60" s="320">
        <f t="shared" ref="H60:H71" si="0">IF(ISBLANK(F60),"-",G60/$B$56)</f>
        <v>1.0503083978970107</v>
      </c>
      <c r="L60" s="248"/>
    </row>
    <row r="61" spans="1:12" s="4" customFormat="1" ht="26.25" customHeight="1" x14ac:dyDescent="0.4">
      <c r="A61" s="260" t="s">
        <v>93</v>
      </c>
      <c r="B61" s="261">
        <v>1</v>
      </c>
      <c r="C61" s="451"/>
      <c r="D61" s="454"/>
      <c r="E61" s="321">
        <v>2</v>
      </c>
      <c r="F61" s="273">
        <v>35790420</v>
      </c>
      <c r="G61" s="405">
        <f>IF(ISBLANK(F61),"-",(F61/$D$50*$D$47*$B$68)*($B$57/$D$60))</f>
        <v>130.78832225010129</v>
      </c>
      <c r="H61" s="322">
        <f t="shared" si="0"/>
        <v>1.0463065780008103</v>
      </c>
      <c r="L61" s="248"/>
    </row>
    <row r="62" spans="1:12" s="4" customFormat="1" ht="26.25" customHeight="1" x14ac:dyDescent="0.4">
      <c r="A62" s="260" t="s">
        <v>94</v>
      </c>
      <c r="B62" s="261">
        <v>1</v>
      </c>
      <c r="C62" s="451"/>
      <c r="D62" s="454"/>
      <c r="E62" s="321">
        <v>3</v>
      </c>
      <c r="F62" s="323">
        <v>35824502</v>
      </c>
      <c r="G62" s="405">
        <f>IF(ISBLANK(F62),"-",(F62/$D$50*$D$47*$B$68)*($B$57/$D$60))</f>
        <v>130.91286752224192</v>
      </c>
      <c r="H62" s="322">
        <f t="shared" si="0"/>
        <v>1.0473029401779355</v>
      </c>
      <c r="L62" s="248"/>
    </row>
    <row r="63" spans="1:12" ht="27" customHeight="1" thickBot="1" x14ac:dyDescent="0.45">
      <c r="A63" s="260" t="s">
        <v>95</v>
      </c>
      <c r="B63" s="261">
        <v>1</v>
      </c>
      <c r="C63" s="461"/>
      <c r="D63" s="455"/>
      <c r="E63" s="324">
        <v>4</v>
      </c>
      <c r="F63" s="325"/>
      <c r="G63" s="405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96</v>
      </c>
      <c r="B64" s="261">
        <v>1</v>
      </c>
      <c r="C64" s="450" t="s">
        <v>97</v>
      </c>
      <c r="D64" s="453">
        <v>100.45</v>
      </c>
      <c r="E64" s="318">
        <v>1</v>
      </c>
      <c r="F64" s="319">
        <v>34383544</v>
      </c>
      <c r="G64" s="406">
        <f>IF(ISBLANK(F64),"-",(F64/$D$50*$D$47*$B$68)*($B$57/$D$64))</f>
        <v>129.95009984546391</v>
      </c>
      <c r="H64" s="326">
        <f t="shared" si="0"/>
        <v>1.0396007987637113</v>
      </c>
    </row>
    <row r="65" spans="1:8" ht="26.25" customHeight="1" x14ac:dyDescent="0.4">
      <c r="A65" s="260" t="s">
        <v>98</v>
      </c>
      <c r="B65" s="261">
        <v>1</v>
      </c>
      <c r="C65" s="451"/>
      <c r="D65" s="454"/>
      <c r="E65" s="321">
        <v>2</v>
      </c>
      <c r="F65" s="273">
        <v>34269426</v>
      </c>
      <c r="G65" s="407">
        <f>IF(ISBLANK(F65),"-",(F65/$D$50*$D$47*$B$68)*($B$57/$D$64))</f>
        <v>129.51879917750009</v>
      </c>
      <c r="H65" s="327">
        <f t="shared" si="0"/>
        <v>1.0361503934200007</v>
      </c>
    </row>
    <row r="66" spans="1:8" ht="26.25" customHeight="1" x14ac:dyDescent="0.4">
      <c r="A66" s="260" t="s">
        <v>99</v>
      </c>
      <c r="B66" s="261">
        <v>1</v>
      </c>
      <c r="C66" s="451"/>
      <c r="D66" s="454"/>
      <c r="E66" s="321">
        <v>3</v>
      </c>
      <c r="F66" s="273">
        <v>34394546</v>
      </c>
      <c r="G66" s="407">
        <f>IF(ISBLANK(F66),"-",(F66/$D$50*$D$47*$B$68)*($B$57/$D$64))</f>
        <v>129.99168110301258</v>
      </c>
      <c r="H66" s="327">
        <f t="shared" si="0"/>
        <v>1.0399334488241005</v>
      </c>
    </row>
    <row r="67" spans="1:8" ht="27" customHeight="1" thickBot="1" x14ac:dyDescent="0.45">
      <c r="A67" s="260" t="s">
        <v>100</v>
      </c>
      <c r="B67" s="261">
        <v>1</v>
      </c>
      <c r="C67" s="461"/>
      <c r="D67" s="455"/>
      <c r="E67" s="324">
        <v>4</v>
      </c>
      <c r="F67" s="325"/>
      <c r="G67" s="408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101</v>
      </c>
      <c r="B68" s="329">
        <f>(B67/B66)*(B65/B64)*(B63/B62)*(B61/B60)*B59</f>
        <v>100</v>
      </c>
      <c r="C68" s="450" t="s">
        <v>102</v>
      </c>
      <c r="D68" s="453">
        <v>99.69</v>
      </c>
      <c r="E68" s="318">
        <v>1</v>
      </c>
      <c r="F68" s="319">
        <v>34229341</v>
      </c>
      <c r="G68" s="406">
        <f>IF(ISBLANK(F68),"-",(F68/$D$50*$D$47*$B$68)*($B$57/$D$68))</f>
        <v>130.35354969787423</v>
      </c>
      <c r="H68" s="322">
        <f t="shared" si="0"/>
        <v>1.0428283975829937</v>
      </c>
    </row>
    <row r="69" spans="1:8" ht="27" customHeight="1" thickBot="1" x14ac:dyDescent="0.45">
      <c r="A69" s="308" t="s">
        <v>103</v>
      </c>
      <c r="B69" s="330">
        <f>(D47*B68)/B56*B57</f>
        <v>109.27750000000002</v>
      </c>
      <c r="C69" s="451"/>
      <c r="D69" s="454"/>
      <c r="E69" s="321">
        <v>2</v>
      </c>
      <c r="F69" s="273">
        <v>34357465</v>
      </c>
      <c r="G69" s="407">
        <f>IF(ISBLANK(F69),"-",(F69/$D$50*$D$47*$B$68)*($B$57/$D$68))</f>
        <v>130.84147665508587</v>
      </c>
      <c r="H69" s="322">
        <f t="shared" si="0"/>
        <v>1.0467318132406869</v>
      </c>
    </row>
    <row r="70" spans="1:8" ht="26.25" customHeight="1" x14ac:dyDescent="0.4">
      <c r="A70" s="456" t="s">
        <v>76</v>
      </c>
      <c r="B70" s="457"/>
      <c r="C70" s="451"/>
      <c r="D70" s="454"/>
      <c r="E70" s="321">
        <v>3</v>
      </c>
      <c r="F70" s="273">
        <v>34249452</v>
      </c>
      <c r="G70" s="407">
        <f>IF(ISBLANK(F70),"-",(F70/$D$50*$D$47*$B$68)*($B$57/$D$68))</f>
        <v>130.43013721493961</v>
      </c>
      <c r="H70" s="322">
        <f t="shared" si="0"/>
        <v>1.0434410977195168</v>
      </c>
    </row>
    <row r="71" spans="1:8" ht="27" customHeight="1" thickBot="1" x14ac:dyDescent="0.45">
      <c r="A71" s="458"/>
      <c r="B71" s="459"/>
      <c r="C71" s="452"/>
      <c r="D71" s="455"/>
      <c r="E71" s="324">
        <v>4</v>
      </c>
      <c r="F71" s="325"/>
      <c r="G71" s="408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59"/>
      <c r="B72" s="359"/>
      <c r="C72" s="359"/>
      <c r="D72" s="359"/>
      <c r="E72" s="359"/>
      <c r="F72" s="334" t="s">
        <v>69</v>
      </c>
      <c r="G72" s="413">
        <f>AVERAGE(G60:G71)</f>
        <v>130.45283146703841</v>
      </c>
      <c r="H72" s="335">
        <f>AVERAGE(H60:H71)</f>
        <v>1.0436226517363076</v>
      </c>
    </row>
    <row r="73" spans="1:8" ht="26.25" customHeight="1" x14ac:dyDescent="0.4">
      <c r="C73" s="359"/>
      <c r="D73" s="359"/>
      <c r="E73" s="359"/>
      <c r="F73" s="336" t="s">
        <v>82</v>
      </c>
      <c r="G73" s="409">
        <f>STDEV(G60:G71)/G72</f>
        <v>4.3038847361399598E-3</v>
      </c>
      <c r="H73" s="409">
        <f>STDEV(H60:H71)/H72</f>
        <v>4.3038847361399546E-3</v>
      </c>
    </row>
    <row r="74" spans="1:8" ht="27" customHeight="1" thickBot="1" x14ac:dyDescent="0.45">
      <c r="A74" s="359"/>
      <c r="B74" s="359"/>
      <c r="C74" s="359"/>
      <c r="D74" s="359"/>
      <c r="E74" s="337"/>
      <c r="F74" s="338" t="s">
        <v>19</v>
      </c>
      <c r="G74" s="339">
        <f>COUNT(G60:G71)</f>
        <v>9</v>
      </c>
      <c r="H74" s="339">
        <f>COUNT(H60:H71)</f>
        <v>9</v>
      </c>
    </row>
    <row r="76" spans="1:8" ht="26.25" customHeight="1" x14ac:dyDescent="0.4">
      <c r="A76" s="396" t="s">
        <v>104</v>
      </c>
      <c r="B76" s="351" t="s">
        <v>105</v>
      </c>
      <c r="C76" s="437" t="str">
        <f>B20</f>
        <v>Amoxicillin &amp; Clavulanic Acid</v>
      </c>
      <c r="D76" s="437"/>
      <c r="E76" s="341" t="s">
        <v>106</v>
      </c>
      <c r="F76" s="341"/>
      <c r="G76" s="342">
        <f>H72</f>
        <v>1.0436226517363076</v>
      </c>
      <c r="H76" s="419"/>
    </row>
    <row r="77" spans="1:8" ht="18.75" x14ac:dyDescent="0.3">
      <c r="A77" s="243" t="s">
        <v>107</v>
      </c>
      <c r="B77" s="243" t="s">
        <v>108</v>
      </c>
    </row>
    <row r="78" spans="1:8" ht="30.75" x14ac:dyDescent="0.45">
      <c r="A78" s="243"/>
      <c r="B78" s="243"/>
      <c r="D78" s="470" t="s">
        <v>125</v>
      </c>
    </row>
    <row r="79" spans="1:8" ht="26.25" customHeight="1" x14ac:dyDescent="0.4">
      <c r="A79" s="396" t="s">
        <v>3</v>
      </c>
      <c r="B79" s="460" t="str">
        <f>B26</f>
        <v>Clavulanic acid</v>
      </c>
      <c r="C79" s="460"/>
    </row>
    <row r="80" spans="1:8" ht="26.25" customHeight="1" x14ac:dyDescent="0.4">
      <c r="A80" s="351" t="s">
        <v>46</v>
      </c>
      <c r="B80" s="460">
        <f>B27</f>
        <v>0</v>
      </c>
      <c r="C80" s="460"/>
    </row>
    <row r="81" spans="1:12" ht="27" customHeight="1" thickBot="1" x14ac:dyDescent="0.45">
      <c r="A81" s="351" t="s">
        <v>5</v>
      </c>
      <c r="B81" s="344">
        <f>B28</f>
        <v>96.4</v>
      </c>
    </row>
    <row r="82" spans="1:12" s="4" customFormat="1" ht="27" customHeight="1" thickBot="1" x14ac:dyDescent="0.45">
      <c r="A82" s="351" t="s">
        <v>47</v>
      </c>
      <c r="B82" s="247">
        <v>0</v>
      </c>
      <c r="C82" s="439" t="s">
        <v>48</v>
      </c>
      <c r="D82" s="440"/>
      <c r="E82" s="440"/>
      <c r="F82" s="440"/>
      <c r="G82" s="441"/>
      <c r="I82" s="248"/>
      <c r="J82" s="248"/>
      <c r="K82" s="248"/>
      <c r="L82" s="248"/>
    </row>
    <row r="83" spans="1:12" s="4" customFormat="1" ht="19.5" customHeight="1" thickBot="1" x14ac:dyDescent="0.35">
      <c r="A83" s="351" t="s">
        <v>49</v>
      </c>
      <c r="B83" s="419">
        <f>B81-B82</f>
        <v>96.4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4" customFormat="1" ht="27" customHeight="1" thickBot="1" x14ac:dyDescent="0.45">
      <c r="A84" s="351" t="s">
        <v>50</v>
      </c>
      <c r="B84" s="252">
        <v>1</v>
      </c>
      <c r="C84" s="442" t="s">
        <v>109</v>
      </c>
      <c r="D84" s="443"/>
      <c r="E84" s="443"/>
      <c r="F84" s="443"/>
      <c r="G84" s="443"/>
      <c r="H84" s="444"/>
      <c r="I84" s="248"/>
      <c r="J84" s="248"/>
      <c r="K84" s="248"/>
      <c r="L84" s="248"/>
    </row>
    <row r="85" spans="1:12" s="4" customFormat="1" ht="27" customHeight="1" thickBot="1" x14ac:dyDescent="0.45">
      <c r="A85" s="351" t="s">
        <v>52</v>
      </c>
      <c r="B85" s="252">
        <v>1</v>
      </c>
      <c r="C85" s="442" t="s">
        <v>110</v>
      </c>
      <c r="D85" s="443"/>
      <c r="E85" s="443"/>
      <c r="F85" s="443"/>
      <c r="G85" s="443"/>
      <c r="H85" s="444"/>
      <c r="I85" s="248"/>
      <c r="J85" s="248"/>
      <c r="K85" s="248"/>
      <c r="L85" s="248"/>
    </row>
    <row r="86" spans="1:12" s="4" customFormat="1" ht="18.75" x14ac:dyDescent="0.3">
      <c r="A86" s="351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4" customFormat="1" ht="18.75" x14ac:dyDescent="0.3">
      <c r="A87" s="351" t="s">
        <v>54</v>
      </c>
      <c r="B87" s="257">
        <f>B84/B85</f>
        <v>1</v>
      </c>
      <c r="C87" s="341" t="s">
        <v>55</v>
      </c>
      <c r="D87" s="341"/>
      <c r="E87" s="341"/>
      <c r="F87" s="341"/>
      <c r="G87" s="341"/>
      <c r="I87" s="248"/>
      <c r="J87" s="248"/>
      <c r="K87" s="248"/>
      <c r="L87" s="248"/>
    </row>
    <row r="88" spans="1:12" ht="19.5" customHeight="1" thickBot="1" x14ac:dyDescent="0.35">
      <c r="A88" s="243"/>
      <c r="B88" s="243"/>
    </row>
    <row r="89" spans="1:12" ht="27" customHeight="1" thickBot="1" x14ac:dyDescent="0.45">
      <c r="A89" s="258" t="s">
        <v>56</v>
      </c>
      <c r="B89" s="259">
        <v>20</v>
      </c>
      <c r="D89" s="417" t="s">
        <v>57</v>
      </c>
      <c r="E89" s="418"/>
      <c r="F89" s="445" t="s">
        <v>58</v>
      </c>
      <c r="G89" s="446"/>
    </row>
    <row r="90" spans="1:12" ht="27" customHeight="1" thickBot="1" x14ac:dyDescent="0.45">
      <c r="A90" s="260" t="s">
        <v>59</v>
      </c>
      <c r="B90" s="261">
        <v>3</v>
      </c>
      <c r="C90" s="420" t="s">
        <v>60</v>
      </c>
      <c r="D90" s="263" t="s">
        <v>61</v>
      </c>
      <c r="E90" s="264" t="s">
        <v>62</v>
      </c>
      <c r="F90" s="263" t="s">
        <v>61</v>
      </c>
      <c r="G90" s="348" t="s">
        <v>62</v>
      </c>
      <c r="I90" s="266" t="s">
        <v>63</v>
      </c>
    </row>
    <row r="91" spans="1:12" ht="26.25" customHeight="1" x14ac:dyDescent="0.4">
      <c r="A91" s="260" t="s">
        <v>64</v>
      </c>
      <c r="B91" s="261">
        <v>25</v>
      </c>
      <c r="C91" s="349">
        <v>1</v>
      </c>
      <c r="D91" s="268">
        <v>39066845</v>
      </c>
      <c r="E91" s="269">
        <f>IF(ISBLANK(D91),"-",$D$101/$D$98*D91)</f>
        <v>43571602.09438248</v>
      </c>
      <c r="F91" s="268">
        <v>42399859</v>
      </c>
      <c r="G91" s="270">
        <f>IF(ISBLANK(F91),"-",$D$101/$F$98*F91)</f>
        <v>44440459.673184104</v>
      </c>
      <c r="I91" s="271"/>
    </row>
    <row r="92" spans="1:12" ht="26.25" customHeight="1" x14ac:dyDescent="0.4">
      <c r="A92" s="260" t="s">
        <v>65</v>
      </c>
      <c r="B92" s="261">
        <v>1</v>
      </c>
      <c r="C92" s="359">
        <v>2</v>
      </c>
      <c r="D92" s="273">
        <v>38928447</v>
      </c>
      <c r="E92" s="274">
        <f>IF(ISBLANK(D92),"-",$D$101/$D$98*D92)</f>
        <v>43417245.565549441</v>
      </c>
      <c r="F92" s="273">
        <v>42378134</v>
      </c>
      <c r="G92" s="275">
        <f>IF(ISBLANK(F92),"-",$D$101/$F$98*F92)</f>
        <v>44417689.102498956</v>
      </c>
      <c r="I92" s="447">
        <f>ABS((F96/D96*D95)-F95)/D95</f>
        <v>2.5402543494405943E-2</v>
      </c>
    </row>
    <row r="93" spans="1:12" ht="26.25" customHeight="1" x14ac:dyDescent="0.4">
      <c r="A93" s="260" t="s">
        <v>66</v>
      </c>
      <c r="B93" s="261">
        <v>1</v>
      </c>
      <c r="C93" s="359">
        <v>3</v>
      </c>
      <c r="D93" s="273">
        <v>39088131</v>
      </c>
      <c r="E93" s="274">
        <f>IF(ISBLANK(D93),"-",$D$101/$D$98*D93)</f>
        <v>43595342.560810752</v>
      </c>
      <c r="F93" s="273">
        <v>42387725</v>
      </c>
      <c r="G93" s="275">
        <f>IF(ISBLANK(F93),"-",$D$101/$F$98*F93)</f>
        <v>44427741.693681523</v>
      </c>
      <c r="I93" s="447"/>
    </row>
    <row r="94" spans="1:12" ht="27" customHeight="1" thickBot="1" x14ac:dyDescent="0.45">
      <c r="A94" s="260" t="s">
        <v>67</v>
      </c>
      <c r="B94" s="261">
        <v>1</v>
      </c>
      <c r="C94" s="350">
        <v>4</v>
      </c>
      <c r="D94" s="278">
        <v>38677839</v>
      </c>
      <c r="E94" s="279">
        <f>IF(ISBLANK(D94),"-",$D$101/$D$98*D94)</f>
        <v>43137740.21881184</v>
      </c>
      <c r="F94" s="422">
        <v>42536045</v>
      </c>
      <c r="G94" s="280">
        <f>IF(ISBLANK(F94),"-",$D$101/$F$98*F94)</f>
        <v>44583199.969585851</v>
      </c>
      <c r="I94" s="281"/>
    </row>
    <row r="95" spans="1:12" ht="27" customHeight="1" thickBot="1" x14ac:dyDescent="0.45">
      <c r="A95" s="260" t="s">
        <v>68</v>
      </c>
      <c r="B95" s="261">
        <v>1</v>
      </c>
      <c r="C95" s="351" t="s">
        <v>69</v>
      </c>
      <c r="D95" s="352">
        <f>AVERAGE(D91:D94)</f>
        <v>38940315.5</v>
      </c>
      <c r="E95" s="284">
        <f>AVERAGE(E91:E94)</f>
        <v>43430482.609888628</v>
      </c>
      <c r="F95" s="353">
        <f>AVERAGE(F91:F94)</f>
        <v>42425440.75</v>
      </c>
      <c r="G95" s="354">
        <f>AVERAGE(G91:G94)</f>
        <v>44467272.609737605</v>
      </c>
    </row>
    <row r="96" spans="1:12" ht="26.25" customHeight="1" x14ac:dyDescent="0.4">
      <c r="A96" s="260" t="s">
        <v>70</v>
      </c>
      <c r="B96" s="344">
        <v>1</v>
      </c>
      <c r="C96" s="355" t="s">
        <v>111</v>
      </c>
      <c r="D96" s="356">
        <v>21.53</v>
      </c>
      <c r="E96" s="341"/>
      <c r="F96" s="288">
        <v>22.91</v>
      </c>
    </row>
    <row r="97" spans="1:10" ht="26.25" customHeight="1" x14ac:dyDescent="0.4">
      <c r="A97" s="260" t="s">
        <v>72</v>
      </c>
      <c r="B97" s="344">
        <v>1</v>
      </c>
      <c r="C97" s="357" t="s">
        <v>112</v>
      </c>
      <c r="D97" s="358">
        <f>D96*$B$87</f>
        <v>21.53</v>
      </c>
      <c r="E97" s="359"/>
      <c r="F97" s="290">
        <f>F96*$B$87</f>
        <v>22.91</v>
      </c>
    </row>
    <row r="98" spans="1:10" ht="19.5" customHeight="1" thickBot="1" x14ac:dyDescent="0.35">
      <c r="A98" s="260" t="s">
        <v>74</v>
      </c>
      <c r="B98" s="359">
        <f>(B97/B96)*(B95/B94)*(B93/B92)*(B91/B90)*B89</f>
        <v>166.66666666666669</v>
      </c>
      <c r="C98" s="357" t="s">
        <v>113</v>
      </c>
      <c r="D98" s="360">
        <f>D97*$B$83/100</f>
        <v>20.754920000000002</v>
      </c>
      <c r="E98" s="337"/>
      <c r="F98" s="293">
        <f>F97*$B$83/100</f>
        <v>22.085240000000002</v>
      </c>
    </row>
    <row r="99" spans="1:10" ht="19.5" customHeight="1" thickBot="1" x14ac:dyDescent="0.35">
      <c r="A99" s="433" t="s">
        <v>76</v>
      </c>
      <c r="B99" s="448"/>
      <c r="C99" s="357" t="s">
        <v>114</v>
      </c>
      <c r="D99" s="361">
        <f>D98/$B$98</f>
        <v>0.12452952</v>
      </c>
      <c r="E99" s="337"/>
      <c r="F99" s="297">
        <f>F98/$B$98</f>
        <v>0.13251144000000001</v>
      </c>
      <c r="H99" s="286"/>
    </row>
    <row r="100" spans="1:10" ht="19.5" customHeight="1" thickBot="1" x14ac:dyDescent="0.35">
      <c r="A100" s="435"/>
      <c r="B100" s="449"/>
      <c r="C100" s="357" t="s">
        <v>78</v>
      </c>
      <c r="D100" s="363">
        <f>$B$56/$B$116</f>
        <v>0.1388888888888889</v>
      </c>
      <c r="F100" s="302"/>
      <c r="G100" s="370"/>
      <c r="H100" s="286"/>
    </row>
    <row r="101" spans="1:10" ht="18.75" x14ac:dyDescent="0.3">
      <c r="C101" s="357" t="s">
        <v>79</v>
      </c>
      <c r="D101" s="358">
        <f>D100*$B$98</f>
        <v>23.148148148148152</v>
      </c>
      <c r="F101" s="302"/>
      <c r="H101" s="286"/>
    </row>
    <row r="102" spans="1:10" ht="19.5" customHeight="1" thickBot="1" x14ac:dyDescent="0.35">
      <c r="C102" s="365" t="s">
        <v>80</v>
      </c>
      <c r="D102" s="366">
        <f>D101/B34</f>
        <v>23.148148148148152</v>
      </c>
      <c r="F102" s="306"/>
      <c r="H102" s="286"/>
      <c r="J102" s="367"/>
    </row>
    <row r="103" spans="1:10" ht="18.75" x14ac:dyDescent="0.3">
      <c r="C103" s="368" t="s">
        <v>115</v>
      </c>
      <c r="D103" s="369">
        <f>AVERAGE(E91:E94,G91:G94)</f>
        <v>43948877.609813116</v>
      </c>
      <c r="F103" s="306"/>
      <c r="G103" s="370"/>
      <c r="H103" s="286"/>
      <c r="J103" s="371"/>
    </row>
    <row r="104" spans="1:10" ht="18.75" x14ac:dyDescent="0.3">
      <c r="C104" s="336" t="s">
        <v>82</v>
      </c>
      <c r="D104" s="372">
        <f>STDEV(E91:E94,G91:G94)/D103</f>
        <v>1.3045560465079991E-2</v>
      </c>
      <c r="F104" s="306"/>
      <c r="H104" s="286"/>
      <c r="J104" s="371"/>
    </row>
    <row r="105" spans="1:10" ht="19.5" customHeight="1" thickBot="1" x14ac:dyDescent="0.35">
      <c r="C105" s="338" t="s">
        <v>19</v>
      </c>
      <c r="D105" s="373">
        <f>COUNT(E91:E94,G91:G94)</f>
        <v>8</v>
      </c>
      <c r="F105" s="306"/>
      <c r="H105" s="286"/>
      <c r="J105" s="371"/>
    </row>
    <row r="106" spans="1:10" ht="19.5" customHeight="1" thickBot="1" x14ac:dyDescent="0.35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116</v>
      </c>
      <c r="B107" s="259">
        <v>900</v>
      </c>
      <c r="C107" s="417" t="s">
        <v>117</v>
      </c>
      <c r="D107" s="375" t="s">
        <v>61</v>
      </c>
      <c r="E107" s="376" t="s">
        <v>118</v>
      </c>
      <c r="F107" s="377" t="s">
        <v>119</v>
      </c>
    </row>
    <row r="108" spans="1:10" ht="26.25" customHeight="1" x14ac:dyDescent="0.4">
      <c r="A108" s="260" t="s">
        <v>120</v>
      </c>
      <c r="B108" s="261">
        <v>1</v>
      </c>
      <c r="C108" s="378">
        <v>1</v>
      </c>
      <c r="D108" s="379">
        <v>33055319</v>
      </c>
      <c r="E108" s="410">
        <f t="shared" ref="E108:E113" si="1">IF(ISBLANK(D108),"-",D108/$D$103*$D$100*$B$116)</f>
        <v>94.01639131001167</v>
      </c>
      <c r="F108" s="380">
        <f t="shared" ref="F108:F113" si="2">IF(ISBLANK(D108), "-", E108/$B$56)</f>
        <v>0.75213113048009339</v>
      </c>
    </row>
    <row r="109" spans="1:10" ht="26.25" customHeight="1" x14ac:dyDescent="0.4">
      <c r="A109" s="260" t="s">
        <v>93</v>
      </c>
      <c r="B109" s="261">
        <v>1</v>
      </c>
      <c r="C109" s="378">
        <v>2</v>
      </c>
      <c r="D109" s="379">
        <v>44081504</v>
      </c>
      <c r="E109" s="411">
        <f t="shared" si="1"/>
        <v>125.37721779656231</v>
      </c>
      <c r="F109" s="381">
        <f t="shared" si="2"/>
        <v>1.0030177423724984</v>
      </c>
    </row>
    <row r="110" spans="1:10" ht="26.25" customHeight="1" x14ac:dyDescent="0.4">
      <c r="A110" s="260" t="s">
        <v>94</v>
      </c>
      <c r="B110" s="261">
        <v>1</v>
      </c>
      <c r="C110" s="378">
        <v>3</v>
      </c>
      <c r="D110" s="379">
        <v>44852354</v>
      </c>
      <c r="E110" s="411">
        <f t="shared" si="1"/>
        <v>127.56967993075992</v>
      </c>
      <c r="F110" s="381">
        <f t="shared" si="2"/>
        <v>1.0205574394460792</v>
      </c>
    </row>
    <row r="111" spans="1:10" ht="26.25" customHeight="1" x14ac:dyDescent="0.4">
      <c r="A111" s="260" t="s">
        <v>95</v>
      </c>
      <c r="B111" s="261">
        <v>1</v>
      </c>
      <c r="C111" s="378">
        <v>4</v>
      </c>
      <c r="D111" s="379">
        <v>45254598</v>
      </c>
      <c r="E111" s="411">
        <f t="shared" si="1"/>
        <v>128.71374782815656</v>
      </c>
      <c r="F111" s="381">
        <f t="shared" si="2"/>
        <v>1.0297099826252525</v>
      </c>
    </row>
    <row r="112" spans="1:10" ht="26.25" customHeight="1" x14ac:dyDescent="0.4">
      <c r="A112" s="260" t="s">
        <v>96</v>
      </c>
      <c r="B112" s="261">
        <v>1</v>
      </c>
      <c r="C112" s="378">
        <v>5</v>
      </c>
      <c r="D112" s="379">
        <v>44505272</v>
      </c>
      <c r="E112" s="411">
        <f t="shared" si="1"/>
        <v>126.58250454973694</v>
      </c>
      <c r="F112" s="381">
        <f t="shared" si="2"/>
        <v>1.0126600363978955</v>
      </c>
    </row>
    <row r="113" spans="1:10" ht="26.25" customHeight="1" x14ac:dyDescent="0.4">
      <c r="A113" s="260" t="s">
        <v>98</v>
      </c>
      <c r="B113" s="261">
        <v>1</v>
      </c>
      <c r="C113" s="382">
        <v>6</v>
      </c>
      <c r="D113" s="383">
        <v>33469692</v>
      </c>
      <c r="E113" s="412">
        <f t="shared" si="1"/>
        <v>95.19495667543147</v>
      </c>
      <c r="F113" s="384">
        <f t="shared" si="2"/>
        <v>0.76155965340345178</v>
      </c>
    </row>
    <row r="114" spans="1:10" ht="26.25" customHeight="1" x14ac:dyDescent="0.4">
      <c r="A114" s="260" t="s">
        <v>99</v>
      </c>
      <c r="B114" s="261">
        <v>1</v>
      </c>
      <c r="C114" s="378"/>
      <c r="D114" s="359"/>
      <c r="E114" s="341"/>
      <c r="F114" s="385"/>
    </row>
    <row r="115" spans="1:10" ht="26.25" customHeight="1" x14ac:dyDescent="0.4">
      <c r="A115" s="260" t="s">
        <v>100</v>
      </c>
      <c r="B115" s="261">
        <v>1</v>
      </c>
      <c r="C115" s="378"/>
      <c r="D115" s="386" t="s">
        <v>69</v>
      </c>
      <c r="E115" s="414">
        <f>AVERAGE(E108:E113)</f>
        <v>116.24241634844316</v>
      </c>
      <c r="F115" s="387">
        <f>AVERAGE(F108:F113)</f>
        <v>0.92993933078754509</v>
      </c>
    </row>
    <row r="116" spans="1:10" ht="27" customHeight="1" thickBot="1" x14ac:dyDescent="0.45">
      <c r="A116" s="260" t="s">
        <v>101</v>
      </c>
      <c r="B116" s="292">
        <f>(B115/B114)*(B113/B112)*(B111/B110)*(B109/B108)*B107</f>
        <v>900</v>
      </c>
      <c r="C116" s="388"/>
      <c r="D116" s="351" t="s">
        <v>82</v>
      </c>
      <c r="E116" s="389">
        <f>STDEV(E108:E113)/E115</f>
        <v>0.14452528987630761</v>
      </c>
      <c r="F116" s="389">
        <f>STDEV(F108:F113)/F115</f>
        <v>0.14452528987630905</v>
      </c>
      <c r="I116" s="341"/>
    </row>
    <row r="117" spans="1:10" ht="27" customHeight="1" thickBot="1" x14ac:dyDescent="0.45">
      <c r="A117" s="433" t="s">
        <v>76</v>
      </c>
      <c r="B117" s="434"/>
      <c r="C117" s="390"/>
      <c r="D117" s="391" t="s">
        <v>19</v>
      </c>
      <c r="E117" s="392">
        <f>COUNT(E108:E113)</f>
        <v>6</v>
      </c>
      <c r="F117" s="392">
        <f>COUNT(F108:F113)</f>
        <v>6</v>
      </c>
      <c r="I117" s="341"/>
      <c r="J117" s="371"/>
    </row>
    <row r="118" spans="1:10" ht="19.5" customHeight="1" thickBot="1" x14ac:dyDescent="0.35">
      <c r="A118" s="435"/>
      <c r="B118" s="436"/>
      <c r="C118" s="341"/>
      <c r="D118" s="341"/>
      <c r="E118" s="341"/>
      <c r="F118" s="359"/>
      <c r="G118" s="341"/>
      <c r="H118" s="341"/>
      <c r="I118" s="341"/>
    </row>
    <row r="119" spans="1:10" ht="18.75" x14ac:dyDescent="0.3">
      <c r="A119" s="401"/>
      <c r="B119" s="256"/>
      <c r="C119" s="341"/>
      <c r="D119" s="341"/>
      <c r="E119" s="341"/>
      <c r="F119" s="359"/>
      <c r="G119" s="341"/>
      <c r="H119" s="341"/>
      <c r="I119" s="341"/>
    </row>
    <row r="120" spans="1:10" ht="26.25" customHeight="1" x14ac:dyDescent="0.4">
      <c r="A120" s="396" t="s">
        <v>104</v>
      </c>
      <c r="B120" s="351" t="s">
        <v>121</v>
      </c>
      <c r="C120" s="437" t="str">
        <f>B20</f>
        <v>Amoxicillin &amp; Clavulanic Acid</v>
      </c>
      <c r="D120" s="437"/>
      <c r="E120" s="341" t="s">
        <v>122</v>
      </c>
      <c r="F120" s="341"/>
      <c r="G120" s="342">
        <f>F115</f>
        <v>0.92993933078754509</v>
      </c>
      <c r="H120" s="341"/>
      <c r="I120" s="341"/>
    </row>
    <row r="121" spans="1:10" ht="19.5" customHeight="1" thickBot="1" x14ac:dyDescent="0.35">
      <c r="A121" s="421"/>
      <c r="B121" s="421"/>
      <c r="C121" s="394"/>
      <c r="D121" s="394"/>
      <c r="E121" s="394"/>
      <c r="F121" s="394"/>
      <c r="G121" s="394"/>
      <c r="H121" s="394"/>
    </row>
    <row r="122" spans="1:10" ht="18.75" x14ac:dyDescent="0.3">
      <c r="B122" s="438" t="s">
        <v>24</v>
      </c>
      <c r="C122" s="438"/>
      <c r="E122" s="420" t="s">
        <v>25</v>
      </c>
      <c r="F122" s="395"/>
      <c r="G122" s="438" t="s">
        <v>26</v>
      </c>
      <c r="H122" s="438"/>
    </row>
    <row r="123" spans="1:10" ht="69.95" customHeight="1" x14ac:dyDescent="0.3">
      <c r="A123" s="396" t="s">
        <v>27</v>
      </c>
      <c r="B123" s="398"/>
      <c r="C123" s="398"/>
      <c r="E123" s="398"/>
      <c r="F123" s="341"/>
      <c r="G123" s="398"/>
      <c r="H123" s="398"/>
    </row>
    <row r="124" spans="1:10" ht="69.95" customHeight="1" x14ac:dyDescent="0.3">
      <c r="A124" s="396" t="s">
        <v>28</v>
      </c>
      <c r="B124" s="399"/>
      <c r="C124" s="399"/>
      <c r="E124" s="399"/>
      <c r="F124" s="341"/>
      <c r="G124" s="400"/>
      <c r="H124" s="400"/>
    </row>
    <row r="125" spans="1:10" ht="18.75" x14ac:dyDescent="0.3">
      <c r="A125" s="359"/>
      <c r="B125" s="359"/>
      <c r="C125" s="359"/>
      <c r="D125" s="359"/>
      <c r="E125" s="359"/>
      <c r="F125" s="337"/>
      <c r="G125" s="359"/>
      <c r="H125" s="359"/>
      <c r="I125" s="341"/>
    </row>
    <row r="126" spans="1:10" ht="18.75" x14ac:dyDescent="0.3">
      <c r="A126" s="359"/>
      <c r="B126" s="359"/>
      <c r="C126" s="359"/>
      <c r="D126" s="359"/>
      <c r="E126" s="359"/>
      <c r="F126" s="337"/>
      <c r="G126" s="359"/>
      <c r="H126" s="359"/>
      <c r="I126" s="341"/>
    </row>
    <row r="127" spans="1:10" ht="18.75" x14ac:dyDescent="0.3">
      <c r="A127" s="359"/>
      <c r="B127" s="359"/>
      <c r="C127" s="359"/>
      <c r="D127" s="359"/>
      <c r="E127" s="359"/>
      <c r="F127" s="337"/>
      <c r="G127" s="359"/>
      <c r="H127" s="359"/>
      <c r="I127" s="341"/>
    </row>
    <row r="128" spans="1:10" ht="18.75" x14ac:dyDescent="0.3">
      <c r="A128" s="359"/>
      <c r="B128" s="359"/>
      <c r="C128" s="359"/>
      <c r="D128" s="359"/>
      <c r="E128" s="359"/>
      <c r="F128" s="337"/>
      <c r="G128" s="359"/>
      <c r="H128" s="359"/>
      <c r="I128" s="341"/>
    </row>
    <row r="129" spans="1:9" ht="18.75" x14ac:dyDescent="0.3">
      <c r="A129" s="359"/>
      <c r="B129" s="359"/>
      <c r="C129" s="359"/>
      <c r="D129" s="359"/>
      <c r="E129" s="359"/>
      <c r="F129" s="337"/>
      <c r="G129" s="359"/>
      <c r="H129" s="359"/>
      <c r="I129" s="341"/>
    </row>
    <row r="130" spans="1:9" ht="18.75" x14ac:dyDescent="0.3">
      <c r="A130" s="359"/>
      <c r="B130" s="359"/>
      <c r="C130" s="359"/>
      <c r="D130" s="359"/>
      <c r="E130" s="359"/>
      <c r="F130" s="337"/>
      <c r="G130" s="359"/>
      <c r="H130" s="359"/>
      <c r="I130" s="341"/>
    </row>
    <row r="131" spans="1:9" ht="18.75" x14ac:dyDescent="0.3">
      <c r="A131" s="359"/>
      <c r="B131" s="359"/>
      <c r="C131" s="359"/>
      <c r="D131" s="359"/>
      <c r="E131" s="359"/>
      <c r="F131" s="337"/>
      <c r="G131" s="359"/>
      <c r="H131" s="359"/>
      <c r="I131" s="341"/>
    </row>
    <row r="132" spans="1:9" ht="18.75" x14ac:dyDescent="0.3">
      <c r="A132" s="359"/>
      <c r="B132" s="359"/>
      <c r="C132" s="359"/>
      <c r="D132" s="359"/>
      <c r="E132" s="359"/>
      <c r="F132" s="337"/>
      <c r="G132" s="359"/>
      <c r="H132" s="359"/>
      <c r="I132" s="341"/>
    </row>
    <row r="133" spans="1:9" ht="18.75" x14ac:dyDescent="0.3">
      <c r="A133" s="359"/>
      <c r="B133" s="359"/>
      <c r="C133" s="359"/>
      <c r="D133" s="359"/>
      <c r="E133" s="359"/>
      <c r="F133" s="337"/>
      <c r="G133" s="359"/>
      <c r="H133" s="359"/>
      <c r="I133" s="341"/>
    </row>
    <row r="250" spans="1:1" x14ac:dyDescent="0.25">
      <c r="A250" s="36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 (CLAVULANATE)</vt:lpstr>
      <vt:lpstr>Uniformity</vt:lpstr>
      <vt:lpstr>amoxicillin Trihydrate</vt:lpstr>
      <vt:lpstr>Clavulanic acid</vt:lpstr>
      <vt:lpstr>amoxicillin Trihydrate (2)</vt:lpstr>
      <vt:lpstr>Clavulanic acid (2)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2016-05-30T09:26:52Z</cp:lastPrinted>
  <dcterms:created xsi:type="dcterms:W3CDTF">2005-07-05T10:19:27Z</dcterms:created>
  <dcterms:modified xsi:type="dcterms:W3CDTF">2016-05-30T09:36:12Z</dcterms:modified>
  <cp:category/>
</cp:coreProperties>
</file>