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firstSheet="2" activeTab="5"/>
  </bookViews>
  <sheets>
    <sheet name="SST assay-mutua" sheetId="14" r:id="rId1"/>
    <sheet name="SST dissolution-mutua " sheetId="16" r:id="rId2"/>
    <sheet name="Uniformity" sheetId="2" r:id="rId3"/>
    <sheet name="amoxicillin-mutua" sheetId="13" r:id="rId4"/>
    <sheet name="CLAVULANIC-mutua" sheetId="15" r:id="rId5"/>
    <sheet name="CLAVULANIC assay rpt Lorna" sheetId="3" r:id="rId6"/>
    <sheet name="SST clavulanic acid rpt Lorna" sheetId="1" r:id="rId7"/>
  </sheets>
  <definedNames>
    <definedName name="_xlnm.Print_Area" localSheetId="3">'amoxicillin-mutua'!$A$1:$I$127</definedName>
    <definedName name="_xlnm.Print_Area" localSheetId="5">'CLAVULANIC assay rpt Lorna'!$A$1:$I$127</definedName>
    <definedName name="_xlnm.Print_Area" localSheetId="4">'CLAVULANIC-mutua'!$A$1:$I$127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16" l="1"/>
  <c r="E51" i="16"/>
  <c r="D51" i="16"/>
  <c r="C51" i="16"/>
  <c r="B51" i="16"/>
  <c r="B52" i="16" s="1"/>
  <c r="B32" i="16"/>
  <c r="E30" i="16"/>
  <c r="D30" i="16"/>
  <c r="C30" i="16"/>
  <c r="B30" i="16"/>
  <c r="B31" i="16" s="1"/>
  <c r="C120" i="15"/>
  <c r="B116" i="15"/>
  <c r="D100" i="15" s="1"/>
  <c r="E113" i="15"/>
  <c r="F113" i="15" s="1"/>
  <c r="E112" i="15"/>
  <c r="F112" i="15" s="1"/>
  <c r="E111" i="15"/>
  <c r="F111" i="15" s="1"/>
  <c r="E110" i="15"/>
  <c r="F110" i="15" s="1"/>
  <c r="E109" i="15"/>
  <c r="F109" i="15" s="1"/>
  <c r="E108" i="15"/>
  <c r="F108" i="15" s="1"/>
  <c r="B98" i="15"/>
  <c r="D95" i="15"/>
  <c r="G94" i="15"/>
  <c r="E94" i="15"/>
  <c r="I92" i="15"/>
  <c r="B87" i="15"/>
  <c r="F97" i="15" s="1"/>
  <c r="B81" i="15"/>
  <c r="B83" i="15" s="1"/>
  <c r="B80" i="15"/>
  <c r="B79" i="15"/>
  <c r="C76" i="15"/>
  <c r="H71" i="15"/>
  <c r="G71" i="15"/>
  <c r="B68" i="15"/>
  <c r="H67" i="15"/>
  <c r="G67" i="15"/>
  <c r="H63" i="15"/>
  <c r="G63" i="15"/>
  <c r="B57" i="15"/>
  <c r="C56" i="15"/>
  <c r="B55" i="15"/>
  <c r="B45" i="15"/>
  <c r="D48" i="15" s="1"/>
  <c r="F42" i="15"/>
  <c r="D42" i="15"/>
  <c r="G41" i="15"/>
  <c r="E41" i="15"/>
  <c r="B34" i="15"/>
  <c r="F44" i="15" s="1"/>
  <c r="F45" i="15" s="1"/>
  <c r="B30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C120" i="13"/>
  <c r="B116" i="13"/>
  <c r="E113" i="13"/>
  <c r="F113" i="13" s="1"/>
  <c r="E112" i="13"/>
  <c r="F112" i="13" s="1"/>
  <c r="E111" i="13"/>
  <c r="F111" i="13" s="1"/>
  <c r="E110" i="13"/>
  <c r="F110" i="13" s="1"/>
  <c r="E109" i="13"/>
  <c r="F109" i="13" s="1"/>
  <c r="E108" i="13"/>
  <c r="F108" i="13" s="1"/>
  <c r="D100" i="13"/>
  <c r="B98" i="13"/>
  <c r="D101" i="13" s="1"/>
  <c r="D102" i="13" s="1"/>
  <c r="D95" i="13"/>
  <c r="I92" i="13" s="1"/>
  <c r="G94" i="13"/>
  <c r="E94" i="13"/>
  <c r="B87" i="13"/>
  <c r="F97" i="13" s="1"/>
  <c r="B83" i="13"/>
  <c r="B81" i="13"/>
  <c r="B80" i="13"/>
  <c r="B79" i="13"/>
  <c r="C76" i="13"/>
  <c r="H71" i="13"/>
  <c r="G71" i="13"/>
  <c r="B68" i="13"/>
  <c r="H67" i="13"/>
  <c r="G67" i="13"/>
  <c r="H63" i="13"/>
  <c r="G63" i="13"/>
  <c r="B57" i="13"/>
  <c r="C56" i="13"/>
  <c r="B55" i="13"/>
  <c r="B45" i="13"/>
  <c r="D48" i="13" s="1"/>
  <c r="F42" i="13"/>
  <c r="D42" i="13"/>
  <c r="G41" i="13"/>
  <c r="E41" i="13"/>
  <c r="B34" i="13"/>
  <c r="F44" i="13" s="1"/>
  <c r="B30" i="13"/>
  <c r="D101" i="15" l="1"/>
  <c r="D102" i="15" s="1"/>
  <c r="E115" i="15"/>
  <c r="E116" i="15" s="1"/>
  <c r="D97" i="15"/>
  <c r="D98" i="15" s="1"/>
  <c r="F117" i="15"/>
  <c r="B69" i="15"/>
  <c r="I39" i="15"/>
  <c r="F46" i="15"/>
  <c r="D44" i="15"/>
  <c r="D45" i="15" s="1"/>
  <c r="D46" i="15" s="1"/>
  <c r="F98" i="15"/>
  <c r="E117" i="15"/>
  <c r="E38" i="15"/>
  <c r="G39" i="15"/>
  <c r="G40" i="15"/>
  <c r="D49" i="15"/>
  <c r="G38" i="15"/>
  <c r="F115" i="15"/>
  <c r="G93" i="13"/>
  <c r="G92" i="13"/>
  <c r="G91" i="13"/>
  <c r="E91" i="13"/>
  <c r="E93" i="13"/>
  <c r="E92" i="13"/>
  <c r="D97" i="13"/>
  <c r="E117" i="13"/>
  <c r="B69" i="13"/>
  <c r="E115" i="13"/>
  <c r="E116" i="13" s="1"/>
  <c r="I39" i="13"/>
  <c r="D44" i="13"/>
  <c r="D45" i="13" s="1"/>
  <c r="D46" i="13" s="1"/>
  <c r="F45" i="13"/>
  <c r="F46" i="13" s="1"/>
  <c r="D98" i="13"/>
  <c r="D99" i="13" s="1"/>
  <c r="F117" i="13"/>
  <c r="F98" i="13"/>
  <c r="F99" i="13" s="1"/>
  <c r="E38" i="13"/>
  <c r="E39" i="13"/>
  <c r="E40" i="13"/>
  <c r="D49" i="13"/>
  <c r="F115" i="13"/>
  <c r="C120" i="3"/>
  <c r="B116" i="3"/>
  <c r="D100" i="3"/>
  <c r="D101" i="3" s="1"/>
  <c r="B98" i="3"/>
  <c r="I92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3" l="1"/>
  <c r="D45" i="3" s="1"/>
  <c r="D46" i="3" s="1"/>
  <c r="F99" i="15"/>
  <c r="G92" i="15"/>
  <c r="G91" i="15"/>
  <c r="G95" i="15" s="1"/>
  <c r="G93" i="15"/>
  <c r="D99" i="15"/>
  <c r="E91" i="15"/>
  <c r="E92" i="15"/>
  <c r="E93" i="15"/>
  <c r="E39" i="15"/>
  <c r="D52" i="15" s="1"/>
  <c r="E40" i="15"/>
  <c r="G42" i="15"/>
  <c r="G120" i="15"/>
  <c r="F116" i="15"/>
  <c r="D103" i="13"/>
  <c r="D104" i="13" s="1"/>
  <c r="G95" i="13"/>
  <c r="E95" i="13"/>
  <c r="D105" i="13"/>
  <c r="G39" i="13"/>
  <c r="G40" i="13"/>
  <c r="G38" i="13"/>
  <c r="G120" i="13"/>
  <c r="F116" i="13"/>
  <c r="E42" i="13"/>
  <c r="B69" i="3"/>
  <c r="I39" i="3"/>
  <c r="F45" i="3"/>
  <c r="F46" i="3" s="1"/>
  <c r="F98" i="3"/>
  <c r="F99" i="3" s="1"/>
  <c r="D102" i="3"/>
  <c r="G91" i="3"/>
  <c r="D49" i="3"/>
  <c r="G41" i="3"/>
  <c r="C50" i="2"/>
  <c r="D97" i="3"/>
  <c r="D98" i="3" s="1"/>
  <c r="D99" i="3" s="1"/>
  <c r="E95" i="15" l="1"/>
  <c r="D103" i="15"/>
  <c r="D104" i="15" s="1"/>
  <c r="D105" i="15"/>
  <c r="D50" i="15"/>
  <c r="G62" i="15" s="1"/>
  <c r="H62" i="15" s="1"/>
  <c r="E42" i="15"/>
  <c r="G42" i="13"/>
  <c r="D50" i="13"/>
  <c r="G69" i="13" s="1"/>
  <c r="H69" i="13" s="1"/>
  <c r="D52" i="13"/>
  <c r="G40" i="3"/>
  <c r="E38" i="3"/>
  <c r="G39" i="3"/>
  <c r="G38" i="3"/>
  <c r="E41" i="3"/>
  <c r="E40" i="3"/>
  <c r="E39" i="3"/>
  <c r="G93" i="3"/>
  <c r="G94" i="3"/>
  <c r="G92" i="3"/>
  <c r="G95" i="3" s="1"/>
  <c r="E92" i="3"/>
  <c r="E93" i="3"/>
  <c r="E91" i="3"/>
  <c r="E94" i="3"/>
  <c r="G70" i="15" l="1"/>
  <c r="H70" i="15" s="1"/>
  <c r="G64" i="15"/>
  <c r="H64" i="15" s="1"/>
  <c r="D51" i="15"/>
  <c r="G66" i="15"/>
  <c r="H66" i="15" s="1"/>
  <c r="G68" i="15"/>
  <c r="H68" i="15" s="1"/>
  <c r="G61" i="15"/>
  <c r="H61" i="15" s="1"/>
  <c r="G60" i="15"/>
  <c r="H60" i="15" s="1"/>
  <c r="G69" i="15"/>
  <c r="H69" i="15" s="1"/>
  <c r="G65" i="15"/>
  <c r="H65" i="15" s="1"/>
  <c r="G65" i="13"/>
  <c r="H65" i="13" s="1"/>
  <c r="G64" i="13"/>
  <c r="H64" i="13" s="1"/>
  <c r="G70" i="13"/>
  <c r="H70" i="13" s="1"/>
  <c r="G62" i="13"/>
  <c r="H62" i="13" s="1"/>
  <c r="G68" i="13"/>
  <c r="H68" i="13" s="1"/>
  <c r="D51" i="13"/>
  <c r="G66" i="13"/>
  <c r="H66" i="13" s="1"/>
  <c r="G61" i="13"/>
  <c r="H61" i="13" s="1"/>
  <c r="G60" i="13"/>
  <c r="H60" i="13" s="1"/>
  <c r="G42" i="3"/>
  <c r="D52" i="3"/>
  <c r="E42" i="3"/>
  <c r="D50" i="3"/>
  <c r="G63" i="3" s="1"/>
  <c r="H63" i="3" s="1"/>
  <c r="D103" i="3"/>
  <c r="D105" i="3"/>
  <c r="E95" i="3"/>
  <c r="G71" i="3"/>
  <c r="H71" i="3" s="1"/>
  <c r="G61" i="3"/>
  <c r="H61" i="3" s="1"/>
  <c r="G72" i="15" l="1"/>
  <c r="G73" i="15" s="1"/>
  <c r="G74" i="15"/>
  <c r="H74" i="15"/>
  <c r="H72" i="15"/>
  <c r="G72" i="13"/>
  <c r="G73" i="13" s="1"/>
  <c r="G74" i="13"/>
  <c r="H74" i="13"/>
  <c r="H72" i="13"/>
  <c r="G60" i="3"/>
  <c r="H60" i="3" s="1"/>
  <c r="G67" i="3"/>
  <c r="H67" i="3" s="1"/>
  <c r="G62" i="3"/>
  <c r="H62" i="3" s="1"/>
  <c r="G70" i="3"/>
  <c r="H70" i="3" s="1"/>
  <c r="G69" i="3"/>
  <c r="H69" i="3" s="1"/>
  <c r="G65" i="3"/>
  <c r="H65" i="3" s="1"/>
  <c r="G64" i="3"/>
  <c r="H64" i="3" s="1"/>
  <c r="G68" i="3"/>
  <c r="H68" i="3" s="1"/>
  <c r="D51" i="3"/>
  <c r="G66" i="3"/>
  <c r="H66" i="3" s="1"/>
  <c r="E113" i="3"/>
  <c r="F113" i="3" s="1"/>
  <c r="E110" i="3"/>
  <c r="F110" i="3" s="1"/>
  <c r="E112" i="3"/>
  <c r="F112" i="3" s="1"/>
  <c r="D104" i="3"/>
  <c r="E109" i="3"/>
  <c r="F109" i="3" s="1"/>
  <c r="E111" i="3"/>
  <c r="F111" i="3" s="1"/>
  <c r="E108" i="3"/>
  <c r="G76" i="15" l="1"/>
  <c r="H73" i="15"/>
  <c r="G76" i="13"/>
  <c r="H73" i="13"/>
  <c r="G74" i="3"/>
  <c r="G72" i="3"/>
  <c r="G73" i="3" s="1"/>
  <c r="E117" i="3"/>
  <c r="F108" i="3"/>
  <c r="E115" i="3"/>
  <c r="E116" i="3" s="1"/>
  <c r="H72" i="3"/>
  <c r="H74" i="3"/>
  <c r="G76" i="3" l="1"/>
  <c r="H73" i="3"/>
  <c r="F115" i="3"/>
  <c r="F117" i="3"/>
  <c r="G120" i="3" l="1"/>
  <c r="F116" i="3"/>
</calcChain>
</file>

<file path=xl/sharedStrings.xml><?xml version="1.0" encoding="utf-8"?>
<sst xmlns="http://schemas.openxmlformats.org/spreadsheetml/2006/main" count="647" uniqueCount="136">
  <si>
    <t>HPLC System Suitability Report</t>
  </si>
  <si>
    <t>Analysis Data</t>
  </si>
  <si>
    <t>Assay</t>
  </si>
  <si>
    <t>Sample(s)</t>
  </si>
  <si>
    <t>Reference Substance:</t>
  </si>
  <si>
    <t>KOACT 625</t>
  </si>
  <si>
    <t>% age Purity:</t>
  </si>
  <si>
    <t>NDQA201509357</t>
  </si>
  <si>
    <t>Weight (mg):</t>
  </si>
  <si>
    <t>Amoxicillin &amp; Clavulanate Potassium</t>
  </si>
  <si>
    <t>Standard Conc (mg/mL):</t>
  </si>
  <si>
    <t xml:space="preserve">Each fil coated tablet contains: Amoxicillin trihydrate Ph. Eur. equivalent to Amoxicillin 500mg
Potassium Clavulanate Ph. Eur. equivalent to clavulanic acid 25mg </t>
  </si>
  <si>
    <t>2015-10-02 07:53:37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</si>
  <si>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</si>
  <si>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</si>
  <si>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</si>
  <si>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</si>
  <si>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</si>
  <si>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</si>
  <si>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</si>
  <si>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</si>
  <si>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</si>
  <si>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</si>
  <si>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</si>
  <si>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</si>
  <si>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</si>
  <si>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</si>
  <si>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</si>
  <si>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</si>
  <si>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</si>
  <si>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</si>
  <si>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</si>
  <si>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</si>
  <si>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</si>
  <si>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</si>
  <si>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</si>
  <si>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</si>
  <si>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</si>
  <si>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</si>
  <si>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</si>
  <si>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</si>
  <si>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</si>
  <si>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</si>
  <si>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</si>
  <si>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</si>
  <si>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</si>
  <si>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</si>
  <si>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</si>
  <si>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</si>
  <si>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</si>
  <si>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</si>
  <si>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</si>
  <si>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</si>
  <si>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</si>
  <si>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</si>
  <si>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</si>
  <si>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</si>
  <si>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</si>
  <si>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</si>
  <si>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</si>
  <si>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</si>
  <si>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</si>
  <si>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</si>
  <si>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</si>
  <si>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</si>
  <si>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</si>
  <si>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</si>
  <si>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</si>
  <si>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</si>
  <si>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</si>
  <si>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</si>
  <si>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</si>
  <si>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</si>
  <si>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</si>
  <si>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</si>
  <si>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</si>
  <si>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</si>
  <si>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</si>
  <si>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</si>
  <si>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</si>
  <si>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</si>
  <si>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</si>
  <si>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</si>
  <si>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</si>
  <si>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</si>
  <si>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</si>
  <si>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</si>
  <si>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</si>
  <si>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</si>
  <si>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</si>
  <si>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</si>
  <si>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</si>
  <si>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</si>
  <si>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</si>
  <si>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</si>
  <si>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</si>
  <si>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</si>
  <si>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</si>
  <si>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</si>
  <si>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</si>
  <si>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</si>
  <si>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</si>
  <si>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</si>
  <si>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</si>
  <si>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</si>
  <si>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</si>
  <si>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</si>
  <si>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</si>
  <si>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</si>
  <si>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</si>
  <si>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</si>
  <si>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</si>
  <si>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</si>
  <si>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</si>
  <si>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</si>
  <si>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</si>
  <si>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</si>
  <si>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</si>
  <si>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</si>
  <si>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</si>
  <si>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</si>
  <si>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</si>
  <si>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</si>
  <si>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</si>
  <si>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</si>
  <si>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CLAVULANATE LITHIUM</t>
  </si>
  <si>
    <t>C62 4</t>
  </si>
  <si>
    <t xml:space="preserve"> Clavulanic acid</t>
  </si>
  <si>
    <t xml:space="preserve">Amoxicillin </t>
  </si>
  <si>
    <t>ASSAY</t>
  </si>
  <si>
    <t>Amoxicillin</t>
  </si>
  <si>
    <t>Clavulanic acid</t>
  </si>
  <si>
    <t>AMOXICILLIN</t>
  </si>
  <si>
    <t xml:space="preserve">ASSAY </t>
  </si>
  <si>
    <t>CLAVULANIC LITHIUM</t>
  </si>
  <si>
    <t>DISSOLUTION- 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</si>
</sst>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42" sqref="C42"/>
    </sheetView>
  </sheetViews>
  <sheetFormatPr defaultRowHeight="13.5" x14ac:dyDescent="0.25"/>
  <cols>
    <col min="1" max="1" width="27.5703125" style="227" customWidth="1"/>
    <col min="2" max="2" width="20.425781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90" t="s">
        <v>1</v>
      </c>
      <c r="B16" s="59" t="s">
        <v>133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227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86.6</v>
      </c>
      <c r="C19" s="72"/>
      <c r="D19" s="72"/>
      <c r="E19" s="72"/>
    </row>
    <row r="20" spans="1:5" ht="16.5" customHeight="1" x14ac:dyDescent="0.3">
      <c r="A20" s="8" t="s">
        <v>8</v>
      </c>
      <c r="B20" s="12">
        <v>26.17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18797798</v>
      </c>
      <c r="C24" s="18">
        <v>6752.95</v>
      </c>
      <c r="D24" s="19">
        <v>1.1000000000000001</v>
      </c>
      <c r="E24" s="20">
        <v>3.93</v>
      </c>
    </row>
    <row r="25" spans="1:5" ht="16.5" customHeight="1" x14ac:dyDescent="0.3">
      <c r="A25" s="17">
        <v>2</v>
      </c>
      <c r="B25" s="18">
        <v>18847483</v>
      </c>
      <c r="C25" s="18">
        <v>7492.35</v>
      </c>
      <c r="D25" s="19">
        <v>1.1200000000000001</v>
      </c>
      <c r="E25" s="19">
        <v>3.93</v>
      </c>
    </row>
    <row r="26" spans="1:5" ht="16.5" customHeight="1" x14ac:dyDescent="0.3">
      <c r="A26" s="17">
        <v>3</v>
      </c>
      <c r="B26" s="18">
        <v>18870478</v>
      </c>
      <c r="C26" s="18">
        <v>7165.69</v>
      </c>
      <c r="D26" s="19">
        <v>1.1100000000000001</v>
      </c>
      <c r="E26" s="19">
        <v>3.93</v>
      </c>
    </row>
    <row r="27" spans="1:5" ht="16.5" customHeight="1" x14ac:dyDescent="0.3">
      <c r="A27" s="17">
        <v>4</v>
      </c>
      <c r="B27" s="18">
        <v>18731309</v>
      </c>
      <c r="C27" s="18">
        <v>7168.71</v>
      </c>
      <c r="D27" s="19">
        <v>1.1000000000000001</v>
      </c>
      <c r="E27" s="19">
        <v>3.93</v>
      </c>
    </row>
    <row r="28" spans="1:5" ht="16.5" customHeight="1" x14ac:dyDescent="0.3">
      <c r="A28" s="17">
        <v>5</v>
      </c>
      <c r="B28" s="18">
        <v>18877543</v>
      </c>
      <c r="C28" s="18">
        <v>7384.84</v>
      </c>
      <c r="D28" s="19">
        <v>1.1299999999999999</v>
      </c>
      <c r="E28" s="19">
        <v>3.92</v>
      </c>
    </row>
    <row r="29" spans="1:5" ht="16.5" customHeight="1" x14ac:dyDescent="0.3">
      <c r="A29" s="17">
        <v>6</v>
      </c>
      <c r="B29" s="21">
        <v>18854279</v>
      </c>
      <c r="C29" s="21">
        <v>7408.73</v>
      </c>
      <c r="D29" s="22">
        <v>1.1100000000000001</v>
      </c>
      <c r="E29" s="22">
        <v>3.92</v>
      </c>
    </row>
    <row r="30" spans="1:5" ht="16.5" customHeight="1" x14ac:dyDescent="0.3">
      <c r="A30" s="23" t="s">
        <v>18</v>
      </c>
      <c r="B30" s="24">
        <f>AVERAGE(B24:B29)</f>
        <v>18829815</v>
      </c>
      <c r="C30" s="25">
        <f>AVERAGE(C24:C29)</f>
        <v>7228.8783333333313</v>
      </c>
      <c r="D30" s="26">
        <f>AVERAGE(D24:D29)</f>
        <v>1.1116666666666666</v>
      </c>
      <c r="E30" s="26">
        <f>AVERAGE(E24:E29)</f>
        <v>3.9266666666666672</v>
      </c>
    </row>
    <row r="31" spans="1:5" ht="16.5" customHeight="1" x14ac:dyDescent="0.3">
      <c r="A31" s="27" t="s">
        <v>19</v>
      </c>
      <c r="B31" s="28">
        <f>(STDEV(B24:B29)/B30)</f>
        <v>2.9636145743629897E-3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 x14ac:dyDescent="0.25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129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96.4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20.86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0.125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54897024</v>
      </c>
      <c r="C45" s="18">
        <v>6315.21</v>
      </c>
      <c r="D45" s="19">
        <v>1.06</v>
      </c>
      <c r="E45" s="20">
        <v>5.74</v>
      </c>
    </row>
    <row r="46" spans="1:5" ht="16.5" customHeight="1" x14ac:dyDescent="0.3">
      <c r="A46" s="17">
        <v>2</v>
      </c>
      <c r="B46" s="18">
        <v>54649940</v>
      </c>
      <c r="C46" s="18">
        <v>5808.15</v>
      </c>
      <c r="D46" s="19">
        <v>1.04</v>
      </c>
      <c r="E46" s="19">
        <v>5.74</v>
      </c>
    </row>
    <row r="47" spans="1:5" ht="16.5" customHeight="1" x14ac:dyDescent="0.3">
      <c r="A47" s="17">
        <v>3</v>
      </c>
      <c r="B47" s="18">
        <v>54908859</v>
      </c>
      <c r="C47" s="18">
        <v>6114.82</v>
      </c>
      <c r="D47" s="19">
        <v>1.04</v>
      </c>
      <c r="E47" s="19">
        <v>5.74</v>
      </c>
    </row>
    <row r="48" spans="1:5" ht="16.5" customHeight="1" x14ac:dyDescent="0.3">
      <c r="A48" s="17">
        <v>4</v>
      </c>
      <c r="B48" s="18">
        <v>54491641</v>
      </c>
      <c r="C48" s="18">
        <v>6120.91</v>
      </c>
      <c r="D48" s="19">
        <v>1.05</v>
      </c>
      <c r="E48" s="19">
        <v>5.74</v>
      </c>
    </row>
    <row r="49" spans="1:7" ht="16.5" customHeight="1" x14ac:dyDescent="0.3">
      <c r="A49" s="17">
        <v>5</v>
      </c>
      <c r="B49" s="18">
        <v>54824952</v>
      </c>
      <c r="C49" s="18">
        <v>6242.11</v>
      </c>
      <c r="D49" s="19">
        <v>1.1299999999999999</v>
      </c>
      <c r="E49" s="19">
        <v>5.73</v>
      </c>
    </row>
    <row r="50" spans="1:7" ht="16.5" customHeight="1" x14ac:dyDescent="0.3">
      <c r="A50" s="17">
        <v>6</v>
      </c>
      <c r="B50" s="21">
        <v>54869338</v>
      </c>
      <c r="C50" s="21">
        <v>6258.24</v>
      </c>
      <c r="D50" s="22">
        <v>1.05</v>
      </c>
      <c r="E50" s="22">
        <v>5.73</v>
      </c>
    </row>
    <row r="51" spans="1:7" ht="16.5" customHeight="1" x14ac:dyDescent="0.3">
      <c r="A51" s="23" t="s">
        <v>18</v>
      </c>
      <c r="B51" s="24">
        <f>AVERAGE(B45:B50)</f>
        <v>54773625.666666664</v>
      </c>
      <c r="C51" s="25">
        <f>AVERAGE(C45:C50)</f>
        <v>6143.2400000000007</v>
      </c>
      <c r="D51" s="26">
        <f>AVERAGE(D45:D50)</f>
        <v>1.0616666666666668</v>
      </c>
      <c r="E51" s="26">
        <f>AVERAGE(E45:E50)</f>
        <v>5.7366666666666672</v>
      </c>
    </row>
    <row r="52" spans="1:7" ht="16.5" customHeight="1" x14ac:dyDescent="0.3">
      <c r="A52" s="27" t="s">
        <v>19</v>
      </c>
      <c r="B52" s="28">
        <f>(STDEV(B45:B50)/B51)</f>
        <v>3.0563260480438877E-3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27" customFormat="1" ht="15.75" customHeight="1" x14ac:dyDescent="0.25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92" t="s">
        <v>26</v>
      </c>
      <c r="C59" s="292"/>
      <c r="E59" s="284" t="s">
        <v>27</v>
      </c>
      <c r="F59" s="46"/>
      <c r="G59" s="28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F55" sqref="F55"/>
    </sheetView>
  </sheetViews>
  <sheetFormatPr defaultRowHeight="13.5" x14ac:dyDescent="0.25"/>
  <cols>
    <col min="1" max="1" width="27.5703125" style="227" customWidth="1"/>
    <col min="2" max="2" width="20.425781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90" t="s">
        <v>1</v>
      </c>
      <c r="B16" s="59" t="s">
        <v>135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227" t="s">
        <v>134</v>
      </c>
      <c r="C18" s="72"/>
      <c r="D18" s="72"/>
      <c r="E18" s="72"/>
    </row>
    <row r="19" spans="1:5" ht="16.5" customHeight="1" x14ac:dyDescent="0.3">
      <c r="A19" s="75" t="s">
        <v>6</v>
      </c>
      <c r="B19" s="12">
        <v>86.6</v>
      </c>
      <c r="C19" s="72"/>
      <c r="D19" s="72"/>
      <c r="E19" s="72"/>
    </row>
    <row r="20" spans="1:5" ht="16.5" customHeight="1" x14ac:dyDescent="0.3">
      <c r="A20" s="8" t="s">
        <v>8</v>
      </c>
      <c r="B20" s="12">
        <v>23.96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49622398</v>
      </c>
      <c r="C24" s="18">
        <v>9571</v>
      </c>
      <c r="D24" s="19">
        <v>1.2</v>
      </c>
      <c r="E24" s="20">
        <v>4.5</v>
      </c>
    </row>
    <row r="25" spans="1:5" ht="16.5" customHeight="1" x14ac:dyDescent="0.3">
      <c r="A25" s="17">
        <v>2</v>
      </c>
      <c r="B25" s="18">
        <v>48777801</v>
      </c>
      <c r="C25" s="18">
        <v>9517</v>
      </c>
      <c r="D25" s="19">
        <v>1.2</v>
      </c>
      <c r="E25" s="19">
        <v>4.4000000000000004</v>
      </c>
    </row>
    <row r="26" spans="1:5" ht="16.5" customHeight="1" x14ac:dyDescent="0.3">
      <c r="A26" s="17">
        <v>3</v>
      </c>
      <c r="B26" s="18">
        <v>48323247</v>
      </c>
      <c r="C26" s="18">
        <v>9326.1</v>
      </c>
      <c r="D26" s="19">
        <v>1.2</v>
      </c>
      <c r="E26" s="19">
        <v>4.3</v>
      </c>
    </row>
    <row r="27" spans="1:5" ht="16.5" customHeight="1" x14ac:dyDescent="0.3">
      <c r="A27" s="17">
        <v>4</v>
      </c>
      <c r="B27" s="18">
        <v>49622398</v>
      </c>
      <c r="C27" s="18">
        <v>9571</v>
      </c>
      <c r="D27" s="19">
        <v>1.2</v>
      </c>
      <c r="E27" s="19">
        <v>4.5</v>
      </c>
    </row>
    <row r="28" spans="1:5" ht="16.5" customHeight="1" x14ac:dyDescent="0.3">
      <c r="A28" s="17">
        <v>5</v>
      </c>
      <c r="B28" s="18">
        <v>48723771</v>
      </c>
      <c r="C28" s="18">
        <v>9841.6</v>
      </c>
      <c r="D28" s="19">
        <v>1.1000000000000001</v>
      </c>
      <c r="E28" s="19">
        <v>4.5999999999999996</v>
      </c>
    </row>
    <row r="29" spans="1:5" ht="16.5" customHeight="1" x14ac:dyDescent="0.3">
      <c r="A29" s="17">
        <v>6</v>
      </c>
      <c r="B29" s="21">
        <v>49344139</v>
      </c>
      <c r="C29" s="21">
        <v>9652.2000000000007</v>
      </c>
      <c r="D29" s="22">
        <v>1.2</v>
      </c>
      <c r="E29" s="22">
        <v>4.5</v>
      </c>
    </row>
    <row r="30" spans="1:5" ht="16.5" customHeight="1" x14ac:dyDescent="0.3">
      <c r="A30" s="23" t="s">
        <v>18</v>
      </c>
      <c r="B30" s="24">
        <f>AVERAGE(B24:B29)</f>
        <v>49068959</v>
      </c>
      <c r="C30" s="25">
        <f>AVERAGE(C24:C29)</f>
        <v>9579.8166666666657</v>
      </c>
      <c r="D30" s="26">
        <f>AVERAGE(D24:D29)</f>
        <v>1.1833333333333333</v>
      </c>
      <c r="E30" s="26">
        <f>AVERAGE(E24:E29)</f>
        <v>4.4666666666666659</v>
      </c>
    </row>
    <row r="31" spans="1:5" ht="16.5" customHeight="1" x14ac:dyDescent="0.3">
      <c r="A31" s="27" t="s">
        <v>19</v>
      </c>
      <c r="B31" s="28">
        <f>(STDEV(B24:B29)/B30)</f>
        <v>1.0968356510689819E-2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 x14ac:dyDescent="0.25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130</v>
      </c>
      <c r="C39" s="72"/>
      <c r="D39" s="72"/>
      <c r="E39" s="72"/>
    </row>
    <row r="40" spans="1:5" ht="16.5" customHeight="1" x14ac:dyDescent="0.3">
      <c r="A40" s="75" t="s">
        <v>6</v>
      </c>
      <c r="B40" s="12">
        <v>96.4</v>
      </c>
      <c r="C40" s="72"/>
      <c r="D40" s="72"/>
      <c r="E40" s="72"/>
    </row>
    <row r="41" spans="1:5" ht="16.5" customHeight="1" x14ac:dyDescent="0.3">
      <c r="A41" s="8" t="s">
        <v>8</v>
      </c>
      <c r="B41" s="12">
        <v>23.1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0.125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113104485</v>
      </c>
      <c r="C45" s="18">
        <v>7135.2</v>
      </c>
      <c r="D45" s="19">
        <v>1</v>
      </c>
      <c r="E45" s="20">
        <v>7.8</v>
      </c>
    </row>
    <row r="46" spans="1:5" ht="16.5" customHeight="1" x14ac:dyDescent="0.3">
      <c r="A46" s="17">
        <v>2</v>
      </c>
      <c r="B46" s="18">
        <v>112525467</v>
      </c>
      <c r="C46" s="18">
        <v>7010.6</v>
      </c>
      <c r="D46" s="19">
        <v>1</v>
      </c>
      <c r="E46" s="19">
        <v>7.6</v>
      </c>
    </row>
    <row r="47" spans="1:5" ht="16.5" customHeight="1" x14ac:dyDescent="0.3">
      <c r="A47" s="17">
        <v>3</v>
      </c>
      <c r="B47" s="18">
        <v>108739959</v>
      </c>
      <c r="C47" s="18">
        <v>7012.2</v>
      </c>
      <c r="D47" s="19">
        <v>1</v>
      </c>
      <c r="E47" s="19">
        <v>7.6</v>
      </c>
    </row>
    <row r="48" spans="1:5" ht="16.5" customHeight="1" x14ac:dyDescent="0.3">
      <c r="A48" s="17">
        <v>4</v>
      </c>
      <c r="B48" s="18">
        <v>110031634</v>
      </c>
      <c r="C48" s="18">
        <v>5874.6</v>
      </c>
      <c r="D48" s="19">
        <v>1</v>
      </c>
      <c r="E48" s="19">
        <v>7.5</v>
      </c>
    </row>
    <row r="49" spans="1:7" ht="16.5" customHeight="1" x14ac:dyDescent="0.3">
      <c r="A49" s="17">
        <v>5</v>
      </c>
      <c r="B49" s="18">
        <v>109871362</v>
      </c>
      <c r="C49" s="18">
        <v>6808</v>
      </c>
      <c r="D49" s="19">
        <v>1</v>
      </c>
      <c r="E49" s="19">
        <v>7.4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110854581.40000001</v>
      </c>
      <c r="C51" s="25">
        <f>AVERAGE(C45:C50)</f>
        <v>6768.12</v>
      </c>
      <c r="D51" s="26">
        <f>AVERAGE(D45:D50)</f>
        <v>1</v>
      </c>
      <c r="E51" s="26">
        <f>AVERAGE(E45:E50)</f>
        <v>7.58</v>
      </c>
    </row>
    <row r="52" spans="1:7" ht="16.5" customHeight="1" x14ac:dyDescent="0.3">
      <c r="A52" s="27" t="s">
        <v>19</v>
      </c>
      <c r="B52" s="28">
        <f>(STDEV(B45:B50)/B51)</f>
        <v>1.6858038119941625E-2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5</v>
      </c>
      <c r="C53" s="33"/>
      <c r="D53" s="73"/>
      <c r="E53" s="35"/>
    </row>
    <row r="54" spans="1:7" s="227" customFormat="1" ht="15.75" customHeight="1" x14ac:dyDescent="0.25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92" t="s">
        <v>26</v>
      </c>
      <c r="C59" s="292"/>
      <c r="E59" s="284" t="s">
        <v>27</v>
      </c>
      <c r="F59" s="46"/>
      <c r="G59" s="28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6" t="s">
        <v>31</v>
      </c>
      <c r="B11" s="297"/>
      <c r="C11" s="297"/>
      <c r="D11" s="297"/>
      <c r="E11" s="297"/>
      <c r="F11" s="298"/>
      <c r="G11" s="91"/>
    </row>
    <row r="12" spans="1:7" ht="16.5" customHeight="1" x14ac:dyDescent="0.3">
      <c r="A12" s="295" t="s">
        <v>32</v>
      </c>
      <c r="B12" s="295"/>
      <c r="C12" s="295"/>
      <c r="D12" s="295"/>
      <c r="E12" s="295"/>
      <c r="F12" s="295"/>
      <c r="G12" s="90"/>
    </row>
    <row r="14" spans="1:7" ht="16.5" customHeight="1" x14ac:dyDescent="0.3">
      <c r="A14" s="300" t="s">
        <v>33</v>
      </c>
      <c r="B14" s="300"/>
      <c r="C14" s="60" t="s">
        <v>5</v>
      </c>
    </row>
    <row r="15" spans="1:7" ht="16.5" customHeight="1" x14ac:dyDescent="0.3">
      <c r="A15" s="300" t="s">
        <v>34</v>
      </c>
      <c r="B15" s="300"/>
      <c r="C15" s="60" t="s">
        <v>7</v>
      </c>
    </row>
    <row r="16" spans="1:7" ht="16.5" customHeight="1" x14ac:dyDescent="0.3">
      <c r="A16" s="300" t="s">
        <v>35</v>
      </c>
      <c r="B16" s="300"/>
      <c r="C16" s="60" t="s">
        <v>9</v>
      </c>
    </row>
    <row r="17" spans="1:5" ht="16.5" customHeight="1" x14ac:dyDescent="0.3">
      <c r="A17" s="300" t="s">
        <v>36</v>
      </c>
      <c r="B17" s="300"/>
      <c r="C17" s="60" t="s">
        <v>11</v>
      </c>
    </row>
    <row r="18" spans="1:5" ht="16.5" customHeight="1" x14ac:dyDescent="0.3">
      <c r="A18" s="300" t="s">
        <v>37</v>
      </c>
      <c r="B18" s="300"/>
      <c r="C18" s="97" t="s">
        <v>12</v>
      </c>
    </row>
    <row r="19" spans="1:5" ht="16.5" customHeight="1" x14ac:dyDescent="0.3">
      <c r="A19" s="300" t="s">
        <v>38</v>
      </c>
      <c r="B19" s="30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5" t="s">
        <v>1</v>
      </c>
      <c r="B21" s="295"/>
      <c r="C21" s="59" t="s">
        <v>39</v>
      </c>
      <c r="D21" s="66"/>
    </row>
    <row r="22" spans="1:5" ht="15.75" customHeight="1" x14ac:dyDescent="0.3">
      <c r="A22" s="299"/>
      <c r="B22" s="299"/>
      <c r="C22" s="57"/>
      <c r="D22" s="299"/>
      <c r="E22" s="29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1024.26</v>
      </c>
      <c r="D24" s="87">
        <f t="shared" ref="D24:D43" si="0">(C24-$C$46)/$C$46</f>
        <v>2.6204429791803711E-3</v>
      </c>
      <c r="E24" s="53"/>
    </row>
    <row r="25" spans="1:5" ht="15.75" customHeight="1" x14ac:dyDescent="0.3">
      <c r="C25" s="95">
        <v>1029.7</v>
      </c>
      <c r="D25" s="88">
        <f t="shared" si="0"/>
        <v>7.9455120141976483E-3</v>
      </c>
      <c r="E25" s="53"/>
    </row>
    <row r="26" spans="1:5" ht="15.75" customHeight="1" x14ac:dyDescent="0.3">
      <c r="C26" s="95">
        <v>1025.8900000000001</v>
      </c>
      <c r="D26" s="88">
        <f t="shared" si="0"/>
        <v>4.2160059437168886E-3</v>
      </c>
      <c r="E26" s="53"/>
    </row>
    <row r="27" spans="1:5" ht="15.75" customHeight="1" x14ac:dyDescent="0.3">
      <c r="C27" s="95">
        <v>1006.3</v>
      </c>
      <c r="D27" s="88">
        <f t="shared" si="0"/>
        <v>-1.4960115820251528E-2</v>
      </c>
      <c r="E27" s="53"/>
    </row>
    <row r="28" spans="1:5" ht="15.75" customHeight="1" x14ac:dyDescent="0.3">
      <c r="C28" s="95">
        <v>1010.05</v>
      </c>
      <c r="D28" s="88">
        <f t="shared" si="0"/>
        <v>-1.1289342128833405E-2</v>
      </c>
      <c r="E28" s="53"/>
    </row>
    <row r="29" spans="1:5" ht="15.75" customHeight="1" x14ac:dyDescent="0.3">
      <c r="C29" s="95">
        <v>1003.57</v>
      </c>
      <c r="D29" s="88">
        <f t="shared" si="0"/>
        <v>-1.7632439067603829E-2</v>
      </c>
      <c r="E29" s="53"/>
    </row>
    <row r="30" spans="1:5" ht="15.75" customHeight="1" x14ac:dyDescent="0.3">
      <c r="C30" s="95">
        <v>1021.92</v>
      </c>
      <c r="D30" s="88">
        <f t="shared" si="0"/>
        <v>3.2988019573543129E-4</v>
      </c>
      <c r="E30" s="53"/>
    </row>
    <row r="31" spans="1:5" ht="15.75" customHeight="1" x14ac:dyDescent="0.3">
      <c r="C31" s="95">
        <v>1009.53</v>
      </c>
      <c r="D31" s="88">
        <f t="shared" si="0"/>
        <v>-1.1798356080710034E-2</v>
      </c>
      <c r="E31" s="53"/>
    </row>
    <row r="32" spans="1:5" ht="15.75" customHeight="1" x14ac:dyDescent="0.3">
      <c r="C32" s="95">
        <v>1020.97</v>
      </c>
      <c r="D32" s="88">
        <f t="shared" si="0"/>
        <v>-6.0004913942375972E-4</v>
      </c>
      <c r="E32" s="53"/>
    </row>
    <row r="33" spans="1:7" ht="15.75" customHeight="1" x14ac:dyDescent="0.3">
      <c r="C33" s="95">
        <v>1006.59</v>
      </c>
      <c r="D33" s="88">
        <f t="shared" si="0"/>
        <v>-1.4676242654781783E-2</v>
      </c>
      <c r="E33" s="53"/>
    </row>
    <row r="34" spans="1:7" ht="15.75" customHeight="1" x14ac:dyDescent="0.3">
      <c r="C34" s="95">
        <v>1035.94</v>
      </c>
      <c r="D34" s="88">
        <f t="shared" si="0"/>
        <v>1.4053679436717413E-2</v>
      </c>
      <c r="E34" s="53"/>
    </row>
    <row r="35" spans="1:7" ht="15.75" customHeight="1" x14ac:dyDescent="0.3">
      <c r="C35" s="95">
        <v>1025.54</v>
      </c>
      <c r="D35" s="88">
        <f t="shared" si="0"/>
        <v>3.8734003991843968E-3</v>
      </c>
      <c r="E35" s="53"/>
    </row>
    <row r="36" spans="1:7" ht="15.75" customHeight="1" x14ac:dyDescent="0.3">
      <c r="C36" s="95">
        <v>1005.48</v>
      </c>
      <c r="D36" s="88">
        <f t="shared" si="0"/>
        <v>-1.5762791667441562E-2</v>
      </c>
      <c r="E36" s="53"/>
    </row>
    <row r="37" spans="1:7" ht="15.75" customHeight="1" x14ac:dyDescent="0.3">
      <c r="C37" s="95">
        <v>1005.91</v>
      </c>
      <c r="D37" s="88">
        <f t="shared" si="0"/>
        <v>-1.5341876284158999E-2</v>
      </c>
      <c r="E37" s="53"/>
    </row>
    <row r="38" spans="1:7" ht="15.75" customHeight="1" x14ac:dyDescent="0.3">
      <c r="C38" s="95">
        <v>1049.17</v>
      </c>
      <c r="D38" s="88">
        <f t="shared" si="0"/>
        <v>2.7004169020040568E-2</v>
      </c>
      <c r="E38" s="53"/>
    </row>
    <row r="39" spans="1:7" ht="15.75" customHeight="1" x14ac:dyDescent="0.3">
      <c r="C39" s="95">
        <v>1029.25</v>
      </c>
      <c r="D39" s="88">
        <f t="shared" si="0"/>
        <v>7.5050191712274289E-3</v>
      </c>
      <c r="E39" s="53"/>
    </row>
    <row r="40" spans="1:7" ht="15.75" customHeight="1" x14ac:dyDescent="0.3">
      <c r="C40" s="95">
        <v>1038.04</v>
      </c>
      <c r="D40" s="88">
        <f t="shared" si="0"/>
        <v>1.6109312703911471E-2</v>
      </c>
      <c r="E40" s="53"/>
    </row>
    <row r="41" spans="1:7" ht="15.75" customHeight="1" x14ac:dyDescent="0.3">
      <c r="C41" s="95">
        <v>1015.62</v>
      </c>
      <c r="D41" s="88">
        <f t="shared" si="0"/>
        <v>-5.8370196058469704E-3</v>
      </c>
      <c r="E41" s="53"/>
    </row>
    <row r="42" spans="1:7" ht="15.75" customHeight="1" x14ac:dyDescent="0.3">
      <c r="C42" s="95">
        <v>1025.6099999999999</v>
      </c>
      <c r="D42" s="88">
        <f t="shared" si="0"/>
        <v>3.9419215080908065E-3</v>
      </c>
      <c r="E42" s="53"/>
    </row>
    <row r="43" spans="1:7" ht="16.5" customHeight="1" x14ac:dyDescent="0.3">
      <c r="C43" s="96">
        <v>1042.32</v>
      </c>
      <c r="D43" s="89">
        <f t="shared" si="0"/>
        <v>2.0298889077049995E-2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20431.66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1021.583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3">
        <f>C46</f>
        <v>1021.583</v>
      </c>
      <c r="C49" s="93">
        <f>-IF(C46&lt;=80,10%,IF(C46&lt;250,7.5%,5%))</f>
        <v>-0.05</v>
      </c>
      <c r="D49" s="81">
        <f>IF(C46&lt;=80,C46*0.9,IF(C46&lt;250,C46*0.925,C46*0.95))</f>
        <v>970.50384999999994</v>
      </c>
    </row>
    <row r="50" spans="1:6" ht="17.25" customHeight="1" x14ac:dyDescent="0.3">
      <c r="B50" s="294"/>
      <c r="C50" s="94">
        <f>IF(C46&lt;=80, 10%, IF(C46&lt;250, 7.5%, 5%))</f>
        <v>0.05</v>
      </c>
      <c r="D50" s="81">
        <f>IF(C46&lt;=80, C46*1.1, IF(C46&lt;250, C46*1.075, C46*1.05))</f>
        <v>1072.6621500000001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5" zoomScale="55" zoomScaleNormal="40" zoomScalePageLayoutView="55" workbookViewId="0">
      <selection activeCell="C117" sqref="C117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301" t="s">
        <v>45</v>
      </c>
      <c r="B1" s="301"/>
      <c r="C1" s="301"/>
      <c r="D1" s="301"/>
      <c r="E1" s="301"/>
      <c r="F1" s="301"/>
      <c r="G1" s="301"/>
      <c r="H1" s="301"/>
      <c r="I1" s="301"/>
    </row>
    <row r="2" spans="1:9" ht="18.75" customHeight="1" x14ac:dyDescent="0.25">
      <c r="A2" s="301"/>
      <c r="B2" s="301"/>
      <c r="C2" s="301"/>
      <c r="D2" s="301"/>
      <c r="E2" s="301"/>
      <c r="F2" s="301"/>
      <c r="G2" s="301"/>
      <c r="H2" s="301"/>
      <c r="I2" s="301"/>
    </row>
    <row r="3" spans="1:9" ht="18.75" customHeight="1" x14ac:dyDescent="0.25">
      <c r="A3" s="301"/>
      <c r="B3" s="301"/>
      <c r="C3" s="301"/>
      <c r="D3" s="301"/>
      <c r="E3" s="301"/>
      <c r="F3" s="301"/>
      <c r="G3" s="301"/>
      <c r="H3" s="301"/>
      <c r="I3" s="301"/>
    </row>
    <row r="4" spans="1:9" ht="18.75" customHeight="1" x14ac:dyDescent="0.25">
      <c r="A4" s="301"/>
      <c r="B4" s="301"/>
      <c r="C4" s="301"/>
      <c r="D4" s="301"/>
      <c r="E4" s="301"/>
      <c r="F4" s="301"/>
      <c r="G4" s="301"/>
      <c r="H4" s="301"/>
      <c r="I4" s="301"/>
    </row>
    <row r="5" spans="1:9" ht="18.75" customHeight="1" x14ac:dyDescent="0.25">
      <c r="A5" s="301"/>
      <c r="B5" s="301"/>
      <c r="C5" s="301"/>
      <c r="D5" s="301"/>
      <c r="E5" s="301"/>
      <c r="F5" s="301"/>
      <c r="G5" s="301"/>
      <c r="H5" s="301"/>
      <c r="I5" s="301"/>
    </row>
    <row r="6" spans="1:9" ht="18.75" customHeight="1" x14ac:dyDescent="0.25">
      <c r="A6" s="301"/>
      <c r="B6" s="301"/>
      <c r="C6" s="301"/>
      <c r="D6" s="301"/>
      <c r="E6" s="301"/>
      <c r="F6" s="301"/>
      <c r="G6" s="301"/>
      <c r="H6" s="301"/>
      <c r="I6" s="301"/>
    </row>
    <row r="7" spans="1:9" ht="18.75" customHeight="1" x14ac:dyDescent="0.25">
      <c r="A7" s="301"/>
      <c r="B7" s="301"/>
      <c r="C7" s="301"/>
      <c r="D7" s="301"/>
      <c r="E7" s="301"/>
      <c r="F7" s="301"/>
      <c r="G7" s="301"/>
      <c r="H7" s="301"/>
      <c r="I7" s="301"/>
    </row>
    <row r="8" spans="1:9" x14ac:dyDescent="0.25">
      <c r="A8" s="302" t="s">
        <v>46</v>
      </c>
      <c r="B8" s="302"/>
      <c r="C8" s="302"/>
      <c r="D8" s="302"/>
      <c r="E8" s="302"/>
      <c r="F8" s="302"/>
      <c r="G8" s="302"/>
      <c r="H8" s="302"/>
      <c r="I8" s="302"/>
    </row>
    <row r="9" spans="1:9" x14ac:dyDescent="0.25">
      <c r="A9" s="302"/>
      <c r="B9" s="302"/>
      <c r="C9" s="302"/>
      <c r="D9" s="302"/>
      <c r="E9" s="302"/>
      <c r="F9" s="302"/>
      <c r="G9" s="302"/>
      <c r="H9" s="302"/>
      <c r="I9" s="302"/>
    </row>
    <row r="10" spans="1:9" x14ac:dyDescent="0.25">
      <c r="A10" s="302"/>
      <c r="B10" s="302"/>
      <c r="C10" s="302"/>
      <c r="D10" s="302"/>
      <c r="E10" s="302"/>
      <c r="F10" s="302"/>
      <c r="G10" s="302"/>
      <c r="H10" s="302"/>
      <c r="I10" s="302"/>
    </row>
    <row r="11" spans="1:9" x14ac:dyDescent="0.25">
      <c r="A11" s="302"/>
      <c r="B11" s="302"/>
      <c r="C11" s="302"/>
      <c r="D11" s="302"/>
      <c r="E11" s="302"/>
      <c r="F11" s="302"/>
      <c r="G11" s="302"/>
      <c r="H11" s="302"/>
      <c r="I11" s="302"/>
    </row>
    <row r="12" spans="1:9" x14ac:dyDescent="0.25">
      <c r="A12" s="302"/>
      <c r="B12" s="302"/>
      <c r="C12" s="302"/>
      <c r="D12" s="302"/>
      <c r="E12" s="302"/>
      <c r="F12" s="302"/>
      <c r="G12" s="302"/>
      <c r="H12" s="302"/>
      <c r="I12" s="302"/>
    </row>
    <row r="13" spans="1:9" x14ac:dyDescent="0.25">
      <c r="A13" s="302"/>
      <c r="B13" s="302"/>
      <c r="C13" s="302"/>
      <c r="D13" s="302"/>
      <c r="E13" s="302"/>
      <c r="F13" s="302"/>
      <c r="G13" s="302"/>
      <c r="H13" s="302"/>
      <c r="I13" s="302"/>
    </row>
    <row r="14" spans="1:9" x14ac:dyDescent="0.25">
      <c r="A14" s="302"/>
      <c r="B14" s="302"/>
      <c r="C14" s="302"/>
      <c r="D14" s="302"/>
      <c r="E14" s="302"/>
      <c r="F14" s="302"/>
      <c r="G14" s="302"/>
      <c r="H14" s="302"/>
      <c r="I14" s="302"/>
    </row>
    <row r="15" spans="1:9" ht="19.5" customHeight="1" thickBot="1" x14ac:dyDescent="0.35">
      <c r="A15" s="205"/>
    </row>
    <row r="16" spans="1:9" ht="19.5" customHeight="1" thickBot="1" x14ac:dyDescent="0.35">
      <c r="A16" s="335" t="s">
        <v>31</v>
      </c>
      <c r="B16" s="336"/>
      <c r="C16" s="336"/>
      <c r="D16" s="336"/>
      <c r="E16" s="336"/>
      <c r="F16" s="336"/>
      <c r="G16" s="336"/>
      <c r="H16" s="337"/>
    </row>
    <row r="17" spans="1:14" ht="20.25" customHeight="1" x14ac:dyDescent="0.25">
      <c r="A17" s="338" t="s">
        <v>47</v>
      </c>
      <c r="B17" s="338"/>
      <c r="C17" s="338"/>
      <c r="D17" s="338"/>
      <c r="E17" s="338"/>
      <c r="F17" s="338"/>
      <c r="G17" s="338"/>
      <c r="H17" s="338"/>
    </row>
    <row r="18" spans="1:14" ht="26.25" customHeight="1" x14ac:dyDescent="0.4">
      <c r="A18" s="100" t="s">
        <v>33</v>
      </c>
      <c r="B18" s="334" t="s">
        <v>5</v>
      </c>
      <c r="C18" s="334"/>
      <c r="D18" s="267"/>
      <c r="E18" s="101"/>
      <c r="F18" s="280"/>
      <c r="G18" s="280"/>
      <c r="H18" s="280"/>
    </row>
    <row r="19" spans="1:14" ht="26.25" customHeight="1" x14ac:dyDescent="0.4">
      <c r="A19" s="100" t="s">
        <v>34</v>
      </c>
      <c r="B19" s="285" t="s">
        <v>7</v>
      </c>
      <c r="C19" s="280">
        <v>29</v>
      </c>
      <c r="D19" s="280"/>
      <c r="E19" s="280"/>
      <c r="F19" s="280"/>
      <c r="G19" s="280"/>
      <c r="H19" s="280"/>
    </row>
    <row r="20" spans="1:14" ht="26.25" customHeight="1" x14ac:dyDescent="0.4">
      <c r="A20" s="100" t="s">
        <v>35</v>
      </c>
      <c r="B20" s="339" t="s">
        <v>128</v>
      </c>
      <c r="C20" s="339"/>
      <c r="D20" s="280"/>
      <c r="E20" s="280"/>
      <c r="F20" s="280"/>
      <c r="G20" s="280"/>
      <c r="H20" s="280"/>
    </row>
    <row r="21" spans="1:14" ht="26.25" customHeight="1" x14ac:dyDescent="0.4">
      <c r="A21" s="100" t="s">
        <v>36</v>
      </c>
      <c r="B21" s="339" t="s">
        <v>11</v>
      </c>
      <c r="C21" s="339"/>
      <c r="D21" s="339"/>
      <c r="E21" s="339"/>
      <c r="F21" s="339"/>
      <c r="G21" s="339"/>
      <c r="H21" s="339"/>
      <c r="I21" s="104"/>
    </row>
    <row r="22" spans="1:14" ht="26.25" customHeight="1" x14ac:dyDescent="0.4">
      <c r="A22" s="100" t="s">
        <v>37</v>
      </c>
      <c r="B22" s="105" t="s">
        <v>12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100" t="s">
        <v>38</v>
      </c>
      <c r="B23" s="105"/>
      <c r="C23" s="280"/>
      <c r="D23" s="280"/>
      <c r="E23" s="280"/>
      <c r="F23" s="280"/>
      <c r="G23" s="280"/>
      <c r="H23" s="280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61" t="s">
        <v>4</v>
      </c>
      <c r="B26" s="334" t="s">
        <v>130</v>
      </c>
      <c r="C26" s="334"/>
    </row>
    <row r="27" spans="1:14" ht="26.25" customHeight="1" x14ac:dyDescent="0.4">
      <c r="A27" s="216" t="s">
        <v>48</v>
      </c>
      <c r="B27" s="332"/>
      <c r="C27" s="332"/>
    </row>
    <row r="28" spans="1:14" ht="27" customHeight="1" thickBot="1" x14ac:dyDescent="0.45">
      <c r="A28" s="216" t="s">
        <v>6</v>
      </c>
      <c r="B28" s="208">
        <v>86.6</v>
      </c>
    </row>
    <row r="29" spans="1:14" s="16" customFormat="1" ht="27" customHeight="1" thickBot="1" x14ac:dyDescent="0.45">
      <c r="A29" s="216" t="s">
        <v>49</v>
      </c>
      <c r="B29" s="111">
        <v>0</v>
      </c>
      <c r="C29" s="309" t="s">
        <v>50</v>
      </c>
      <c r="D29" s="310"/>
      <c r="E29" s="310"/>
      <c r="F29" s="310"/>
      <c r="G29" s="311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51</v>
      </c>
      <c r="B30" s="288">
        <f>B28-B29</f>
        <v>86.6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52</v>
      </c>
      <c r="B31" s="281">
        <v>1</v>
      </c>
      <c r="C31" s="312" t="s">
        <v>53</v>
      </c>
      <c r="D31" s="313"/>
      <c r="E31" s="313"/>
      <c r="F31" s="313"/>
      <c r="G31" s="313"/>
      <c r="H31" s="314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54</v>
      </c>
      <c r="B32" s="281">
        <v>1</v>
      </c>
      <c r="C32" s="312" t="s">
        <v>55</v>
      </c>
      <c r="D32" s="313"/>
      <c r="E32" s="313"/>
      <c r="F32" s="313"/>
      <c r="G32" s="313"/>
      <c r="H32" s="314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88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58</v>
      </c>
      <c r="B36" s="123">
        <v>20</v>
      </c>
      <c r="C36" s="205"/>
      <c r="D36" s="315" t="s">
        <v>59</v>
      </c>
      <c r="E36" s="333"/>
      <c r="F36" s="315" t="s">
        <v>60</v>
      </c>
      <c r="G36" s="316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66</v>
      </c>
      <c r="B38" s="125">
        <v>25</v>
      </c>
      <c r="C38" s="131">
        <v>1</v>
      </c>
      <c r="D38" s="282">
        <v>119486716</v>
      </c>
      <c r="E38" s="133">
        <f>IF(ISBLANK(D38),"-",$D$48/$D$45*D38)</f>
        <v>121500019.93025225</v>
      </c>
      <c r="F38" s="28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67</v>
      </c>
      <c r="B39" s="125">
        <v>1</v>
      </c>
      <c r="C39" s="156">
        <v>2</v>
      </c>
      <c r="D39" s="283">
        <v>118884487</v>
      </c>
      <c r="E39" s="138">
        <f>IF(ISBLANK(D39),"-",$D$48/$D$45*D39)</f>
        <v>120887643.60966967</v>
      </c>
      <c r="F39" s="283">
        <v>115693147</v>
      </c>
      <c r="G39" s="139">
        <f>IF(ISBLANK(F39),"-",$D$48/$F$45*F39)</f>
        <v>120529464.06321496</v>
      </c>
      <c r="I39" s="317">
        <f>ABS((F43/D43*D42)-F42)/D42</f>
        <v>2.8726851879071185E-3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56">
        <v>3</v>
      </c>
      <c r="D40" s="283">
        <v>119086769</v>
      </c>
      <c r="E40" s="138">
        <f>IF(ISBLANK(D40),"-",$D$48/$D$45*D40)</f>
        <v>121093333.98140548</v>
      </c>
      <c r="F40" s="283">
        <v>115954926</v>
      </c>
      <c r="G40" s="139">
        <f>IF(ISBLANK(F40),"-",$D$48/$F$45*F40)</f>
        <v>120802186.20269488</v>
      </c>
      <c r="I40" s="317"/>
      <c r="L40" s="117"/>
      <c r="M40" s="117"/>
      <c r="N40" s="205"/>
    </row>
    <row r="41" spans="1:14" ht="27" customHeight="1" thickBot="1" x14ac:dyDescent="0.45">
      <c r="A41" s="124" t="s">
        <v>69</v>
      </c>
      <c r="B41" s="125">
        <v>1</v>
      </c>
      <c r="C41" s="141">
        <v>4</v>
      </c>
      <c r="D41" s="142">
        <v>119988697</v>
      </c>
      <c r="E41" s="143">
        <f>IF(ISBLANK(D41),"-",$D$48/$D$45*D41)</f>
        <v>122010459.11166391</v>
      </c>
      <c r="F41" s="142">
        <v>116831377</v>
      </c>
      <c r="G41" s="144">
        <f>IF(ISBLANK(F41),"-",$D$48/$F$45*F41)</f>
        <v>121715275.4568723</v>
      </c>
      <c r="I41" s="145"/>
      <c r="L41" s="117"/>
      <c r="M41" s="117"/>
      <c r="N41" s="205"/>
    </row>
    <row r="42" spans="1:14" ht="27" customHeight="1" thickBot="1" x14ac:dyDescent="0.45">
      <c r="A42" s="124" t="s">
        <v>70</v>
      </c>
      <c r="B42" s="125">
        <v>1</v>
      </c>
      <c r="C42" s="146" t="s">
        <v>71</v>
      </c>
      <c r="D42" s="147">
        <f>AVERAGE(D38:D41)</f>
        <v>119361667.25</v>
      </c>
      <c r="E42" s="148">
        <f>AVERAGE(E38:E41)</f>
        <v>121372864.15824783</v>
      </c>
      <c r="F42" s="147">
        <f>AVERAGE(F38:F41)</f>
        <v>116159816.66666667</v>
      </c>
      <c r="G42" s="149">
        <f>AVERAGE(G38:G41)</f>
        <v>121015641.90759404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28.39</v>
      </c>
      <c r="E43" s="205"/>
      <c r="F43" s="152">
        <v>27.71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28.39</v>
      </c>
      <c r="E44" s="224"/>
      <c r="F44" s="154">
        <f>F43*$B$34</f>
        <v>27.71</v>
      </c>
      <c r="H44" s="150"/>
    </row>
    <row r="45" spans="1:14" ht="19.5" customHeight="1" thickBo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24.585740000000001</v>
      </c>
      <c r="E45" s="201"/>
      <c r="F45" s="157">
        <f>F44*$B$30/100</f>
        <v>23.996859999999998</v>
      </c>
      <c r="H45" s="150"/>
    </row>
    <row r="46" spans="1:14" ht="19.5" customHeight="1" thickBot="1" x14ac:dyDescent="0.35">
      <c r="A46" s="303" t="s">
        <v>78</v>
      </c>
      <c r="B46" s="304"/>
      <c r="C46" s="153" t="s">
        <v>79</v>
      </c>
      <c r="D46" s="159">
        <f>D45/$B$45</f>
        <v>0.49171480000000001</v>
      </c>
      <c r="E46" s="160"/>
      <c r="F46" s="161">
        <f>F45/$B$45</f>
        <v>0.47993719999999995</v>
      </c>
      <c r="H46" s="150"/>
    </row>
    <row r="47" spans="1:14" ht="27" customHeight="1" thickBot="1" x14ac:dyDescent="0.45">
      <c r="A47" s="305"/>
      <c r="B47" s="306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thickBot="1" x14ac:dyDescent="0.35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121219768.90796766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4.4251460378198406E-3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7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205" t="s">
        <v>86</v>
      </c>
      <c r="B55" s="177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77" t="s">
        <v>87</v>
      </c>
      <c r="B56" s="178">
        <v>500</v>
      </c>
      <c r="C56" s="205" t="str">
        <f>B20</f>
        <v xml:space="preserve">Amoxicillin </v>
      </c>
      <c r="H56" s="224"/>
    </row>
    <row r="57" spans="1:12" ht="18.75" x14ac:dyDescent="0.3">
      <c r="A57" s="177" t="s">
        <v>88</v>
      </c>
      <c r="B57" s="268">
        <f>Uniformity!C46</f>
        <v>1021.583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 x14ac:dyDescent="0.4">
      <c r="A60" s="124" t="s">
        <v>93</v>
      </c>
      <c r="B60" s="125">
        <v>1</v>
      </c>
      <c r="C60" s="320" t="s">
        <v>94</v>
      </c>
      <c r="D60" s="323">
        <v>127.65</v>
      </c>
      <c r="E60" s="182">
        <v>1</v>
      </c>
      <c r="F60" s="183">
        <v>145102009</v>
      </c>
      <c r="G60" s="269">
        <f>IF(ISBLANK(F60),"-",(F60/$D$50*$D$47*$B$68)*($B$57/$D$60))</f>
        <v>478.98599598244027</v>
      </c>
      <c r="H60" s="184">
        <f t="shared" ref="H60:H71" si="0">IF(ISBLANK(F60),"-",G60/$B$56)</f>
        <v>0.95797199196488059</v>
      </c>
      <c r="L60" s="112"/>
    </row>
    <row r="61" spans="1:12" s="16" customFormat="1" ht="26.25" customHeight="1" x14ac:dyDescent="0.4">
      <c r="A61" s="124" t="s">
        <v>95</v>
      </c>
      <c r="B61" s="125">
        <v>1</v>
      </c>
      <c r="C61" s="321"/>
      <c r="D61" s="324"/>
      <c r="E61" s="185">
        <v>2</v>
      </c>
      <c r="F61" s="283">
        <v>143291654</v>
      </c>
      <c r="G61" s="270">
        <f>IF(ISBLANK(F61),"-",(F61/$D$50*$D$47*$B$68)*($B$57/$D$60))</f>
        <v>473.00996092453289</v>
      </c>
      <c r="H61" s="186">
        <f t="shared" si="0"/>
        <v>0.9460199218490658</v>
      </c>
      <c r="L61" s="112"/>
    </row>
    <row r="62" spans="1:12" s="16" customFormat="1" ht="26.25" customHeight="1" x14ac:dyDescent="0.4">
      <c r="A62" s="124" t="s">
        <v>96</v>
      </c>
      <c r="B62" s="125">
        <v>1</v>
      </c>
      <c r="C62" s="321"/>
      <c r="D62" s="324"/>
      <c r="E62" s="185">
        <v>3</v>
      </c>
      <c r="F62" s="187">
        <v>144074453</v>
      </c>
      <c r="G62" s="270">
        <f>IF(ISBLANK(F62),"-",(F62/$D$50*$D$47*$B$68)*($B$57/$D$60))</f>
        <v>475.59400342851404</v>
      </c>
      <c r="H62" s="186">
        <f t="shared" si="0"/>
        <v>0.95118800685702809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331"/>
      <c r="D63" s="32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135.91</v>
      </c>
      <c r="E64" s="182">
        <v>1</v>
      </c>
      <c r="F64" s="183">
        <v>155967891</v>
      </c>
      <c r="G64" s="271">
        <f>IF(ISBLANK(F64),"-",(F64/$D$50*$D$47*$B$68)*($B$57/$D$64))</f>
        <v>483.5640397488616</v>
      </c>
      <c r="H64" s="190">
        <f t="shared" si="0"/>
        <v>0.96712807949772317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5">
        <v>2</v>
      </c>
      <c r="F65" s="283">
        <v>156397115</v>
      </c>
      <c r="G65" s="272">
        <f>IF(ISBLANK(F65),"-",(F65/$D$50*$D$47*$B$68)*($B$57/$D$64))</f>
        <v>484.89480911469963</v>
      </c>
      <c r="H65" s="191">
        <f t="shared" si="0"/>
        <v>0.96978961822939924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5">
        <v>3</v>
      </c>
      <c r="F66" s="283">
        <v>155198034</v>
      </c>
      <c r="G66" s="272">
        <f>IF(ISBLANK(F66),"-",(F66/$D$50*$D$47*$B$68)*($B$57/$D$64))</f>
        <v>481.1771692297948</v>
      </c>
      <c r="H66" s="191">
        <f t="shared" si="0"/>
        <v>0.96235433845958962</v>
      </c>
    </row>
    <row r="67" spans="1:8" ht="27" customHeight="1" thickBot="1" x14ac:dyDescent="0.45">
      <c r="A67" s="124" t="s">
        <v>102</v>
      </c>
      <c r="B67" s="125">
        <v>1</v>
      </c>
      <c r="C67" s="331"/>
      <c r="D67" s="32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320" t="s">
        <v>104</v>
      </c>
      <c r="D68" s="323">
        <v>160.66</v>
      </c>
      <c r="E68" s="182">
        <v>1</v>
      </c>
      <c r="F68" s="183">
        <v>181639908</v>
      </c>
      <c r="G68" s="271">
        <f>IF(ISBLANK(F68),"-",(F68/$D$50*$D$47*$B$68)*($B$57/$D$68))</f>
        <v>476.40215848499986</v>
      </c>
      <c r="H68" s="186">
        <f t="shared" si="0"/>
        <v>0.95280431696999968</v>
      </c>
    </row>
    <row r="69" spans="1:8" ht="27" customHeight="1" thickBot="1" x14ac:dyDescent="0.45">
      <c r="A69" s="172" t="s">
        <v>105</v>
      </c>
      <c r="B69" s="194">
        <f>(D47*B68)/B56*B57</f>
        <v>102.1583</v>
      </c>
      <c r="C69" s="321"/>
      <c r="D69" s="324"/>
      <c r="E69" s="185">
        <v>2</v>
      </c>
      <c r="F69" s="283">
        <v>182755799</v>
      </c>
      <c r="G69" s="272">
        <f>IF(ISBLANK(F69),"-",(F69/$D$50*$D$47*$B$68)*($B$57/$D$68))</f>
        <v>479.3288990173391</v>
      </c>
      <c r="H69" s="186">
        <f t="shared" si="0"/>
        <v>0.95865779803467821</v>
      </c>
    </row>
    <row r="70" spans="1:8" ht="26.25" customHeight="1" x14ac:dyDescent="0.4">
      <c r="A70" s="326" t="s">
        <v>78</v>
      </c>
      <c r="B70" s="327"/>
      <c r="C70" s="321"/>
      <c r="D70" s="324"/>
      <c r="E70" s="185">
        <v>3</v>
      </c>
      <c r="F70" s="283">
        <v>183853746</v>
      </c>
      <c r="G70" s="272">
        <f>IF(ISBLANK(F70),"-",(F70/$D$50*$D$47*$B$68)*($B$57/$D$68))</f>
        <v>482.20857632207628</v>
      </c>
      <c r="H70" s="186">
        <f t="shared" si="0"/>
        <v>0.96441715264415262</v>
      </c>
    </row>
    <row r="71" spans="1:8" ht="27" customHeight="1" thickBot="1" x14ac:dyDescent="0.45">
      <c r="A71" s="328"/>
      <c r="B71" s="329"/>
      <c r="C71" s="322"/>
      <c r="D71" s="32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224"/>
      <c r="B72" s="224"/>
      <c r="C72" s="224"/>
      <c r="D72" s="224"/>
      <c r="E72" s="224"/>
      <c r="F72" s="198" t="s">
        <v>71</v>
      </c>
      <c r="G72" s="278">
        <f>AVERAGE(G60:G71)</f>
        <v>479.4628458059176</v>
      </c>
      <c r="H72" s="199">
        <f>AVERAGE(H60:H71)</f>
        <v>0.95892569161183538</v>
      </c>
    </row>
    <row r="73" spans="1:8" ht="26.25" customHeight="1" x14ac:dyDescent="0.4">
      <c r="C73" s="224"/>
      <c r="D73" s="224"/>
      <c r="E73" s="224"/>
      <c r="F73" s="200" t="s">
        <v>84</v>
      </c>
      <c r="G73" s="274">
        <f>STDEV(G60:G71)/G72</f>
        <v>8.1789265055452164E-3</v>
      </c>
      <c r="H73" s="274">
        <f>STDEV(H60:H71)/H72</f>
        <v>8.1789265055452129E-3</v>
      </c>
    </row>
    <row r="74" spans="1:8" ht="27" customHeight="1" thickBot="1" x14ac:dyDescent="0.45">
      <c r="A74" s="224"/>
      <c r="B74" s="224"/>
      <c r="C74" s="224"/>
      <c r="D74" s="224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261" t="s">
        <v>106</v>
      </c>
      <c r="B76" s="216" t="s">
        <v>107</v>
      </c>
      <c r="C76" s="307" t="str">
        <f>B20</f>
        <v xml:space="preserve">Amoxicillin </v>
      </c>
      <c r="D76" s="307"/>
      <c r="E76" s="205" t="s">
        <v>108</v>
      </c>
      <c r="F76" s="205"/>
      <c r="G76" s="206">
        <f>H72</f>
        <v>0.95892569161183538</v>
      </c>
      <c r="H76" s="288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261" t="s">
        <v>4</v>
      </c>
      <c r="B79" s="330" t="str">
        <f>B26</f>
        <v>Amoxicillin</v>
      </c>
      <c r="C79" s="330"/>
    </row>
    <row r="80" spans="1:8" ht="26.25" customHeight="1" x14ac:dyDescent="0.4">
      <c r="A80" s="216" t="s">
        <v>48</v>
      </c>
      <c r="B80" s="330">
        <f>B27</f>
        <v>0</v>
      </c>
      <c r="C80" s="330"/>
    </row>
    <row r="81" spans="1:12" ht="27" customHeight="1" thickBot="1" x14ac:dyDescent="0.45">
      <c r="A81" s="216" t="s">
        <v>6</v>
      </c>
      <c r="B81" s="208">
        <f>B28</f>
        <v>86.6</v>
      </c>
    </row>
    <row r="82" spans="1:12" s="16" customFormat="1" ht="27" customHeight="1" thickBot="1" x14ac:dyDescent="0.45">
      <c r="A82" s="216" t="s">
        <v>49</v>
      </c>
      <c r="B82" s="111">
        <v>0</v>
      </c>
      <c r="C82" s="309" t="s">
        <v>50</v>
      </c>
      <c r="D82" s="310"/>
      <c r="E82" s="310"/>
      <c r="F82" s="310"/>
      <c r="G82" s="311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51</v>
      </c>
      <c r="B83" s="288">
        <f>B81-B82</f>
        <v>86.6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52</v>
      </c>
      <c r="B84" s="281">
        <v>1</v>
      </c>
      <c r="C84" s="312" t="s">
        <v>111</v>
      </c>
      <c r="D84" s="313"/>
      <c r="E84" s="313"/>
      <c r="F84" s="313"/>
      <c r="G84" s="313"/>
      <c r="H84" s="314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54</v>
      </c>
      <c r="B85" s="281">
        <v>1</v>
      </c>
      <c r="C85" s="312" t="s">
        <v>112</v>
      </c>
      <c r="D85" s="313"/>
      <c r="E85" s="313"/>
      <c r="F85" s="313"/>
      <c r="G85" s="313"/>
      <c r="H85" s="314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58</v>
      </c>
      <c r="B89" s="123">
        <v>20</v>
      </c>
      <c r="D89" s="286" t="s">
        <v>59</v>
      </c>
      <c r="E89" s="287"/>
      <c r="F89" s="315" t="s">
        <v>60</v>
      </c>
      <c r="G89" s="316"/>
    </row>
    <row r="90" spans="1:12" ht="27" customHeight="1" thickBot="1" x14ac:dyDescent="0.45">
      <c r="A90" s="124" t="s">
        <v>61</v>
      </c>
      <c r="B90" s="125">
        <v>10</v>
      </c>
      <c r="C90" s="289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282">
        <v>94021167</v>
      </c>
      <c r="E91" s="133">
        <f>IF(ISBLANK(D91),"-",$D$101/$D$98*D91)</f>
        <v>125868898.28569812</v>
      </c>
      <c r="F91" s="282">
        <v>102312357</v>
      </c>
      <c r="G91" s="134">
        <f>IF(ISBLANK(F91),"-",$D$101/$F$98*F91)</f>
        <v>121682115.21768978</v>
      </c>
      <c r="I91" s="135"/>
    </row>
    <row r="92" spans="1:12" ht="26.25" customHeight="1" x14ac:dyDescent="0.4">
      <c r="A92" s="124" t="s">
        <v>67</v>
      </c>
      <c r="B92" s="125">
        <v>1</v>
      </c>
      <c r="C92" s="224">
        <v>2</v>
      </c>
      <c r="D92" s="283">
        <v>93592615</v>
      </c>
      <c r="E92" s="138">
        <f>IF(ISBLANK(D92),"-",$D$101/$D$98*D92)</f>
        <v>125295183.13389477</v>
      </c>
      <c r="F92" s="283">
        <v>102198521</v>
      </c>
      <c r="G92" s="139">
        <f>IF(ISBLANK(F92),"-",$D$101/$F$98*F92)</f>
        <v>121546727.80531769</v>
      </c>
      <c r="I92" s="317">
        <f>ABS((F96/D96*D95)-F95)/D95</f>
        <v>1.125626043405676</v>
      </c>
    </row>
    <row r="93" spans="1:12" ht="26.25" customHeight="1" x14ac:dyDescent="0.4">
      <c r="A93" s="124" t="s">
        <v>68</v>
      </c>
      <c r="B93" s="125">
        <v>1</v>
      </c>
      <c r="C93" s="224">
        <v>3</v>
      </c>
      <c r="D93" s="283">
        <v>93489097</v>
      </c>
      <c r="E93" s="138">
        <f>IF(ISBLANK(D93),"-",$D$101/$D$98*D93)</f>
        <v>125156600.54628725</v>
      </c>
      <c r="F93" s="283">
        <v>102392101</v>
      </c>
      <c r="G93" s="139">
        <f>IF(ISBLANK(F93),"-",$D$101/$F$98*F93)</f>
        <v>121776956.33835636</v>
      </c>
      <c r="I93" s="317"/>
    </row>
    <row r="94" spans="1:12" ht="27" customHeight="1" thickBo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70</v>
      </c>
      <c r="B95" s="125">
        <v>1</v>
      </c>
      <c r="C95" s="216" t="s">
        <v>71</v>
      </c>
      <c r="D95" s="217">
        <f>AVERAGE(D91:D94)</f>
        <v>93700959.666666672</v>
      </c>
      <c r="E95" s="148">
        <f>AVERAGE(E91:E94)</f>
        <v>125440227.32196005</v>
      </c>
      <c r="F95" s="218"/>
      <c r="G95" s="219">
        <f>AVERAGE(G91:G94)</f>
        <v>121668599.78712128</v>
      </c>
    </row>
    <row r="96" spans="1:12" ht="26.25" customHeight="1" x14ac:dyDescent="0.4">
      <c r="A96" s="124" t="s">
        <v>72</v>
      </c>
      <c r="B96" s="208">
        <v>1</v>
      </c>
      <c r="C96" s="220" t="s">
        <v>113</v>
      </c>
      <c r="D96" s="221">
        <v>23.96</v>
      </c>
      <c r="E96" s="205"/>
      <c r="F96" s="152">
        <v>26.97</v>
      </c>
    </row>
    <row r="97" spans="1:10" ht="26.25" customHeight="1" x14ac:dyDescent="0.4">
      <c r="A97" s="124" t="s">
        <v>74</v>
      </c>
      <c r="B97" s="208">
        <v>1</v>
      </c>
      <c r="C97" s="222" t="s">
        <v>114</v>
      </c>
      <c r="D97" s="223">
        <f>D96*$B$87</f>
        <v>23.96</v>
      </c>
      <c r="E97" s="224"/>
      <c r="F97" s="154">
        <f>F96*$B$87</f>
        <v>26.97</v>
      </c>
    </row>
    <row r="98" spans="1:10" ht="19.5" customHeight="1" thickBot="1" x14ac:dyDescent="0.35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20.749360000000003</v>
      </c>
      <c r="E98" s="201"/>
      <c r="F98" s="157">
        <f>F97*$B$83/100</f>
        <v>23.356019999999997</v>
      </c>
    </row>
    <row r="99" spans="1:10" ht="19.5" customHeight="1" thickBot="1" x14ac:dyDescent="0.35">
      <c r="A99" s="303" t="s">
        <v>78</v>
      </c>
      <c r="B99" s="318"/>
      <c r="C99" s="222" t="s">
        <v>116</v>
      </c>
      <c r="D99" s="226">
        <f>D98/$B$98</f>
        <v>0.41498720000000006</v>
      </c>
      <c r="E99" s="201"/>
      <c r="F99" s="161">
        <f>F98/$B$98</f>
        <v>0.46712039999999994</v>
      </c>
      <c r="H99" s="150"/>
    </row>
    <row r="100" spans="1:10" ht="19.5" customHeight="1" thickBot="1" x14ac:dyDescent="0.35">
      <c r="A100" s="305"/>
      <c r="B100" s="319"/>
      <c r="C100" s="222" t="s">
        <v>80</v>
      </c>
      <c r="D100" s="228">
        <f>$B$56/$B$116</f>
        <v>0.55555555555555558</v>
      </c>
      <c r="F100" s="166"/>
      <c r="G100" s="235"/>
      <c r="H100" s="150"/>
    </row>
    <row r="101" spans="1:10" ht="18.75" x14ac:dyDescent="0.3">
      <c r="C101" s="222" t="s">
        <v>81</v>
      </c>
      <c r="D101" s="223">
        <f>D100*$B$98</f>
        <v>27.777777777777779</v>
      </c>
      <c r="F101" s="166"/>
      <c r="H101" s="150"/>
    </row>
    <row r="102" spans="1:10" ht="19.5" customHeight="1" thickBot="1" x14ac:dyDescent="0.35">
      <c r="C102" s="230" t="s">
        <v>82</v>
      </c>
      <c r="D102" s="231">
        <f>D101/B34</f>
        <v>27.777777777777779</v>
      </c>
      <c r="F102" s="170"/>
      <c r="H102" s="150"/>
      <c r="J102" s="232"/>
    </row>
    <row r="103" spans="1:10" ht="18.75" x14ac:dyDescent="0.3">
      <c r="C103" s="233" t="s">
        <v>117</v>
      </c>
      <c r="D103" s="234">
        <f>AVERAGE(E91:E94,G91:G94)</f>
        <v>123554413.55454065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1.6841604534726794E-2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86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109052882</v>
      </c>
      <c r="E108" s="275">
        <f t="shared" ref="E108:E113" si="1">IF(ISBLANK(D108),"-",D108/$D$103*$D$100*$B$116)</f>
        <v>441.31520219575475</v>
      </c>
      <c r="F108" s="245">
        <f t="shared" ref="F108:F113" si="2">IF(ISBLANK(D108), "-", E108/$B$56)</f>
        <v>0.88263040439150953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109027965</v>
      </c>
      <c r="E109" s="276">
        <f t="shared" si="1"/>
        <v>441.21436808031052</v>
      </c>
      <c r="F109" s="246">
        <f t="shared" si="2"/>
        <v>0.88242873616062101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105108807</v>
      </c>
      <c r="E110" s="276">
        <f t="shared" si="1"/>
        <v>425.35431951041477</v>
      </c>
      <c r="F110" s="246">
        <f t="shared" si="2"/>
        <v>0.85070863902082949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104917538</v>
      </c>
      <c r="E111" s="276">
        <f t="shared" si="1"/>
        <v>424.58029212241064</v>
      </c>
      <c r="F111" s="246">
        <f t="shared" si="2"/>
        <v>0.84916058424482133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111194822</v>
      </c>
      <c r="E112" s="276">
        <f t="shared" si="1"/>
        <v>449.98320497436237</v>
      </c>
      <c r="F112" s="246">
        <f t="shared" si="2"/>
        <v>0.89996640994872468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105472394</v>
      </c>
      <c r="E113" s="277">
        <f t="shared" si="1"/>
        <v>426.82568337974146</v>
      </c>
      <c r="F113" s="249">
        <f t="shared" si="2"/>
        <v>0.85365136675948294</v>
      </c>
    </row>
    <row r="114" spans="1:10" ht="26.25" customHeight="1" x14ac:dyDescent="0.4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434.87884504383237</v>
      </c>
      <c r="F115" s="252">
        <f>AVERAGE(F108:F113)</f>
        <v>0.86975769008766479</v>
      </c>
    </row>
    <row r="116" spans="1:10" ht="27" customHeight="1" thickBot="1" x14ac:dyDescent="0.4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2.4580632464082531E-2</v>
      </c>
      <c r="F116" s="254">
        <f>STDEV(F108:F113)/F115</f>
        <v>2.4580632464082507E-2</v>
      </c>
      <c r="I116" s="205"/>
    </row>
    <row r="117" spans="1:10" ht="27" customHeight="1" thickBot="1" x14ac:dyDescent="0.45">
      <c r="A117" s="303" t="s">
        <v>78</v>
      </c>
      <c r="B117" s="30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205"/>
      <c r="J117" s="236"/>
    </row>
    <row r="118" spans="1:10" ht="19.5" customHeight="1" thickBot="1" x14ac:dyDescent="0.35">
      <c r="A118" s="305"/>
      <c r="B118" s="306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6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61" t="s">
        <v>106</v>
      </c>
      <c r="B120" s="216" t="s">
        <v>123</v>
      </c>
      <c r="C120" s="307" t="str">
        <f>B20</f>
        <v xml:space="preserve">Amoxicillin </v>
      </c>
      <c r="D120" s="307"/>
      <c r="E120" s="205" t="s">
        <v>124</v>
      </c>
      <c r="F120" s="205"/>
      <c r="G120" s="206">
        <f>F115</f>
        <v>0.86975769008766479</v>
      </c>
      <c r="H120" s="205"/>
      <c r="I120" s="205"/>
    </row>
    <row r="121" spans="1:10" ht="19.5" customHeight="1" thickBot="1" x14ac:dyDescent="0.35">
      <c r="A121" s="290"/>
      <c r="B121" s="290"/>
      <c r="C121" s="259"/>
      <c r="D121" s="259"/>
      <c r="E121" s="259"/>
      <c r="F121" s="259"/>
      <c r="G121" s="259"/>
      <c r="H121" s="259"/>
    </row>
    <row r="122" spans="1:10" ht="18.75" x14ac:dyDescent="0.3">
      <c r="B122" s="308" t="s">
        <v>26</v>
      </c>
      <c r="C122" s="308"/>
      <c r="E122" s="289" t="s">
        <v>27</v>
      </c>
      <c r="F122" s="260"/>
      <c r="G122" s="308" t="s">
        <v>28</v>
      </c>
      <c r="H122" s="308"/>
    </row>
    <row r="123" spans="1:10" ht="69.95" customHeight="1" x14ac:dyDescent="0.3">
      <c r="A123" s="261" t="s">
        <v>29</v>
      </c>
      <c r="B123" s="263"/>
      <c r="C123" s="263"/>
      <c r="E123" s="263"/>
      <c r="F123" s="205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205"/>
      <c r="G124" s="265"/>
      <c r="H124" s="265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8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301" t="s">
        <v>45</v>
      </c>
      <c r="B1" s="301"/>
      <c r="C1" s="301"/>
      <c r="D1" s="301"/>
      <c r="E1" s="301"/>
      <c r="F1" s="301"/>
      <c r="G1" s="301"/>
      <c r="H1" s="301"/>
      <c r="I1" s="301"/>
    </row>
    <row r="2" spans="1:9" ht="18.75" customHeight="1" x14ac:dyDescent="0.25">
      <c r="A2" s="301"/>
      <c r="B2" s="301"/>
      <c r="C2" s="301"/>
      <c r="D2" s="301"/>
      <c r="E2" s="301"/>
      <c r="F2" s="301"/>
      <c r="G2" s="301"/>
      <c r="H2" s="301"/>
      <c r="I2" s="301"/>
    </row>
    <row r="3" spans="1:9" ht="18.75" customHeight="1" x14ac:dyDescent="0.25">
      <c r="A3" s="301"/>
      <c r="B3" s="301"/>
      <c r="C3" s="301"/>
      <c r="D3" s="301"/>
      <c r="E3" s="301"/>
      <c r="F3" s="301"/>
      <c r="G3" s="301"/>
      <c r="H3" s="301"/>
      <c r="I3" s="301"/>
    </row>
    <row r="4" spans="1:9" ht="18.75" customHeight="1" x14ac:dyDescent="0.25">
      <c r="A4" s="301"/>
      <c r="B4" s="301"/>
      <c r="C4" s="301"/>
      <c r="D4" s="301"/>
      <c r="E4" s="301"/>
      <c r="F4" s="301"/>
      <c r="G4" s="301"/>
      <c r="H4" s="301"/>
      <c r="I4" s="301"/>
    </row>
    <row r="5" spans="1:9" ht="18.75" customHeight="1" x14ac:dyDescent="0.25">
      <c r="A5" s="301"/>
      <c r="B5" s="301"/>
      <c r="C5" s="301"/>
      <c r="D5" s="301"/>
      <c r="E5" s="301"/>
      <c r="F5" s="301"/>
      <c r="G5" s="301"/>
      <c r="H5" s="301"/>
      <c r="I5" s="301"/>
    </row>
    <row r="6" spans="1:9" ht="18.75" customHeight="1" x14ac:dyDescent="0.25">
      <c r="A6" s="301"/>
      <c r="B6" s="301"/>
      <c r="C6" s="301"/>
      <c r="D6" s="301"/>
      <c r="E6" s="301"/>
      <c r="F6" s="301"/>
      <c r="G6" s="301"/>
      <c r="H6" s="301"/>
      <c r="I6" s="301"/>
    </row>
    <row r="7" spans="1:9" ht="18.75" customHeight="1" x14ac:dyDescent="0.25">
      <c r="A7" s="301"/>
      <c r="B7" s="301"/>
      <c r="C7" s="301"/>
      <c r="D7" s="301"/>
      <c r="E7" s="301"/>
      <c r="F7" s="301"/>
      <c r="G7" s="301"/>
      <c r="H7" s="301"/>
      <c r="I7" s="301"/>
    </row>
    <row r="8" spans="1:9" x14ac:dyDescent="0.25">
      <c r="A8" s="302" t="s">
        <v>46</v>
      </c>
      <c r="B8" s="302"/>
      <c r="C8" s="302"/>
      <c r="D8" s="302"/>
      <c r="E8" s="302"/>
      <c r="F8" s="302"/>
      <c r="G8" s="302"/>
      <c r="H8" s="302"/>
      <c r="I8" s="302"/>
    </row>
    <row r="9" spans="1:9" x14ac:dyDescent="0.25">
      <c r="A9" s="302"/>
      <c r="B9" s="302"/>
      <c r="C9" s="302"/>
      <c r="D9" s="302"/>
      <c r="E9" s="302"/>
      <c r="F9" s="302"/>
      <c r="G9" s="302"/>
      <c r="H9" s="302"/>
      <c r="I9" s="302"/>
    </row>
    <row r="10" spans="1:9" x14ac:dyDescent="0.25">
      <c r="A10" s="302"/>
      <c r="B10" s="302"/>
      <c r="C10" s="302"/>
      <c r="D10" s="302"/>
      <c r="E10" s="302"/>
      <c r="F10" s="302"/>
      <c r="G10" s="302"/>
      <c r="H10" s="302"/>
      <c r="I10" s="302"/>
    </row>
    <row r="11" spans="1:9" x14ac:dyDescent="0.25">
      <c r="A11" s="302"/>
      <c r="B11" s="302"/>
      <c r="C11" s="302"/>
      <c r="D11" s="302"/>
      <c r="E11" s="302"/>
      <c r="F11" s="302"/>
      <c r="G11" s="302"/>
      <c r="H11" s="302"/>
      <c r="I11" s="302"/>
    </row>
    <row r="12" spans="1:9" x14ac:dyDescent="0.25">
      <c r="A12" s="302"/>
      <c r="B12" s="302"/>
      <c r="C12" s="302"/>
      <c r="D12" s="302"/>
      <c r="E12" s="302"/>
      <c r="F12" s="302"/>
      <c r="G12" s="302"/>
      <c r="H12" s="302"/>
      <c r="I12" s="302"/>
    </row>
    <row r="13" spans="1:9" x14ac:dyDescent="0.25">
      <c r="A13" s="302"/>
      <c r="B13" s="302"/>
      <c r="C13" s="302"/>
      <c r="D13" s="302"/>
      <c r="E13" s="302"/>
      <c r="F13" s="302"/>
      <c r="G13" s="302"/>
      <c r="H13" s="302"/>
      <c r="I13" s="302"/>
    </row>
    <row r="14" spans="1:9" x14ac:dyDescent="0.25">
      <c r="A14" s="302"/>
      <c r="B14" s="302"/>
      <c r="C14" s="302"/>
      <c r="D14" s="302"/>
      <c r="E14" s="302"/>
      <c r="F14" s="302"/>
      <c r="G14" s="302"/>
      <c r="H14" s="302"/>
      <c r="I14" s="302"/>
    </row>
    <row r="15" spans="1:9" ht="19.5" customHeight="1" thickBot="1" x14ac:dyDescent="0.35">
      <c r="A15" s="205"/>
    </row>
    <row r="16" spans="1:9" ht="19.5" customHeight="1" thickBot="1" x14ac:dyDescent="0.35">
      <c r="A16" s="335" t="s">
        <v>31</v>
      </c>
      <c r="B16" s="336"/>
      <c r="C16" s="336"/>
      <c r="D16" s="336"/>
      <c r="E16" s="336"/>
      <c r="F16" s="336"/>
      <c r="G16" s="336"/>
      <c r="H16" s="337"/>
    </row>
    <row r="17" spans="1:14" ht="20.25" customHeight="1" x14ac:dyDescent="0.25">
      <c r="A17" s="338" t="s">
        <v>47</v>
      </c>
      <c r="B17" s="338"/>
      <c r="C17" s="338"/>
      <c r="D17" s="338"/>
      <c r="E17" s="338"/>
      <c r="F17" s="338"/>
      <c r="G17" s="338"/>
      <c r="H17" s="338"/>
    </row>
    <row r="18" spans="1:14" ht="26.25" customHeight="1" x14ac:dyDescent="0.4">
      <c r="A18" s="100" t="s">
        <v>33</v>
      </c>
      <c r="B18" s="334" t="s">
        <v>5</v>
      </c>
      <c r="C18" s="334"/>
      <c r="D18" s="267"/>
      <c r="E18" s="101"/>
      <c r="F18" s="280"/>
      <c r="G18" s="280"/>
      <c r="H18" s="280"/>
    </row>
    <row r="19" spans="1:14" ht="26.25" customHeight="1" x14ac:dyDescent="0.4">
      <c r="A19" s="100" t="s">
        <v>34</v>
      </c>
      <c r="B19" s="285" t="s">
        <v>7</v>
      </c>
      <c r="C19" s="280">
        <v>29</v>
      </c>
      <c r="D19" s="280"/>
      <c r="E19" s="280"/>
      <c r="F19" s="280"/>
      <c r="G19" s="280"/>
      <c r="H19" s="280"/>
    </row>
    <row r="20" spans="1:14" ht="26.25" customHeight="1" x14ac:dyDescent="0.4">
      <c r="A20" s="100" t="s">
        <v>35</v>
      </c>
      <c r="B20" s="339" t="s">
        <v>127</v>
      </c>
      <c r="C20" s="339"/>
      <c r="D20" s="280"/>
      <c r="E20" s="280"/>
      <c r="F20" s="280"/>
      <c r="G20" s="280"/>
      <c r="H20" s="280"/>
    </row>
    <row r="21" spans="1:14" ht="26.25" customHeight="1" x14ac:dyDescent="0.4">
      <c r="A21" s="100" t="s">
        <v>36</v>
      </c>
      <c r="B21" s="339" t="s">
        <v>11</v>
      </c>
      <c r="C21" s="339"/>
      <c r="D21" s="339"/>
      <c r="E21" s="339"/>
      <c r="F21" s="339"/>
      <c r="G21" s="339"/>
      <c r="H21" s="339"/>
      <c r="I21" s="104"/>
    </row>
    <row r="22" spans="1:14" ht="26.25" customHeight="1" x14ac:dyDescent="0.4">
      <c r="A22" s="100" t="s">
        <v>37</v>
      </c>
      <c r="B22" s="105" t="s">
        <v>12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100" t="s">
        <v>38</v>
      </c>
      <c r="B23" s="105"/>
      <c r="C23" s="280"/>
      <c r="D23" s="280"/>
      <c r="E23" s="280"/>
      <c r="F23" s="280"/>
      <c r="G23" s="280"/>
      <c r="H23" s="280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61" t="s">
        <v>4</v>
      </c>
      <c r="B26" s="334" t="s">
        <v>131</v>
      </c>
      <c r="C26" s="334"/>
    </row>
    <row r="27" spans="1:14" ht="26.25" customHeight="1" x14ac:dyDescent="0.4">
      <c r="A27" s="216" t="s">
        <v>48</v>
      </c>
      <c r="B27" s="332"/>
      <c r="C27" s="332"/>
    </row>
    <row r="28" spans="1:14" ht="27" customHeight="1" thickBot="1" x14ac:dyDescent="0.45">
      <c r="A28" s="216" t="s">
        <v>6</v>
      </c>
      <c r="B28" s="208">
        <v>96.4</v>
      </c>
    </row>
    <row r="29" spans="1:14" s="16" customFormat="1" ht="27" customHeight="1" thickBot="1" x14ac:dyDescent="0.45">
      <c r="A29" s="216" t="s">
        <v>49</v>
      </c>
      <c r="B29" s="111">
        <v>0</v>
      </c>
      <c r="C29" s="309" t="s">
        <v>50</v>
      </c>
      <c r="D29" s="310"/>
      <c r="E29" s="310"/>
      <c r="F29" s="310"/>
      <c r="G29" s="311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51</v>
      </c>
      <c r="B30" s="288">
        <f>B28-B29</f>
        <v>96.4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52</v>
      </c>
      <c r="B31" s="281">
        <v>1</v>
      </c>
      <c r="C31" s="312" t="s">
        <v>53</v>
      </c>
      <c r="D31" s="313"/>
      <c r="E31" s="313"/>
      <c r="F31" s="313"/>
      <c r="G31" s="313"/>
      <c r="H31" s="314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54</v>
      </c>
      <c r="B32" s="281">
        <v>1</v>
      </c>
      <c r="C32" s="312" t="s">
        <v>55</v>
      </c>
      <c r="D32" s="313"/>
      <c r="E32" s="313"/>
      <c r="F32" s="313"/>
      <c r="G32" s="313"/>
      <c r="H32" s="314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88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58</v>
      </c>
      <c r="B36" s="123">
        <v>20</v>
      </c>
      <c r="C36" s="205"/>
      <c r="D36" s="315" t="s">
        <v>59</v>
      </c>
      <c r="E36" s="333"/>
      <c r="F36" s="315" t="s">
        <v>60</v>
      </c>
      <c r="G36" s="316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66</v>
      </c>
      <c r="B38" s="125">
        <v>25</v>
      </c>
      <c r="C38" s="131">
        <v>1</v>
      </c>
      <c r="D38" s="282">
        <v>34051367</v>
      </c>
      <c r="E38" s="133">
        <f>IF(ISBLANK(D38),"-",$D$48/$D$45*D38)</f>
        <v>36197527.067222103</v>
      </c>
      <c r="F38" s="282">
        <v>34853336</v>
      </c>
      <c r="G38" s="134">
        <f>IF(ISBLANK(F38),"-",$D$48/$F$45*F38)</f>
        <v>34647072.277551502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67</v>
      </c>
      <c r="B39" s="125">
        <v>1</v>
      </c>
      <c r="C39" s="156">
        <v>2</v>
      </c>
      <c r="D39" s="283">
        <v>33865721</v>
      </c>
      <c r="E39" s="138">
        <f>IF(ISBLANK(D39),"-",$D$48/$D$45*D39)</f>
        <v>36000180.331923008</v>
      </c>
      <c r="F39" s="283">
        <v>36804197</v>
      </c>
      <c r="G39" s="139">
        <f>IF(ISBLANK(F39),"-",$D$48/$F$45*F39)</f>
        <v>36586387.988118105</v>
      </c>
      <c r="I39" s="317">
        <f>ABS((F43/D43*D42)-F42)/D42</f>
        <v>4.3503798812068381E-3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56">
        <v>3</v>
      </c>
      <c r="D40" s="283">
        <v>33830952</v>
      </c>
      <c r="E40" s="138">
        <f>IF(ISBLANK(D40),"-",$D$48/$D$45*D40)</f>
        <v>35963219.941504605</v>
      </c>
      <c r="F40" s="283">
        <v>36704664</v>
      </c>
      <c r="G40" s="139">
        <f>IF(ISBLANK(F40),"-",$D$48/$F$45*F40)</f>
        <v>36487444.029209793</v>
      </c>
      <c r="I40" s="317"/>
      <c r="L40" s="117"/>
      <c r="M40" s="117"/>
      <c r="N40" s="205"/>
    </row>
    <row r="41" spans="1:14" ht="27" customHeight="1" thickBo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45">
      <c r="A42" s="124" t="s">
        <v>70</v>
      </c>
      <c r="B42" s="125">
        <v>1</v>
      </c>
      <c r="C42" s="146" t="s">
        <v>71</v>
      </c>
      <c r="D42" s="147">
        <f>AVERAGE(D38:D41)</f>
        <v>33916013.333333336</v>
      </c>
      <c r="E42" s="148">
        <f>AVERAGE(E38:E41)</f>
        <v>36053642.446883239</v>
      </c>
      <c r="F42" s="147">
        <f>AVERAGE(F38:F41)</f>
        <v>36120732.333333336</v>
      </c>
      <c r="G42" s="149">
        <f>AVERAGE(G38:G41)</f>
        <v>35906968.098293133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20.329999999999998</v>
      </c>
      <c r="E43" s="205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20.329999999999998</v>
      </c>
      <c r="E44" s="224"/>
      <c r="F44" s="154">
        <f>F43*$B$34</f>
        <v>21.74</v>
      </c>
      <c r="H44" s="150"/>
    </row>
    <row r="45" spans="1:14" ht="19.5" customHeight="1" thickBot="1" x14ac:dyDescent="0.35">
      <c r="A45" s="124" t="s">
        <v>76</v>
      </c>
      <c r="B45" s="156">
        <f>(B44/B43)*(B42/B41)*(B40/B39)*(B38/B37)*B36</f>
        <v>166.66666666666669</v>
      </c>
      <c r="C45" s="153" t="s">
        <v>77</v>
      </c>
      <c r="D45" s="157">
        <f>D44*$B$30/100</f>
        <v>19.598119999999998</v>
      </c>
      <c r="E45" s="201"/>
      <c r="F45" s="157">
        <f>F44*$B$30/100</f>
        <v>20.957359999999998</v>
      </c>
      <c r="H45" s="150"/>
    </row>
    <row r="46" spans="1:14" ht="19.5" customHeight="1" thickBot="1" x14ac:dyDescent="0.35">
      <c r="A46" s="303" t="s">
        <v>78</v>
      </c>
      <c r="B46" s="304"/>
      <c r="C46" s="153" t="s">
        <v>79</v>
      </c>
      <c r="D46" s="159">
        <f>D45/$B$45</f>
        <v>0.11758871999999998</v>
      </c>
      <c r="E46" s="160"/>
      <c r="F46" s="161">
        <f>F45/$B$45</f>
        <v>0.12574415999999997</v>
      </c>
      <c r="H46" s="150"/>
    </row>
    <row r="47" spans="1:14" ht="27" customHeight="1" thickBot="1" x14ac:dyDescent="0.45">
      <c r="A47" s="305"/>
      <c r="B47" s="306"/>
      <c r="C47" s="162" t="s">
        <v>80</v>
      </c>
      <c r="D47" s="163">
        <v>0.125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20.833333333333336</v>
      </c>
      <c r="F48" s="166"/>
      <c r="H48" s="150"/>
    </row>
    <row r="49" spans="1:12" ht="19.5" customHeight="1" thickBot="1" x14ac:dyDescent="0.35">
      <c r="C49" s="167" t="s">
        <v>82</v>
      </c>
      <c r="D49" s="168">
        <f>D48/B34</f>
        <v>20.833333333333336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35980305.272588186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1.945472427681345E-2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205" t="s">
        <v>86</v>
      </c>
      <c r="B55" s="177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77" t="s">
        <v>87</v>
      </c>
      <c r="B56" s="178">
        <v>125</v>
      </c>
      <c r="C56" s="205" t="str">
        <f>B20</f>
        <v xml:space="preserve"> Clavulanic acid</v>
      </c>
      <c r="H56" s="224"/>
    </row>
    <row r="57" spans="1:12" ht="18.75" x14ac:dyDescent="0.3">
      <c r="A57" s="177" t="s">
        <v>88</v>
      </c>
      <c r="B57" s="268">
        <f>Uniformity!C46</f>
        <v>1021.583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 x14ac:dyDescent="0.4">
      <c r="A60" s="124" t="s">
        <v>93</v>
      </c>
      <c r="B60" s="125">
        <v>1</v>
      </c>
      <c r="C60" s="320" t="s">
        <v>94</v>
      </c>
      <c r="D60" s="323">
        <v>127.65</v>
      </c>
      <c r="E60" s="182">
        <v>1</v>
      </c>
      <c r="F60" s="183">
        <v>24716827</v>
      </c>
      <c r="G60" s="269">
        <f>IF(ISBLANK(F60),"-",(F60/$D$50*$D$47*$B$68)*($B$57/$D$60))</f>
        <v>68.721198536211816</v>
      </c>
      <c r="H60" s="184">
        <f t="shared" ref="H60:H71" si="0">IF(ISBLANK(F60),"-",G60/$B$56)</f>
        <v>0.54976958828969458</v>
      </c>
      <c r="L60" s="112"/>
    </row>
    <row r="61" spans="1:12" s="16" customFormat="1" ht="26.25" customHeight="1" x14ac:dyDescent="0.4">
      <c r="A61" s="124" t="s">
        <v>95</v>
      </c>
      <c r="B61" s="125">
        <v>1</v>
      </c>
      <c r="C61" s="321"/>
      <c r="D61" s="324"/>
      <c r="E61" s="185">
        <v>2</v>
      </c>
      <c r="F61" s="283">
        <v>24453675</v>
      </c>
      <c r="G61" s="270">
        <f>IF(ISBLANK(F61),"-",(F61/$D$50*$D$47*$B$68)*($B$57/$D$60))</f>
        <v>67.98954633679314</v>
      </c>
      <c r="H61" s="186">
        <f t="shared" si="0"/>
        <v>0.54391637069434506</v>
      </c>
      <c r="L61" s="112"/>
    </row>
    <row r="62" spans="1:12" s="16" customFormat="1" ht="26.25" customHeight="1" x14ac:dyDescent="0.4">
      <c r="A62" s="124" t="s">
        <v>96</v>
      </c>
      <c r="B62" s="125">
        <v>1</v>
      </c>
      <c r="C62" s="321"/>
      <c r="D62" s="324"/>
      <c r="E62" s="185">
        <v>3</v>
      </c>
      <c r="F62" s="187">
        <v>24386550</v>
      </c>
      <c r="G62" s="270">
        <f>IF(ISBLANK(F62),"-",(F62/$D$50*$D$47*$B$68)*($B$57/$D$60))</f>
        <v>67.802915971506224</v>
      </c>
      <c r="H62" s="186">
        <f t="shared" si="0"/>
        <v>0.54242332777204982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331"/>
      <c r="D63" s="32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135.91</v>
      </c>
      <c r="E64" s="182">
        <v>1</v>
      </c>
      <c r="F64" s="183">
        <v>26345547</v>
      </c>
      <c r="G64" s="271">
        <f>IF(ISBLANK(F64),"-",(F64/$D$50*$D$47*$B$68)*($B$57/$D$64))</f>
        <v>68.797813214538593</v>
      </c>
      <c r="H64" s="190">
        <f t="shared" si="0"/>
        <v>0.55038250571630876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5">
        <v>2</v>
      </c>
      <c r="F65" s="283">
        <v>26438451</v>
      </c>
      <c r="G65" s="272">
        <f>IF(ISBLANK(F65),"-",(F65/$D$50*$D$47*$B$68)*($B$57/$D$64))</f>
        <v>69.040419376364866</v>
      </c>
      <c r="H65" s="191">
        <f t="shared" si="0"/>
        <v>0.55232335501091889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5">
        <v>3</v>
      </c>
      <c r="F66" s="283">
        <v>26058425</v>
      </c>
      <c r="G66" s="272">
        <f>IF(ISBLANK(F66),"-",(F66/$D$50*$D$47*$B$68)*($B$57/$D$64))</f>
        <v>68.048033157750069</v>
      </c>
      <c r="H66" s="191">
        <f t="shared" si="0"/>
        <v>0.54438426526200057</v>
      </c>
    </row>
    <row r="67" spans="1:8" ht="27" customHeight="1" thickBot="1" x14ac:dyDescent="0.45">
      <c r="A67" s="124" t="s">
        <v>102</v>
      </c>
      <c r="B67" s="125">
        <v>1</v>
      </c>
      <c r="C67" s="331"/>
      <c r="D67" s="32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320" t="s">
        <v>104</v>
      </c>
      <c r="D68" s="323">
        <v>160.66</v>
      </c>
      <c r="E68" s="182">
        <v>1</v>
      </c>
      <c r="F68" s="183">
        <v>30475019</v>
      </c>
      <c r="G68" s="271">
        <f>IF(ISBLANK(F68),"-",(F68/$D$50*$D$47*$B$68)*($B$57/$D$68))</f>
        <v>67.321696087565357</v>
      </c>
      <c r="H68" s="186">
        <f t="shared" si="0"/>
        <v>0.53857356870052286</v>
      </c>
    </row>
    <row r="69" spans="1:8" ht="27" customHeight="1" thickBot="1" x14ac:dyDescent="0.45">
      <c r="A69" s="172" t="s">
        <v>105</v>
      </c>
      <c r="B69" s="194">
        <f>(D47*B68)/B56*B57</f>
        <v>102.1583</v>
      </c>
      <c r="C69" s="321"/>
      <c r="D69" s="324"/>
      <c r="E69" s="185">
        <v>2</v>
      </c>
      <c r="F69" s="283">
        <v>30747974</v>
      </c>
      <c r="G69" s="272">
        <f>IF(ISBLANK(F69),"-",(F69/$D$50*$D$47*$B$68)*($B$57/$D$68))</f>
        <v>67.92467499155164</v>
      </c>
      <c r="H69" s="186">
        <f t="shared" si="0"/>
        <v>0.54339739993241309</v>
      </c>
    </row>
    <row r="70" spans="1:8" ht="26.25" customHeight="1" x14ac:dyDescent="0.4">
      <c r="A70" s="326" t="s">
        <v>78</v>
      </c>
      <c r="B70" s="327"/>
      <c r="C70" s="321"/>
      <c r="D70" s="324"/>
      <c r="E70" s="185">
        <v>3</v>
      </c>
      <c r="F70" s="283">
        <v>30841699</v>
      </c>
      <c r="G70" s="272">
        <f>IF(ISBLANK(F70),"-",(F70/$D$50*$D$47*$B$68)*($B$57/$D$68))</f>
        <v>68.131720833452746</v>
      </c>
      <c r="H70" s="186">
        <f t="shared" si="0"/>
        <v>0.54505376666762195</v>
      </c>
    </row>
    <row r="71" spans="1:8" ht="27" customHeight="1" thickBot="1" x14ac:dyDescent="0.45">
      <c r="A71" s="328"/>
      <c r="B71" s="329"/>
      <c r="C71" s="322"/>
      <c r="D71" s="32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224"/>
      <c r="B72" s="224"/>
      <c r="C72" s="224"/>
      <c r="D72" s="224"/>
      <c r="E72" s="224"/>
      <c r="F72" s="198" t="s">
        <v>71</v>
      </c>
      <c r="G72" s="278">
        <f>AVERAGE(G60:G71)</f>
        <v>68.19755761174828</v>
      </c>
      <c r="H72" s="199">
        <f>AVERAGE(H60:H71)</f>
        <v>0.54558046089398615</v>
      </c>
    </row>
    <row r="73" spans="1:8" ht="26.25" customHeight="1" x14ac:dyDescent="0.4">
      <c r="C73" s="224"/>
      <c r="D73" s="224"/>
      <c r="E73" s="224"/>
      <c r="F73" s="200" t="s">
        <v>84</v>
      </c>
      <c r="G73" s="274">
        <f>STDEV(G60:G71)/G72</f>
        <v>8.0518369338876371E-3</v>
      </c>
      <c r="H73" s="274">
        <f>STDEV(H60:H71)/H72</f>
        <v>8.0518369338876388E-3</v>
      </c>
    </row>
    <row r="74" spans="1:8" ht="27" customHeight="1" thickBot="1" x14ac:dyDescent="0.45">
      <c r="A74" s="224"/>
      <c r="B74" s="224"/>
      <c r="C74" s="224"/>
      <c r="D74" s="224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261" t="s">
        <v>106</v>
      </c>
      <c r="B76" s="216" t="s">
        <v>107</v>
      </c>
      <c r="C76" s="307" t="str">
        <f>B20</f>
        <v xml:space="preserve"> Clavulanic acid</v>
      </c>
      <c r="D76" s="307"/>
      <c r="E76" s="205" t="s">
        <v>108</v>
      </c>
      <c r="F76" s="205"/>
      <c r="G76" s="206">
        <f>H72</f>
        <v>0.54558046089398615</v>
      </c>
      <c r="H76" s="288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261" t="s">
        <v>4</v>
      </c>
      <c r="B79" s="330" t="str">
        <f>B26</f>
        <v>Clavulanic acid</v>
      </c>
      <c r="C79" s="330"/>
    </row>
    <row r="80" spans="1:8" ht="26.25" customHeight="1" x14ac:dyDescent="0.4">
      <c r="A80" s="216" t="s">
        <v>48</v>
      </c>
      <c r="B80" s="330">
        <f>B27</f>
        <v>0</v>
      </c>
      <c r="C80" s="330"/>
    </row>
    <row r="81" spans="1:12" ht="27" customHeight="1" thickBot="1" x14ac:dyDescent="0.45">
      <c r="A81" s="216" t="s">
        <v>6</v>
      </c>
      <c r="B81" s="208">
        <f>B28</f>
        <v>96.4</v>
      </c>
    </row>
    <row r="82" spans="1:12" s="16" customFormat="1" ht="27" customHeight="1" thickBot="1" x14ac:dyDescent="0.45">
      <c r="A82" s="216" t="s">
        <v>49</v>
      </c>
      <c r="B82" s="111">
        <v>0</v>
      </c>
      <c r="C82" s="309" t="s">
        <v>50</v>
      </c>
      <c r="D82" s="310"/>
      <c r="E82" s="310"/>
      <c r="F82" s="310"/>
      <c r="G82" s="311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51</v>
      </c>
      <c r="B83" s="288">
        <f>B81-B82</f>
        <v>96.4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52</v>
      </c>
      <c r="B84" s="281">
        <v>1</v>
      </c>
      <c r="C84" s="312" t="s">
        <v>111</v>
      </c>
      <c r="D84" s="313"/>
      <c r="E84" s="313"/>
      <c r="F84" s="313"/>
      <c r="G84" s="313"/>
      <c r="H84" s="314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54</v>
      </c>
      <c r="B85" s="281">
        <v>1</v>
      </c>
      <c r="C85" s="312" t="s">
        <v>112</v>
      </c>
      <c r="D85" s="313"/>
      <c r="E85" s="313"/>
      <c r="F85" s="313"/>
      <c r="G85" s="313"/>
      <c r="H85" s="314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58</v>
      </c>
      <c r="B89" s="123">
        <v>20</v>
      </c>
      <c r="D89" s="286" t="s">
        <v>59</v>
      </c>
      <c r="E89" s="287"/>
      <c r="F89" s="315" t="s">
        <v>60</v>
      </c>
      <c r="G89" s="316"/>
    </row>
    <row r="90" spans="1:12" ht="27" customHeight="1" thickBot="1" x14ac:dyDescent="0.45">
      <c r="A90" s="124" t="s">
        <v>61</v>
      </c>
      <c r="B90" s="125">
        <v>3</v>
      </c>
      <c r="C90" s="289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282">
        <v>49622398</v>
      </c>
      <c r="E91" s="133">
        <f>IF(ISBLANK(D91),"-",$D$101/$D$98*D91)</f>
        <v>41266247.071917884</v>
      </c>
      <c r="F91" s="282">
        <v>44495700</v>
      </c>
      <c r="G91" s="134">
        <f>IF(ISBLANK(F91),"-",$D$101/$F$98*F91)</f>
        <v>40529446.240300134</v>
      </c>
      <c r="I91" s="135"/>
    </row>
    <row r="92" spans="1:12" ht="26.25" customHeight="1" x14ac:dyDescent="0.4">
      <c r="A92" s="124" t="s">
        <v>67</v>
      </c>
      <c r="B92" s="125">
        <v>1</v>
      </c>
      <c r="C92" s="224">
        <v>2</v>
      </c>
      <c r="D92" s="283">
        <v>48777801</v>
      </c>
      <c r="E92" s="138">
        <f>IF(ISBLANK(D92),"-",$D$101/$D$98*D92)</f>
        <v>40563875.766157925</v>
      </c>
      <c r="F92" s="283">
        <v>43843421</v>
      </c>
      <c r="G92" s="139">
        <f>IF(ISBLANK(F92),"-",$D$101/$F$98*F92)</f>
        <v>39935310.02794306</v>
      </c>
      <c r="I92" s="317">
        <f>ABS((F96/D96*D95)-F95)/D95</f>
        <v>0.9129870129870129</v>
      </c>
    </row>
    <row r="93" spans="1:12" ht="26.25" customHeight="1" x14ac:dyDescent="0.4">
      <c r="A93" s="124" t="s">
        <v>68</v>
      </c>
      <c r="B93" s="125">
        <v>1</v>
      </c>
      <c r="C93" s="224">
        <v>3</v>
      </c>
      <c r="D93" s="283">
        <v>48323247</v>
      </c>
      <c r="E93" s="138">
        <f>IF(ISBLANK(D93),"-",$D$101/$D$98*D93)</f>
        <v>40185866.269891165</v>
      </c>
      <c r="F93" s="283">
        <v>43242234</v>
      </c>
      <c r="G93" s="139">
        <f>IF(ISBLANK(F93),"-",$D$101/$F$98*F93)</f>
        <v>39387711.581421994</v>
      </c>
      <c r="I93" s="317"/>
    </row>
    <row r="94" spans="1:12" ht="27" customHeight="1" thickBo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70</v>
      </c>
      <c r="B95" s="125">
        <v>1</v>
      </c>
      <c r="C95" s="216" t="s">
        <v>71</v>
      </c>
      <c r="D95" s="217">
        <f>AVERAGE(D91:D94)</f>
        <v>48907815.333333336</v>
      </c>
      <c r="E95" s="148">
        <f>AVERAGE(E91:E94)</f>
        <v>40671996.36932233</v>
      </c>
      <c r="F95" s="218"/>
      <c r="G95" s="219">
        <f>AVERAGE(G91:G94)</f>
        <v>39950822.616555065</v>
      </c>
    </row>
    <row r="96" spans="1:12" ht="26.25" customHeight="1" x14ac:dyDescent="0.4">
      <c r="A96" s="124" t="s">
        <v>72</v>
      </c>
      <c r="B96" s="208">
        <v>1</v>
      </c>
      <c r="C96" s="220" t="s">
        <v>113</v>
      </c>
      <c r="D96" s="221">
        <v>23.1</v>
      </c>
      <c r="E96" s="205"/>
      <c r="F96" s="152">
        <v>21.09</v>
      </c>
    </row>
    <row r="97" spans="1:10" ht="26.25" customHeight="1" x14ac:dyDescent="0.4">
      <c r="A97" s="124" t="s">
        <v>74</v>
      </c>
      <c r="B97" s="208">
        <v>1</v>
      </c>
      <c r="C97" s="222" t="s">
        <v>114</v>
      </c>
      <c r="D97" s="223">
        <f>D96*$B$87</f>
        <v>23.1</v>
      </c>
      <c r="E97" s="224"/>
      <c r="F97" s="154">
        <f>F96*$B$87</f>
        <v>21.09</v>
      </c>
    </row>
    <row r="98" spans="1:10" ht="19.5" customHeight="1" thickBot="1" x14ac:dyDescent="0.35">
      <c r="A98" s="124" t="s">
        <v>76</v>
      </c>
      <c r="B98" s="224">
        <f>(B97/B96)*(B95/B94)*(B93/B92)*(B91/B90)*B89</f>
        <v>133.33333333333334</v>
      </c>
      <c r="C98" s="222" t="s">
        <v>115</v>
      </c>
      <c r="D98" s="225">
        <f>D97*$B$83/100</f>
        <v>22.2684</v>
      </c>
      <c r="E98" s="201"/>
      <c r="F98" s="157">
        <f>F97*$B$83/100</f>
        <v>20.330760000000001</v>
      </c>
    </row>
    <row r="99" spans="1:10" ht="19.5" customHeight="1" thickBot="1" x14ac:dyDescent="0.35">
      <c r="A99" s="303" t="s">
        <v>78</v>
      </c>
      <c r="B99" s="318"/>
      <c r="C99" s="222" t="s">
        <v>116</v>
      </c>
      <c r="D99" s="226">
        <f>D98/$B$98</f>
        <v>0.16701299999999999</v>
      </c>
      <c r="E99" s="201"/>
      <c r="F99" s="161">
        <f>F98/$B$98</f>
        <v>0.1524807</v>
      </c>
      <c r="H99" s="150"/>
    </row>
    <row r="100" spans="1:10" ht="19.5" customHeight="1" thickBot="1" x14ac:dyDescent="0.35">
      <c r="A100" s="305"/>
      <c r="B100" s="319"/>
      <c r="C100" s="222" t="s">
        <v>80</v>
      </c>
      <c r="D100" s="228">
        <f>$B$56/$B$116</f>
        <v>0.1388888888888889</v>
      </c>
      <c r="F100" s="166"/>
      <c r="G100" s="235"/>
      <c r="H100" s="150"/>
    </row>
    <row r="101" spans="1:10" ht="18.75" x14ac:dyDescent="0.3">
      <c r="C101" s="222" t="s">
        <v>81</v>
      </c>
      <c r="D101" s="223">
        <f>D100*$B$98</f>
        <v>18.518518518518519</v>
      </c>
      <c r="F101" s="166"/>
      <c r="H101" s="150"/>
    </row>
    <row r="102" spans="1:10" ht="19.5" customHeight="1" thickBot="1" x14ac:dyDescent="0.35">
      <c r="C102" s="230" t="s">
        <v>82</v>
      </c>
      <c r="D102" s="231">
        <f>D101/B34</f>
        <v>18.518518518518519</v>
      </c>
      <c r="F102" s="170"/>
      <c r="H102" s="150"/>
      <c r="J102" s="232"/>
    </row>
    <row r="103" spans="1:10" ht="18.75" x14ac:dyDescent="0.3">
      <c r="C103" s="233" t="s">
        <v>117</v>
      </c>
      <c r="D103" s="234">
        <f>AVERAGE(E91:E94,G91:G94)</f>
        <v>40311409.492938705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1.581979909479812E-2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86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38363116</v>
      </c>
      <c r="E108" s="275">
        <f t="shared" ref="E108:E113" si="1">IF(ISBLANK(D108),"-",D108/$D$103*$D$100*$B$116)</f>
        <v>118.9586164393483</v>
      </c>
      <c r="F108" s="245">
        <f t="shared" ref="F108:F113" si="2">IF(ISBLANK(D108), "-", E108/$B$56)</f>
        <v>0.95166893151478649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38813339</v>
      </c>
      <c r="E109" s="276">
        <f t="shared" si="1"/>
        <v>120.35469451520569</v>
      </c>
      <c r="F109" s="246">
        <f t="shared" si="2"/>
        <v>0.96283755612164557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37635404</v>
      </c>
      <c r="E110" s="276">
        <f t="shared" si="1"/>
        <v>116.7020840792994</v>
      </c>
      <c r="F110" s="246">
        <f t="shared" si="2"/>
        <v>0.93361667263439518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40854908</v>
      </c>
      <c r="E111" s="276">
        <f t="shared" si="1"/>
        <v>126.68531227851415</v>
      </c>
      <c r="F111" s="246">
        <f t="shared" si="2"/>
        <v>1.0134824982281132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40038308</v>
      </c>
      <c r="E112" s="276">
        <f t="shared" si="1"/>
        <v>124.15315075690127</v>
      </c>
      <c r="F112" s="246">
        <f t="shared" si="2"/>
        <v>0.99322520605521014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40804268</v>
      </c>
      <c r="E113" s="277">
        <f t="shared" si="1"/>
        <v>126.52828477489614</v>
      </c>
      <c r="F113" s="249">
        <f t="shared" si="2"/>
        <v>1.0122262781991691</v>
      </c>
    </row>
    <row r="114" spans="1:10" ht="26.25" customHeight="1" x14ac:dyDescent="0.4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122.23035714069415</v>
      </c>
      <c r="F115" s="252">
        <f>AVERAGE(F108:F113)</f>
        <v>0.97784285712555319</v>
      </c>
    </row>
    <row r="116" spans="1:10" ht="27" customHeight="1" thickBot="1" x14ac:dyDescent="0.4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3.4087577442035125E-2</v>
      </c>
      <c r="F116" s="254">
        <f>STDEV(F108:F113)/F115</f>
        <v>3.4087577442035125E-2</v>
      </c>
      <c r="I116" s="205"/>
    </row>
    <row r="117" spans="1:10" ht="27" customHeight="1" thickBot="1" x14ac:dyDescent="0.45">
      <c r="A117" s="303" t="s">
        <v>78</v>
      </c>
      <c r="B117" s="30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205"/>
      <c r="J117" s="236"/>
    </row>
    <row r="118" spans="1:10" ht="19.5" customHeight="1" thickBot="1" x14ac:dyDescent="0.35">
      <c r="A118" s="305"/>
      <c r="B118" s="306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6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61" t="s">
        <v>106</v>
      </c>
      <c r="B120" s="216" t="s">
        <v>123</v>
      </c>
      <c r="C120" s="307" t="str">
        <f>B20</f>
        <v xml:space="preserve"> Clavulanic acid</v>
      </c>
      <c r="D120" s="307"/>
      <c r="E120" s="205" t="s">
        <v>124</v>
      </c>
      <c r="F120" s="205"/>
      <c r="G120" s="206">
        <f>F115</f>
        <v>0.97784285712555319</v>
      </c>
      <c r="H120" s="205"/>
      <c r="I120" s="205"/>
    </row>
    <row r="121" spans="1:10" ht="19.5" customHeight="1" thickBot="1" x14ac:dyDescent="0.35">
      <c r="A121" s="290"/>
      <c r="B121" s="290"/>
      <c r="C121" s="259"/>
      <c r="D121" s="259"/>
      <c r="E121" s="259"/>
      <c r="F121" s="259"/>
      <c r="G121" s="259"/>
      <c r="H121" s="259"/>
    </row>
    <row r="122" spans="1:10" ht="18.75" x14ac:dyDescent="0.3">
      <c r="B122" s="308" t="s">
        <v>26</v>
      </c>
      <c r="C122" s="308"/>
      <c r="E122" s="289" t="s">
        <v>27</v>
      </c>
      <c r="F122" s="260"/>
      <c r="G122" s="308" t="s">
        <v>28</v>
      </c>
      <c r="H122" s="308"/>
    </row>
    <row r="123" spans="1:10" ht="69.95" customHeight="1" x14ac:dyDescent="0.3">
      <c r="A123" s="261" t="s">
        <v>29</v>
      </c>
      <c r="B123" s="263"/>
      <c r="C123" s="263"/>
      <c r="E123" s="263"/>
      <c r="F123" s="205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205"/>
      <c r="G124" s="265"/>
      <c r="H124" s="265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55" zoomScaleNormal="40" zoomScalePageLayoutView="55" workbookViewId="0">
      <selection activeCell="B84" sqref="B8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1" t="s">
        <v>45</v>
      </c>
      <c r="B1" s="301"/>
      <c r="C1" s="301"/>
      <c r="D1" s="301"/>
      <c r="E1" s="301"/>
      <c r="F1" s="301"/>
      <c r="G1" s="301"/>
      <c r="H1" s="301"/>
      <c r="I1" s="301"/>
    </row>
    <row r="2" spans="1:9" ht="18.75" customHeight="1" x14ac:dyDescent="0.25">
      <c r="A2" s="301"/>
      <c r="B2" s="301"/>
      <c r="C2" s="301"/>
      <c r="D2" s="301"/>
      <c r="E2" s="301"/>
      <c r="F2" s="301"/>
      <c r="G2" s="301"/>
      <c r="H2" s="301"/>
      <c r="I2" s="301"/>
    </row>
    <row r="3" spans="1:9" ht="18.75" customHeight="1" x14ac:dyDescent="0.25">
      <c r="A3" s="301"/>
      <c r="B3" s="301"/>
      <c r="C3" s="301"/>
      <c r="D3" s="301"/>
      <c r="E3" s="301"/>
      <c r="F3" s="301"/>
      <c r="G3" s="301"/>
      <c r="H3" s="301"/>
      <c r="I3" s="301"/>
    </row>
    <row r="4" spans="1:9" ht="18.75" customHeight="1" x14ac:dyDescent="0.25">
      <c r="A4" s="301"/>
      <c r="B4" s="301"/>
      <c r="C4" s="301"/>
      <c r="D4" s="301"/>
      <c r="E4" s="301"/>
      <c r="F4" s="301"/>
      <c r="G4" s="301"/>
      <c r="H4" s="301"/>
      <c r="I4" s="301"/>
    </row>
    <row r="5" spans="1:9" ht="18.75" customHeight="1" x14ac:dyDescent="0.25">
      <c r="A5" s="301"/>
      <c r="B5" s="301"/>
      <c r="C5" s="301"/>
      <c r="D5" s="301"/>
      <c r="E5" s="301"/>
      <c r="F5" s="301"/>
      <c r="G5" s="301"/>
      <c r="H5" s="301"/>
      <c r="I5" s="301"/>
    </row>
    <row r="6" spans="1:9" ht="18.75" customHeight="1" x14ac:dyDescent="0.25">
      <c r="A6" s="301"/>
      <c r="B6" s="301"/>
      <c r="C6" s="301"/>
      <c r="D6" s="301"/>
      <c r="E6" s="301"/>
      <c r="F6" s="301"/>
      <c r="G6" s="301"/>
      <c r="H6" s="301"/>
      <c r="I6" s="301"/>
    </row>
    <row r="7" spans="1:9" ht="18.75" customHeight="1" x14ac:dyDescent="0.25">
      <c r="A7" s="301"/>
      <c r="B7" s="301"/>
      <c r="C7" s="301"/>
      <c r="D7" s="301"/>
      <c r="E7" s="301"/>
      <c r="F7" s="301"/>
      <c r="G7" s="301"/>
      <c r="H7" s="301"/>
      <c r="I7" s="301"/>
    </row>
    <row r="8" spans="1:9" x14ac:dyDescent="0.25">
      <c r="A8" s="302" t="s">
        <v>46</v>
      </c>
      <c r="B8" s="302"/>
      <c r="C8" s="302"/>
      <c r="D8" s="302"/>
      <c r="E8" s="302"/>
      <c r="F8" s="302"/>
      <c r="G8" s="302"/>
      <c r="H8" s="302"/>
      <c r="I8" s="302"/>
    </row>
    <row r="9" spans="1:9" x14ac:dyDescent="0.25">
      <c r="A9" s="302"/>
      <c r="B9" s="302"/>
      <c r="C9" s="302"/>
      <c r="D9" s="302"/>
      <c r="E9" s="302"/>
      <c r="F9" s="302"/>
      <c r="G9" s="302"/>
      <c r="H9" s="302"/>
      <c r="I9" s="302"/>
    </row>
    <row r="10" spans="1:9" x14ac:dyDescent="0.25">
      <c r="A10" s="302"/>
      <c r="B10" s="302"/>
      <c r="C10" s="302"/>
      <c r="D10" s="302"/>
      <c r="E10" s="302"/>
      <c r="F10" s="302"/>
      <c r="G10" s="302"/>
      <c r="H10" s="302"/>
      <c r="I10" s="302"/>
    </row>
    <row r="11" spans="1:9" x14ac:dyDescent="0.25">
      <c r="A11" s="302"/>
      <c r="B11" s="302"/>
      <c r="C11" s="302"/>
      <c r="D11" s="302"/>
      <c r="E11" s="302"/>
      <c r="F11" s="302"/>
      <c r="G11" s="302"/>
      <c r="H11" s="302"/>
      <c r="I11" s="302"/>
    </row>
    <row r="12" spans="1:9" x14ac:dyDescent="0.25">
      <c r="A12" s="302"/>
      <c r="B12" s="302"/>
      <c r="C12" s="302"/>
      <c r="D12" s="302"/>
      <c r="E12" s="302"/>
      <c r="F12" s="302"/>
      <c r="G12" s="302"/>
      <c r="H12" s="302"/>
      <c r="I12" s="302"/>
    </row>
    <row r="13" spans="1:9" x14ac:dyDescent="0.25">
      <c r="A13" s="302"/>
      <c r="B13" s="302"/>
      <c r="C13" s="302"/>
      <c r="D13" s="302"/>
      <c r="E13" s="302"/>
      <c r="F13" s="302"/>
      <c r="G13" s="302"/>
      <c r="H13" s="302"/>
      <c r="I13" s="302"/>
    </row>
    <row r="14" spans="1:9" x14ac:dyDescent="0.25">
      <c r="A14" s="302"/>
      <c r="B14" s="302"/>
      <c r="C14" s="302"/>
      <c r="D14" s="302"/>
      <c r="E14" s="302"/>
      <c r="F14" s="302"/>
      <c r="G14" s="302"/>
      <c r="H14" s="302"/>
      <c r="I14" s="302"/>
    </row>
    <row r="15" spans="1:9" ht="19.5" customHeight="1" x14ac:dyDescent="0.3">
      <c r="A15" s="98"/>
    </row>
    <row r="16" spans="1:9" ht="19.5" customHeight="1" x14ac:dyDescent="0.3">
      <c r="A16" s="335" t="s">
        <v>31</v>
      </c>
      <c r="B16" s="336"/>
      <c r="C16" s="336"/>
      <c r="D16" s="336"/>
      <c r="E16" s="336"/>
      <c r="F16" s="336"/>
      <c r="G16" s="336"/>
      <c r="H16" s="337"/>
    </row>
    <row r="17" spans="1:14" ht="20.25" customHeight="1" x14ac:dyDescent="0.25">
      <c r="A17" s="338" t="s">
        <v>47</v>
      </c>
      <c r="B17" s="338"/>
      <c r="C17" s="338"/>
      <c r="D17" s="338"/>
      <c r="E17" s="338"/>
      <c r="F17" s="338"/>
      <c r="G17" s="338"/>
      <c r="H17" s="338"/>
    </row>
    <row r="18" spans="1:14" ht="26.25" customHeight="1" x14ac:dyDescent="0.4">
      <c r="A18" s="100" t="s">
        <v>33</v>
      </c>
      <c r="B18" s="334" t="s">
        <v>5</v>
      </c>
      <c r="C18" s="33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9" t="s">
        <v>127</v>
      </c>
      <c r="C20" s="33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9" t="s">
        <v>11</v>
      </c>
      <c r="C21" s="339"/>
      <c r="D21" s="339"/>
      <c r="E21" s="339"/>
      <c r="F21" s="339"/>
      <c r="G21" s="339"/>
      <c r="H21" s="33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4" t="s">
        <v>125</v>
      </c>
      <c r="C26" s="334"/>
    </row>
    <row r="27" spans="1:14" ht="26.25" customHeight="1" x14ac:dyDescent="0.4">
      <c r="A27" s="109" t="s">
        <v>48</v>
      </c>
      <c r="B27" s="332" t="s">
        <v>126</v>
      </c>
      <c r="C27" s="332"/>
    </row>
    <row r="28" spans="1:14" ht="27" customHeight="1" x14ac:dyDescent="0.4">
      <c r="A28" s="109" t="s">
        <v>6</v>
      </c>
      <c r="B28" s="110">
        <v>96.96</v>
      </c>
    </row>
    <row r="29" spans="1:14" s="14" customFormat="1" ht="27" customHeight="1" x14ac:dyDescent="0.4">
      <c r="A29" s="109" t="s">
        <v>49</v>
      </c>
      <c r="B29" s="111">
        <v>0</v>
      </c>
      <c r="C29" s="309" t="s">
        <v>50</v>
      </c>
      <c r="D29" s="310"/>
      <c r="E29" s="310"/>
      <c r="F29" s="310"/>
      <c r="G29" s="31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96.96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281">
        <v>1</v>
      </c>
      <c r="C31" s="312" t="s">
        <v>53</v>
      </c>
      <c r="D31" s="313"/>
      <c r="E31" s="313"/>
      <c r="F31" s="313"/>
      <c r="G31" s="313"/>
      <c r="H31" s="31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281">
        <v>1</v>
      </c>
      <c r="C32" s="312" t="s">
        <v>55</v>
      </c>
      <c r="D32" s="313"/>
      <c r="E32" s="313"/>
      <c r="F32" s="313"/>
      <c r="G32" s="313"/>
      <c r="H32" s="31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5" t="s">
        <v>59</v>
      </c>
      <c r="E36" s="333"/>
      <c r="F36" s="315" t="s">
        <v>60</v>
      </c>
      <c r="G36" s="31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82">
        <v>28451630</v>
      </c>
      <c r="E38" s="133">
        <f>IF(ISBLANK(D38),"-",$D$48/$D$45*D38)</f>
        <v>29700078.750283938</v>
      </c>
      <c r="F38" s="282">
        <v>30880963</v>
      </c>
      <c r="G38" s="134">
        <f>IF(ISBLANK(F38),"-",$D$48/$F$45*F38)</f>
        <v>30390437.033922859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283">
        <v>28333569</v>
      </c>
      <c r="E39" s="138">
        <f>IF(ISBLANK(D39),"-",$D$48/$D$45*D39)</f>
        <v>29576837.270012427</v>
      </c>
      <c r="F39" s="283">
        <v>31295199</v>
      </c>
      <c r="G39" s="139">
        <f>IF(ISBLANK(F39),"-",$D$48/$F$45*F39)</f>
        <v>30798093.138273753</v>
      </c>
      <c r="I39" s="317">
        <f>ABS((F43/D43*D42)-F42)/D42</f>
        <v>3.606206244069364E-2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283">
        <v>28351791</v>
      </c>
      <c r="E40" s="138">
        <f>IF(ISBLANK(D40),"-",$D$48/$D$45*D40)</f>
        <v>29595858.845752999</v>
      </c>
      <c r="F40" s="283">
        <v>31201306</v>
      </c>
      <c r="G40" s="139">
        <f>IF(ISBLANK(F40),"-",$D$48/$F$45*F40)</f>
        <v>30705691.57345124</v>
      </c>
      <c r="I40" s="31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28378996.666666668</v>
      </c>
      <c r="E42" s="148">
        <f>AVERAGE(E38:E41)</f>
        <v>29624258.28868312</v>
      </c>
      <c r="F42" s="147">
        <f>AVERAGE(F38:F41)</f>
        <v>31125822.666666668</v>
      </c>
      <c r="G42" s="149">
        <f>AVERAGE(G38:G41)</f>
        <v>30631407.248549283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9.8800000000000008</v>
      </c>
      <c r="E43" s="140"/>
      <c r="F43" s="152">
        <v>10.48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9.8800000000000008</v>
      </c>
      <c r="E44" s="155"/>
      <c r="F44" s="154">
        <f>F43*$B$34</f>
        <v>10.48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9.5796479999999988</v>
      </c>
      <c r="E45" s="158"/>
      <c r="F45" s="157">
        <f>F44*$B$30/100</f>
        <v>10.161408</v>
      </c>
      <c r="H45" s="150"/>
    </row>
    <row r="46" spans="1:14" ht="19.5" customHeight="1" x14ac:dyDescent="0.3">
      <c r="A46" s="303" t="s">
        <v>78</v>
      </c>
      <c r="B46" s="304"/>
      <c r="C46" s="153" t="s">
        <v>79</v>
      </c>
      <c r="D46" s="159">
        <f>D45/$B$45</f>
        <v>0.19159295999999998</v>
      </c>
      <c r="E46" s="160"/>
      <c r="F46" s="161">
        <f>F45/$B$45</f>
        <v>0.20322815999999999</v>
      </c>
      <c r="H46" s="150"/>
    </row>
    <row r="47" spans="1:14" ht="27" customHeight="1" x14ac:dyDescent="0.4">
      <c r="A47" s="305"/>
      <c r="B47" s="306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30127832.768616203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1.8903050866646808E-2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77" t="s">
        <v>87</v>
      </c>
      <c r="B56" s="178">
        <v>125</v>
      </c>
      <c r="C56" s="99" t="str">
        <f>B20</f>
        <v xml:space="preserve"> Clavulanic acid</v>
      </c>
      <c r="H56" s="179"/>
    </row>
    <row r="57" spans="1:12" ht="18.75" x14ac:dyDescent="0.3">
      <c r="A57" s="176" t="s">
        <v>88</v>
      </c>
      <c r="B57" s="268">
        <f>Uniformity!C46</f>
        <v>1021.583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20" t="s">
        <v>94</v>
      </c>
      <c r="D60" s="323">
        <v>1096.6400000000001</v>
      </c>
      <c r="E60" s="182">
        <v>1</v>
      </c>
      <c r="F60" s="183">
        <v>32140720</v>
      </c>
      <c r="G60" s="269">
        <f>IF(ISBLANK(F60),"-",(F60/$D$50*$D$47*$B$68)*($B$57/$D$60))</f>
        <v>124.22451129863806</v>
      </c>
      <c r="H60" s="184">
        <f t="shared" ref="H60:H71" si="0">IF(ISBLANK(F60),"-",G60/$B$56)</f>
        <v>0.99379609038910455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21"/>
      <c r="D61" s="324"/>
      <c r="E61" s="185">
        <v>2</v>
      </c>
      <c r="F61" s="137">
        <v>32090742</v>
      </c>
      <c r="G61" s="270">
        <f>IF(ISBLANK(F61),"-",(F61/$D$50*$D$47*$B$68)*($B$57/$D$60))</f>
        <v>124.03134535133871</v>
      </c>
      <c r="H61" s="186">
        <f t="shared" si="0"/>
        <v>0.99225076281070967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5">
        <v>3</v>
      </c>
      <c r="F62" s="187">
        <v>32016606</v>
      </c>
      <c r="G62" s="270">
        <f>IF(ISBLANK(F62),"-",(F62/$D$50*$D$47*$B$68)*($B$57/$D$60))</f>
        <v>123.74480826163953</v>
      </c>
      <c r="H62" s="186">
        <f t="shared" si="0"/>
        <v>0.98995846609311622</v>
      </c>
      <c r="L62" s="112"/>
    </row>
    <row r="63" spans="1:12" ht="27" customHeight="1" x14ac:dyDescent="0.4">
      <c r="A63" s="124" t="s">
        <v>97</v>
      </c>
      <c r="B63" s="125">
        <v>1</v>
      </c>
      <c r="C63" s="331"/>
      <c r="D63" s="32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1002.64</v>
      </c>
      <c r="E64" s="182">
        <v>1</v>
      </c>
      <c r="F64" s="183">
        <v>29034293</v>
      </c>
      <c r="G64" s="271">
        <f>IF(ISBLANK(F64),"-",(F64/$D$50*$D$47*$B$68)*($B$57/$D$64))</f>
        <v>122.7388378364451</v>
      </c>
      <c r="H64" s="190">
        <f t="shared" si="0"/>
        <v>0.98191070269156078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5">
        <v>2</v>
      </c>
      <c r="F65" s="137">
        <v>29222188</v>
      </c>
      <c r="G65" s="272">
        <f>IF(ISBLANK(F65),"-",(F65/$D$50*$D$47*$B$68)*($B$57/$D$64))</f>
        <v>123.53314041978264</v>
      </c>
      <c r="H65" s="191">
        <f t="shared" si="0"/>
        <v>0.98826512335826111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5">
        <v>3</v>
      </c>
      <c r="F66" s="137">
        <v>28965502</v>
      </c>
      <c r="G66" s="272">
        <f>IF(ISBLANK(F66),"-",(F66/$D$50*$D$47*$B$68)*($B$57/$D$64))</f>
        <v>122.44803249830214</v>
      </c>
      <c r="H66" s="191">
        <f t="shared" si="0"/>
        <v>0.97958425998641707</v>
      </c>
    </row>
    <row r="67" spans="1:8" ht="27" customHeight="1" x14ac:dyDescent="0.4">
      <c r="A67" s="124" t="s">
        <v>102</v>
      </c>
      <c r="B67" s="125">
        <v>1</v>
      </c>
      <c r="C67" s="331"/>
      <c r="D67" s="32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625</v>
      </c>
      <c r="C68" s="320" t="s">
        <v>104</v>
      </c>
      <c r="D68" s="323">
        <v>1079.6600000000001</v>
      </c>
      <c r="E68" s="182">
        <v>1</v>
      </c>
      <c r="F68" s="183">
        <v>31949613</v>
      </c>
      <c r="G68" s="271">
        <f>IF(ISBLANK(F68),"-",(F68/$D$50*$D$47*$B$68)*($B$57/$D$68))</f>
        <v>125.42796283442794</v>
      </c>
      <c r="H68" s="186">
        <f t="shared" si="0"/>
        <v>1.0034237026754236</v>
      </c>
    </row>
    <row r="69" spans="1:8" ht="27" customHeight="1" x14ac:dyDescent="0.4">
      <c r="A69" s="172" t="s">
        <v>105</v>
      </c>
      <c r="B69" s="194">
        <f>(D47*B68)/B56*B57</f>
        <v>1021.583</v>
      </c>
      <c r="C69" s="321"/>
      <c r="D69" s="324"/>
      <c r="E69" s="185">
        <v>2</v>
      </c>
      <c r="F69" s="137">
        <v>32017574</v>
      </c>
      <c r="G69" s="272">
        <f>IF(ISBLANK(F69),"-",(F69/$D$50*$D$47*$B$68)*($B$57/$D$68))</f>
        <v>125.69476449434758</v>
      </c>
      <c r="H69" s="186">
        <f t="shared" si="0"/>
        <v>1.0055581159547806</v>
      </c>
    </row>
    <row r="70" spans="1:8" ht="26.25" customHeight="1" x14ac:dyDescent="0.4">
      <c r="A70" s="326" t="s">
        <v>78</v>
      </c>
      <c r="B70" s="327"/>
      <c r="C70" s="321"/>
      <c r="D70" s="324"/>
      <c r="E70" s="185">
        <v>3</v>
      </c>
      <c r="F70" s="137">
        <v>32093886</v>
      </c>
      <c r="G70" s="272">
        <f>IF(ISBLANK(F70),"-",(F70/$D$50*$D$47*$B$68)*($B$57/$D$68))</f>
        <v>125.99435055505577</v>
      </c>
      <c r="H70" s="186">
        <f t="shared" si="0"/>
        <v>1.0079548044404463</v>
      </c>
    </row>
    <row r="71" spans="1:8" ht="27" customHeight="1" x14ac:dyDescent="0.4">
      <c r="A71" s="328"/>
      <c r="B71" s="329"/>
      <c r="C71" s="322"/>
      <c r="D71" s="32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124.20419483888639</v>
      </c>
      <c r="H72" s="199">
        <f>AVERAGE(H60:H71)</f>
        <v>0.99363355871109116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1.0202837425263777E-2</v>
      </c>
      <c r="H73" s="274">
        <f>STDEV(H60:H71)/H72</f>
        <v>1.0202837425263806E-2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07" t="str">
        <f>B20</f>
        <v xml:space="preserve"> Clavulanic acid</v>
      </c>
      <c r="D76" s="307"/>
      <c r="E76" s="205" t="s">
        <v>108</v>
      </c>
      <c r="F76" s="205"/>
      <c r="G76" s="206">
        <f>H72</f>
        <v>0.99363355871109116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0" t="str">
        <f>B26</f>
        <v>CLAVULANATE LITHIUM</v>
      </c>
      <c r="C79" s="330"/>
    </row>
    <row r="80" spans="1:8" ht="26.25" customHeight="1" x14ac:dyDescent="0.4">
      <c r="A80" s="109" t="s">
        <v>48</v>
      </c>
      <c r="B80" s="330" t="str">
        <f>B27</f>
        <v>C62 4</v>
      </c>
      <c r="C80" s="330"/>
    </row>
    <row r="81" spans="1:12" ht="27" customHeight="1" x14ac:dyDescent="0.4">
      <c r="A81" s="109" t="s">
        <v>6</v>
      </c>
      <c r="B81" s="208">
        <f>B28</f>
        <v>96.96</v>
      </c>
    </row>
    <row r="82" spans="1:12" s="14" customFormat="1" ht="27" customHeight="1" x14ac:dyDescent="0.4">
      <c r="A82" s="109" t="s">
        <v>49</v>
      </c>
      <c r="B82" s="111">
        <v>0</v>
      </c>
      <c r="C82" s="309" t="s">
        <v>50</v>
      </c>
      <c r="D82" s="310"/>
      <c r="E82" s="310"/>
      <c r="F82" s="310"/>
      <c r="G82" s="31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96.96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12" t="s">
        <v>111</v>
      </c>
      <c r="D84" s="313"/>
      <c r="E84" s="313"/>
      <c r="F84" s="313"/>
      <c r="G84" s="313"/>
      <c r="H84" s="31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12" t="s">
        <v>112</v>
      </c>
      <c r="D85" s="313"/>
      <c r="E85" s="313"/>
      <c r="F85" s="313"/>
      <c r="G85" s="313"/>
      <c r="H85" s="31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15" t="s">
        <v>60</v>
      </c>
      <c r="G89" s="316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7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/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22.768759486291838</v>
      </c>
      <c r="E98" s="158"/>
      <c r="F98" s="157">
        <f>F97*$B$83/100</f>
        <v>23.366983262603643</v>
      </c>
    </row>
    <row r="99" spans="1:10" ht="19.5" customHeight="1" x14ac:dyDescent="0.3">
      <c r="A99" s="303" t="s">
        <v>78</v>
      </c>
      <c r="B99" s="318"/>
      <c r="C99" s="222" t="s">
        <v>116</v>
      </c>
      <c r="D99" s="226">
        <f>D98/$B$98</f>
        <v>1.821500758903347E-2</v>
      </c>
      <c r="E99" s="158"/>
      <c r="F99" s="161">
        <f>F98/$B$98</f>
        <v>1.8693586610082913E-2</v>
      </c>
      <c r="G99" s="227"/>
      <c r="H99" s="150"/>
    </row>
    <row r="100" spans="1:10" ht="19.5" customHeight="1" x14ac:dyDescent="0.3">
      <c r="A100" s="305"/>
      <c r="B100" s="319"/>
      <c r="C100" s="222" t="s">
        <v>80</v>
      </c>
      <c r="D100" s="228">
        <f>$B$56/$B$116</f>
        <v>1.3888888888888888E-2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17.361111111111111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17.361111111111111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">
      <c r="A117" s="303" t="s">
        <v>78</v>
      </c>
      <c r="B117" s="304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">
      <c r="A118" s="305"/>
      <c r="B118" s="30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07" t="str">
        <f>B20</f>
        <v xml:space="preserve"> Clavulanic acid</v>
      </c>
      <c r="D120" s="307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8" t="s">
        <v>26</v>
      </c>
      <c r="C122" s="308"/>
      <c r="E122" s="211" t="s">
        <v>27</v>
      </c>
      <c r="F122" s="260"/>
      <c r="G122" s="308" t="s">
        <v>28</v>
      </c>
      <c r="H122" s="30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38" sqref="D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28598597</v>
      </c>
      <c r="C24" s="18">
        <v>8588.2999999999993</v>
      </c>
      <c r="D24" s="19">
        <v>1.1000000000000001</v>
      </c>
      <c r="E24" s="20">
        <v>3.8</v>
      </c>
    </row>
    <row r="25" spans="1:6" ht="16.5" customHeight="1" x14ac:dyDescent="0.3">
      <c r="A25" s="17">
        <v>2</v>
      </c>
      <c r="B25" s="18">
        <v>28122127</v>
      </c>
      <c r="C25" s="18">
        <v>8569.4</v>
      </c>
      <c r="D25" s="19">
        <v>1.1000000000000001</v>
      </c>
      <c r="E25" s="19">
        <v>3.8</v>
      </c>
    </row>
    <row r="26" spans="1:6" ht="16.5" customHeight="1" x14ac:dyDescent="0.3">
      <c r="A26" s="17">
        <v>3</v>
      </c>
      <c r="B26" s="18">
        <v>28630725</v>
      </c>
      <c r="C26" s="18">
        <v>8533.2000000000007</v>
      </c>
      <c r="D26" s="19">
        <v>1.2</v>
      </c>
      <c r="E26" s="19">
        <v>3.8</v>
      </c>
    </row>
    <row r="27" spans="1:6" ht="16.5" customHeight="1" x14ac:dyDescent="0.3">
      <c r="A27" s="17">
        <v>4</v>
      </c>
      <c r="B27" s="18">
        <v>28651758</v>
      </c>
      <c r="C27" s="18">
        <v>8457.6</v>
      </c>
      <c r="D27" s="19">
        <v>1.1000000000000001</v>
      </c>
      <c r="E27" s="19">
        <v>3.8</v>
      </c>
    </row>
    <row r="28" spans="1:6" ht="16.5" customHeight="1" x14ac:dyDescent="0.3">
      <c r="A28" s="17">
        <v>5</v>
      </c>
      <c r="B28" s="18">
        <v>28764565</v>
      </c>
      <c r="C28" s="18">
        <v>7812.5</v>
      </c>
      <c r="D28" s="19">
        <v>1.1000000000000001</v>
      </c>
      <c r="E28" s="19">
        <v>3.8</v>
      </c>
    </row>
    <row r="29" spans="1:6" ht="16.5" customHeight="1" x14ac:dyDescent="0.3">
      <c r="A29" s="17">
        <v>6</v>
      </c>
      <c r="B29" s="21">
        <v>28759396</v>
      </c>
      <c r="C29" s="21">
        <v>7765.3</v>
      </c>
      <c r="D29" s="22">
        <v>1.2</v>
      </c>
      <c r="E29" s="22">
        <v>3.8</v>
      </c>
    </row>
    <row r="30" spans="1:6" ht="16.5" customHeight="1" x14ac:dyDescent="0.3">
      <c r="A30" s="23" t="s">
        <v>18</v>
      </c>
      <c r="B30" s="24">
        <f>AVERAGE(B24:B29)</f>
        <v>28587861.333333332</v>
      </c>
      <c r="C30" s="25">
        <f>AVERAGE(C24:C29)</f>
        <v>8287.7166666666672</v>
      </c>
      <c r="D30" s="26">
        <f>AVERAGE(D24:D29)</f>
        <v>1.1333333333333333</v>
      </c>
      <c r="E30" s="26">
        <f>AVERAGE(E24:E29)</f>
        <v>3.8000000000000003</v>
      </c>
    </row>
    <row r="31" spans="1:6" ht="16.5" customHeight="1" x14ac:dyDescent="0.3">
      <c r="A31" s="27" t="s">
        <v>19</v>
      </c>
      <c r="B31" s="28">
        <f>(STDEV(B24:B29)/B30)</f>
        <v>8.3306793322596284E-3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2" t="s">
        <v>26</v>
      </c>
      <c r="C59" s="29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assay-mutua</vt:lpstr>
      <vt:lpstr>SST dissolution-mutua </vt:lpstr>
      <vt:lpstr>Uniformity</vt:lpstr>
      <vt:lpstr>amoxicillin-mutua</vt:lpstr>
      <vt:lpstr>CLAVULANIC-mutua</vt:lpstr>
      <vt:lpstr>CLAVULANIC assay rpt Lorna</vt:lpstr>
      <vt:lpstr>SST clavulanic acid rpt Lorna</vt:lpstr>
      <vt:lpstr>'amoxicillin-mutua'!Print_Area</vt:lpstr>
      <vt:lpstr>'CLAVULANIC assay rpt Lorna'!Print_Area</vt:lpstr>
      <vt:lpstr>'CLAVULANIC-mutua'!Print_Area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2016-09-14T09:33:44Z</cp:lastPrinted>
  <dcterms:created xsi:type="dcterms:W3CDTF">2005-07-05T10:19:27Z</dcterms:created>
  <dcterms:modified xsi:type="dcterms:W3CDTF">2016-11-16T08:22:24Z</dcterms:modified>
</cp:coreProperties>
</file>