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(ASSAY)" sheetId="5" r:id="rId1"/>
    <sheet name="SST (DISS)" sheetId="6" r:id="rId2"/>
    <sheet name="Uniformity" sheetId="2" r:id="rId3"/>
    <sheet name="amoxicillin Trihydrate" sheetId="3" r:id="rId4"/>
    <sheet name="Clavulanic acid" sheetId="4" r:id="rId5"/>
  </sheets>
  <definedNames>
    <definedName name="_xlnm.Print_Area" localSheetId="3">'amoxicillin Trihydrate'!$A$1:$N$124</definedName>
    <definedName name="_xlnm.Print_Area" localSheetId="4">'Clavulanic acid'!$A$1:$N$124</definedName>
    <definedName name="_xlnm.Print_Area" localSheetId="2">Uniformity!$A$1:$W$54</definedName>
  </definedNames>
  <calcPr calcId="145621"/>
</workbook>
</file>

<file path=xl/calcChain.xml><?xml version="1.0" encoding="utf-8"?>
<calcChain xmlns="http://schemas.openxmlformats.org/spreadsheetml/2006/main">
  <c r="B42" i="5" l="1"/>
  <c r="B41" i="5"/>
  <c r="B21" i="5"/>
  <c r="B20" i="5"/>
  <c r="B30" i="6" l="1"/>
  <c r="C30" i="6"/>
  <c r="D30" i="6"/>
  <c r="E30" i="6"/>
  <c r="B31" i="6"/>
  <c r="B32" i="6"/>
  <c r="B51" i="6"/>
  <c r="C51" i="6"/>
  <c r="D51" i="6"/>
  <c r="E51" i="6"/>
  <c r="B52" i="6"/>
  <c r="B53" i="6"/>
  <c r="B30" i="5"/>
  <c r="C30" i="5"/>
  <c r="D30" i="5"/>
  <c r="E30" i="5"/>
  <c r="B31" i="5"/>
  <c r="B32" i="5"/>
  <c r="B51" i="5"/>
  <c r="C51" i="5"/>
  <c r="D51" i="5"/>
  <c r="E51" i="5"/>
  <c r="B52" i="5"/>
  <c r="B53" i="5"/>
  <c r="G120" i="4" l="1"/>
  <c r="F115" i="4"/>
  <c r="E95" i="4"/>
  <c r="B69" i="4" l="1"/>
  <c r="B45" i="4"/>
  <c r="B69" i="3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57" i="4"/>
  <c r="C56" i="4"/>
  <c r="B55" i="4"/>
  <c r="D48" i="4"/>
  <c r="F42" i="4"/>
  <c r="D42" i="4"/>
  <c r="B34" i="4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B30" i="3"/>
  <c r="D49" i="2"/>
  <c r="C46" i="2"/>
  <c r="D50" i="2" s="1"/>
  <c r="C45" i="2"/>
  <c r="D40" i="2"/>
  <c r="D36" i="2"/>
  <c r="D32" i="2"/>
  <c r="D28" i="2"/>
  <c r="D24" i="2"/>
  <c r="C19" i="2"/>
  <c r="I39" i="4" l="1"/>
  <c r="D97" i="3"/>
  <c r="D98" i="3" s="1"/>
  <c r="D97" i="4"/>
  <c r="D98" i="4" s="1"/>
  <c r="I92" i="3"/>
  <c r="I92" i="4"/>
  <c r="D101" i="4"/>
  <c r="D102" i="4" s="1"/>
  <c r="D101" i="3"/>
  <c r="F98" i="4"/>
  <c r="F99" i="4" s="1"/>
  <c r="I39" i="3"/>
  <c r="F98" i="3"/>
  <c r="F99" i="3" s="1"/>
  <c r="D49" i="3"/>
  <c r="E94" i="4"/>
  <c r="D44" i="4"/>
  <c r="D45" i="4" s="1"/>
  <c r="D46" i="4" s="1"/>
  <c r="F44" i="4"/>
  <c r="F45" i="4" s="1"/>
  <c r="F46" i="4" s="1"/>
  <c r="D44" i="3"/>
  <c r="D45" i="3" s="1"/>
  <c r="D46" i="3" s="1"/>
  <c r="F44" i="3"/>
  <c r="F45" i="3" s="1"/>
  <c r="D49" i="4"/>
  <c r="G41" i="4"/>
  <c r="G40" i="4"/>
  <c r="D27" i="2"/>
  <c r="D31" i="2"/>
  <c r="D35" i="2"/>
  <c r="D39" i="2"/>
  <c r="D43" i="2"/>
  <c r="C49" i="2"/>
  <c r="D25" i="2"/>
  <c r="D29" i="2"/>
  <c r="D33" i="2"/>
  <c r="D37" i="2"/>
  <c r="D41" i="2"/>
  <c r="C50" i="2"/>
  <c r="D26" i="2"/>
  <c r="D30" i="2"/>
  <c r="D34" i="2"/>
  <c r="D38" i="2"/>
  <c r="D42" i="2"/>
  <c r="B49" i="2"/>
  <c r="E91" i="3" l="1"/>
  <c r="D99" i="3"/>
  <c r="E92" i="3"/>
  <c r="D99" i="4"/>
  <c r="E91" i="4"/>
  <c r="D102" i="3"/>
  <c r="E93" i="4"/>
  <c r="E92" i="4"/>
  <c r="E94" i="3"/>
  <c r="E93" i="3"/>
  <c r="E38" i="4"/>
  <c r="G94" i="4"/>
  <c r="G91" i="4"/>
  <c r="G92" i="4"/>
  <c r="E41" i="4"/>
  <c r="E40" i="4"/>
  <c r="G93" i="4"/>
  <c r="E40" i="3"/>
  <c r="E38" i="3"/>
  <c r="G39" i="4"/>
  <c r="G92" i="3"/>
  <c r="F46" i="3"/>
  <c r="G39" i="3"/>
  <c r="G41" i="3"/>
  <c r="G93" i="3"/>
  <c r="E39" i="4"/>
  <c r="G38" i="4"/>
  <c r="E41" i="3"/>
  <c r="E39" i="3"/>
  <c r="G38" i="3"/>
  <c r="G91" i="3"/>
  <c r="G95" i="3" s="1"/>
  <c r="G40" i="3"/>
  <c r="G94" i="3"/>
  <c r="E95" i="3" l="1"/>
  <c r="G95" i="4"/>
  <c r="D103" i="3"/>
  <c r="E110" i="3" s="1"/>
  <c r="F110" i="3" s="1"/>
  <c r="E42" i="4"/>
  <c r="D52" i="4"/>
  <c r="D50" i="4"/>
  <c r="G68" i="4" s="1"/>
  <c r="H68" i="4" s="1"/>
  <c r="D103" i="4"/>
  <c r="D105" i="4"/>
  <c r="G42" i="4"/>
  <c r="G42" i="3"/>
  <c r="D105" i="3"/>
  <c r="D52" i="3"/>
  <c r="D50" i="3"/>
  <c r="E42" i="3"/>
  <c r="E109" i="3" l="1"/>
  <c r="F109" i="3" s="1"/>
  <c r="E113" i="3"/>
  <c r="F113" i="3" s="1"/>
  <c r="E112" i="3"/>
  <c r="F112" i="3" s="1"/>
  <c r="D104" i="3"/>
  <c r="E108" i="3"/>
  <c r="F108" i="3" s="1"/>
  <c r="E111" i="3"/>
  <c r="F111" i="3" s="1"/>
  <c r="G65" i="4"/>
  <c r="H65" i="4" s="1"/>
  <c r="G64" i="4"/>
  <c r="H64" i="4" s="1"/>
  <c r="G70" i="4"/>
  <c r="H70" i="4" s="1"/>
  <c r="G66" i="4"/>
  <c r="H66" i="4" s="1"/>
  <c r="G61" i="4"/>
  <c r="H61" i="4" s="1"/>
  <c r="G60" i="4"/>
  <c r="H60" i="4" s="1"/>
  <c r="G69" i="4"/>
  <c r="H69" i="4" s="1"/>
  <c r="G63" i="4"/>
  <c r="H63" i="4" s="1"/>
  <c r="G71" i="4"/>
  <c r="H71" i="4" s="1"/>
  <c r="E110" i="4"/>
  <c r="F110" i="4" s="1"/>
  <c r="E108" i="4"/>
  <c r="E113" i="4"/>
  <c r="F113" i="4" s="1"/>
  <c r="E111" i="4"/>
  <c r="F111" i="4" s="1"/>
  <c r="E112" i="4"/>
  <c r="F112" i="4" s="1"/>
  <c r="E109" i="4"/>
  <c r="F109" i="4" s="1"/>
  <c r="D104" i="4"/>
  <c r="D51" i="4"/>
  <c r="G67" i="4"/>
  <c r="H67" i="4" s="1"/>
  <c r="G62" i="4"/>
  <c r="H62" i="4" s="1"/>
  <c r="G68" i="3"/>
  <c r="H68" i="3" s="1"/>
  <c r="G71" i="3"/>
  <c r="H71" i="3" s="1"/>
  <c r="G60" i="3"/>
  <c r="G69" i="3"/>
  <c r="H69" i="3" s="1"/>
  <c r="G66" i="3"/>
  <c r="H66" i="3" s="1"/>
  <c r="G64" i="3"/>
  <c r="H64" i="3" s="1"/>
  <c r="G62" i="3"/>
  <c r="H62" i="3" s="1"/>
  <c r="G70" i="3"/>
  <c r="H70" i="3" s="1"/>
  <c r="G67" i="3"/>
  <c r="H67" i="3" s="1"/>
  <c r="G65" i="3"/>
  <c r="H65" i="3" s="1"/>
  <c r="G63" i="3"/>
  <c r="H63" i="3" s="1"/>
  <c r="G61" i="3"/>
  <c r="H61" i="3" s="1"/>
  <c r="D51" i="3"/>
  <c r="F115" i="3" l="1"/>
  <c r="H72" i="4"/>
  <c r="G76" i="4" s="1"/>
  <c r="E115" i="3"/>
  <c r="E116" i="3" s="1"/>
  <c r="E117" i="3"/>
  <c r="G74" i="4"/>
  <c r="G72" i="4"/>
  <c r="G73" i="4" s="1"/>
  <c r="E115" i="4"/>
  <c r="E116" i="4" s="1"/>
  <c r="E117" i="4"/>
  <c r="F108" i="4"/>
  <c r="H60" i="3"/>
  <c r="G74" i="3"/>
  <c r="G72" i="3"/>
  <c r="G73" i="3" s="1"/>
  <c r="H74" i="4"/>
  <c r="F117" i="3"/>
  <c r="F117" i="4" l="1"/>
  <c r="G120" i="3"/>
  <c r="F116" i="3"/>
  <c r="H73" i="4"/>
  <c r="H74" i="3"/>
  <c r="H72" i="3"/>
  <c r="G76" i="3" s="1"/>
  <c r="F116" i="4" l="1"/>
  <c r="H73" i="3"/>
</calcChain>
</file>

<file path=xl/sharedStrings.xml><?xml version="1.0" encoding="utf-8"?>
<sst xmlns="http://schemas.openxmlformats.org/spreadsheetml/2006/main" count="439" uniqueCount="131">
  <si>
    <t>HPLC System Suitability Report</t>
  </si>
  <si>
    <t>Analysis Data</t>
  </si>
  <si>
    <t>Sample(s)</t>
  </si>
  <si>
    <t>Reference Substance:</t>
  </si>
  <si>
    <t>KOACT 625</t>
  </si>
  <si>
    <t>% age Purity:</t>
  </si>
  <si>
    <t>NDQA201509360</t>
  </si>
  <si>
    <t>Weight (mg):</t>
  </si>
  <si>
    <t>Amoxicillin &amp; Clavulanate Potassium</t>
  </si>
  <si>
    <t>Standard Conc (mg/mL):</t>
  </si>
  <si>
    <t xml:space="preserve">Each film coated tablet contains: Amoxicillin trihydrate Ph. Eur. equivalent to Amoxicillin 500mg
Potassium Clavulanate Ph. Eur. equivalent to clavulanic acid 25mg </t>
  </si>
  <si>
    <t>2015-10-02 08:03:27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</si>
  <si>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</si>
  <si>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</si>
  <si>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</si>
  <si>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</si>
  <si>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</si>
  <si>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</si>
  <si>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</si>
  <si>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</si>
  <si>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</si>
  <si>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</si>
  <si>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</si>
  <si>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</si>
  <si>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</si>
  <si>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</si>
  <si>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</si>
  <si>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</si>
  <si>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</si>
  <si>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</si>
  <si>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</si>
  <si>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</si>
  <si>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</si>
  <si>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</si>
  <si>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</si>
  <si>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</si>
  <si>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</si>
  <si>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</si>
  <si>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</si>
  <si>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</si>
  <si>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</si>
  <si>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</si>
  <si>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</si>
  <si>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</si>
  <si>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</si>
  <si>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</si>
  <si>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</si>
  <si>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</si>
  <si>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</si>
  <si>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</si>
  <si>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</si>
  <si>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</si>
  <si>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</si>
  <si>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</si>
  <si>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</si>
  <si>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</si>
  <si>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</si>
  <si>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</si>
  <si>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</si>
  <si>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</si>
  <si>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</si>
  <si>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</si>
  <si>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</si>
  <si>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</si>
  <si>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</si>
  <si>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</si>
  <si>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</si>
  <si>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</si>
  <si>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</si>
  <si>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</si>
  <si>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</si>
  <si>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</si>
  <si>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</si>
  <si>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</si>
  <si>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</si>
  <si>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</si>
  <si>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</si>
  <si>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</si>
  <si>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</si>
  <si>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</si>
  <si>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</si>
  <si>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</si>
  <si>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</si>
  <si>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</si>
  <si>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</si>
  <si>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</si>
  <si>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</si>
  <si>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</si>
  <si>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</si>
  <si>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</si>
  <si>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</si>
  <si>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</si>
  <si>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</si>
  <si>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</si>
  <si>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</si>
  <si>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</si>
  <si>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</si>
  <si>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</si>
  <si>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</si>
  <si>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</si>
  <si>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</si>
  <si>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</si>
  <si>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</si>
  <si>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</si>
  <si>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</si>
  <si>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</si>
  <si>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</si>
  <si>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</si>
  <si>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</si>
  <si>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</si>
  <si>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</si>
  <si>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</si>
  <si>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</si>
  <si>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</si>
  <si>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</si>
  <si>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</si>
  <si>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</si>
  <si>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</si>
  <si>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</si>
  <si>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</si>
  <si>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</si>
  <si>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</si>
  <si>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</si>
  <si>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</si>
  <si>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</si>
  <si>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 lithium</t>
  </si>
  <si>
    <t>ASSAY</t>
  </si>
  <si>
    <t>CLAVULANIC LITHIUM</t>
  </si>
  <si>
    <t>ASSAY CLAVULANIC LITHIUM</t>
  </si>
  <si>
    <t>9652..2</t>
  </si>
  <si>
    <t>DISSOLUTION- CLAVULANIC 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</si>
</sst>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43" fontId="24" fillId="0" borderId="0" applyFont="0" applyFill="0" applyBorder="0" applyAlignment="0" applyProtection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1" applyFill="1"/>
    <xf numFmtId="0" fontId="2" fillId="2" borderId="0" xfId="1" applyFont="1" applyFill="1"/>
    <xf numFmtId="0" fontId="2" fillId="2" borderId="11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5" fillId="2" borderId="0" xfId="1" applyFont="1" applyFill="1"/>
    <xf numFmtId="0" fontId="6" fillId="2" borderId="0" xfId="1" applyFont="1" applyFill="1"/>
    <xf numFmtId="0" fontId="6" fillId="2" borderId="8" xfId="1" applyFont="1" applyFill="1" applyBorder="1"/>
    <xf numFmtId="0" fontId="6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2" borderId="5" xfId="1" applyFont="1" applyFill="1" applyBorder="1"/>
    <xf numFmtId="0" fontId="6" fillId="2" borderId="6" xfId="1" applyFont="1" applyFill="1" applyBorder="1"/>
    <xf numFmtId="165" fontId="5" fillId="2" borderId="0" xfId="1" applyNumberFormat="1" applyFont="1" applyFill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2" fontId="5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0" fontId="6" fillId="2" borderId="4" xfId="1" applyFont="1" applyFill="1" applyBorder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left"/>
    </xf>
    <xf numFmtId="0" fontId="4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/>
    <xf numFmtId="0" fontId="4" fillId="2" borderId="0" xfId="1" applyFont="1" applyFill="1" applyAlignment="1">
      <alignment horizontal="left"/>
    </xf>
    <xf numFmtId="0" fontId="27" fillId="3" borderId="5" xfId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43" fontId="2" fillId="2" borderId="0" xfId="2" applyFont="1" applyFill="1" applyAlignment="1">
      <alignment horizontal="center"/>
    </xf>
    <xf numFmtId="43" fontId="2" fillId="2" borderId="0" xfId="2" applyFont="1" applyFill="1"/>
  </cellXfs>
  <cellStyles count="3">
    <cellStyle name="Comma" xfId="2" builtinId="3"/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B43" sqref="B43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14"/>
  </cols>
  <sheetData>
    <row r="14" spans="1:6" s="415" customFormat="1" ht="15" customHeight="1" x14ac:dyDescent="0.3">
      <c r="A14" s="459"/>
      <c r="C14" s="458"/>
      <c r="F14" s="458"/>
    </row>
    <row r="15" spans="1:6" s="415" customFormat="1" ht="18.75" customHeight="1" x14ac:dyDescent="0.3">
      <c r="A15" s="462" t="s">
        <v>0</v>
      </c>
      <c r="B15" s="462"/>
      <c r="C15" s="462"/>
      <c r="D15" s="462"/>
      <c r="E15" s="462"/>
    </row>
    <row r="16" spans="1:6" s="415" customFormat="1" ht="16.5" customHeight="1" x14ac:dyDescent="0.3">
      <c r="A16" s="454" t="s">
        <v>1</v>
      </c>
      <c r="B16" s="453" t="s">
        <v>128</v>
      </c>
    </row>
    <row r="17" spans="1:5" s="415" customFormat="1" ht="16.5" customHeight="1" x14ac:dyDescent="0.3">
      <c r="A17" s="451" t="s">
        <v>2</v>
      </c>
      <c r="B17" s="451" t="s">
        <v>4</v>
      </c>
      <c r="D17" s="457"/>
      <c r="E17" s="428"/>
    </row>
    <row r="18" spans="1:5" s="415" customFormat="1" ht="16.5" customHeight="1" x14ac:dyDescent="0.3">
      <c r="A18" s="427" t="s">
        <v>3</v>
      </c>
      <c r="B18" s="456" t="s">
        <v>127</v>
      </c>
      <c r="C18" s="428"/>
      <c r="D18" s="428"/>
      <c r="E18" s="428"/>
    </row>
    <row r="19" spans="1:5" s="415" customFormat="1" ht="16.5" customHeight="1" x14ac:dyDescent="0.3">
      <c r="A19" s="427" t="s">
        <v>5</v>
      </c>
      <c r="B19" s="452">
        <v>86.6</v>
      </c>
      <c r="C19" s="428"/>
      <c r="D19" s="428"/>
      <c r="E19" s="428"/>
    </row>
    <row r="20" spans="1:5" s="415" customFormat="1" ht="16.5" customHeight="1" x14ac:dyDescent="0.3">
      <c r="A20" s="451" t="s">
        <v>7</v>
      </c>
      <c r="B20" s="452">
        <f>'Clavulanic acid'!D43</f>
        <v>20.86</v>
      </c>
      <c r="C20" s="428"/>
      <c r="D20" s="428"/>
      <c r="E20" s="428"/>
    </row>
    <row r="21" spans="1:5" s="415" customFormat="1" ht="16.5" customHeight="1" x14ac:dyDescent="0.3">
      <c r="A21" s="451" t="s">
        <v>9</v>
      </c>
      <c r="B21" s="450">
        <f>B20/'Clavulanic acid'!B45</f>
        <v>0.12515999999999999</v>
      </c>
      <c r="C21" s="428"/>
      <c r="D21" s="428"/>
      <c r="E21" s="428"/>
    </row>
    <row r="22" spans="1:5" s="415" customFormat="1" ht="15.75" customHeight="1" x14ac:dyDescent="0.25">
      <c r="A22" s="428"/>
      <c r="B22" s="428"/>
      <c r="C22" s="428"/>
      <c r="D22" s="428"/>
      <c r="E22" s="428"/>
    </row>
    <row r="23" spans="1:5" s="415" customFormat="1" ht="16.5" customHeight="1" x14ac:dyDescent="0.3">
      <c r="A23" s="448" t="s">
        <v>12</v>
      </c>
      <c r="B23" s="449" t="s">
        <v>13</v>
      </c>
      <c r="C23" s="448" t="s">
        <v>14</v>
      </c>
      <c r="D23" s="448" t="s">
        <v>15</v>
      </c>
      <c r="E23" s="448" t="s">
        <v>16</v>
      </c>
    </row>
    <row r="24" spans="1:5" s="415" customFormat="1" ht="16.5" customHeight="1" x14ac:dyDescent="0.3">
      <c r="A24" s="444">
        <v>1</v>
      </c>
      <c r="B24" s="446">
        <v>18797798</v>
      </c>
      <c r="C24" s="446">
        <v>6752.95</v>
      </c>
      <c r="D24" s="445">
        <v>1.1000000000000001</v>
      </c>
      <c r="E24" s="447">
        <v>3.93</v>
      </c>
    </row>
    <row r="25" spans="1:5" s="415" customFormat="1" ht="16.5" customHeight="1" x14ac:dyDescent="0.3">
      <c r="A25" s="444">
        <v>2</v>
      </c>
      <c r="B25" s="446">
        <v>18847483</v>
      </c>
      <c r="C25" s="446">
        <v>7492.35</v>
      </c>
      <c r="D25" s="445">
        <v>1.1200000000000001</v>
      </c>
      <c r="E25" s="445">
        <v>3.93</v>
      </c>
    </row>
    <row r="26" spans="1:5" s="415" customFormat="1" ht="16.5" customHeight="1" x14ac:dyDescent="0.3">
      <c r="A26" s="444">
        <v>3</v>
      </c>
      <c r="B26" s="446">
        <v>18870478</v>
      </c>
      <c r="C26" s="446">
        <v>7165.69</v>
      </c>
      <c r="D26" s="445">
        <v>1.1100000000000001</v>
      </c>
      <c r="E26" s="445">
        <v>3.93</v>
      </c>
    </row>
    <row r="27" spans="1:5" s="415" customFormat="1" ht="16.5" customHeight="1" x14ac:dyDescent="0.3">
      <c r="A27" s="444">
        <v>4</v>
      </c>
      <c r="B27" s="446">
        <v>18731309</v>
      </c>
      <c r="C27" s="446">
        <v>7168.71</v>
      </c>
      <c r="D27" s="445">
        <v>1.1000000000000001</v>
      </c>
      <c r="E27" s="445">
        <v>3.93</v>
      </c>
    </row>
    <row r="28" spans="1:5" s="415" customFormat="1" ht="16.5" customHeight="1" x14ac:dyDescent="0.3">
      <c r="A28" s="444">
        <v>5</v>
      </c>
      <c r="B28" s="446">
        <v>18877543</v>
      </c>
      <c r="C28" s="446">
        <v>7384.84</v>
      </c>
      <c r="D28" s="445">
        <v>1.1299999999999999</v>
      </c>
      <c r="E28" s="445">
        <v>3.92</v>
      </c>
    </row>
    <row r="29" spans="1:5" s="415" customFormat="1" ht="16.5" customHeight="1" x14ac:dyDescent="0.3">
      <c r="A29" s="444">
        <v>6</v>
      </c>
      <c r="B29" s="443">
        <v>18854279</v>
      </c>
      <c r="C29" s="443">
        <v>7408.73</v>
      </c>
      <c r="D29" s="442">
        <v>1.1100000000000001</v>
      </c>
      <c r="E29" s="442">
        <v>3.92</v>
      </c>
    </row>
    <row r="30" spans="1:5" s="415" customFormat="1" ht="16.5" customHeight="1" x14ac:dyDescent="0.3">
      <c r="A30" s="441" t="s">
        <v>17</v>
      </c>
      <c r="B30" s="440">
        <f>AVERAGE(B24:B29)</f>
        <v>18829815</v>
      </c>
      <c r="C30" s="439">
        <f>AVERAGE(C24:C29)</f>
        <v>7228.8783333333313</v>
      </c>
      <c r="D30" s="438">
        <f>AVERAGE(D24:D29)</f>
        <v>1.1116666666666666</v>
      </c>
      <c r="E30" s="438">
        <f>AVERAGE(E24:E29)</f>
        <v>3.9266666666666672</v>
      </c>
    </row>
    <row r="31" spans="1:5" s="415" customFormat="1" ht="16.5" customHeight="1" x14ac:dyDescent="0.3">
      <c r="A31" s="437" t="s">
        <v>18</v>
      </c>
      <c r="B31" s="436">
        <f>(STDEV(B24:B29)/B30)</f>
        <v>2.9636145743629897E-3</v>
      </c>
      <c r="C31" s="435"/>
      <c r="D31" s="435"/>
      <c r="E31" s="434"/>
    </row>
    <row r="32" spans="1:5" s="415" customFormat="1" ht="16.5" customHeight="1" x14ac:dyDescent="0.3">
      <c r="A32" s="433" t="s">
        <v>19</v>
      </c>
      <c r="B32" s="432">
        <f>COUNT(B24:B29)</f>
        <v>6</v>
      </c>
      <c r="C32" s="431"/>
      <c r="D32" s="430"/>
      <c r="E32" s="429"/>
    </row>
    <row r="33" spans="1:5" s="415" customFormat="1" ht="15.75" customHeight="1" x14ac:dyDescent="0.25">
      <c r="A33" s="428"/>
      <c r="B33" s="428"/>
      <c r="C33" s="428"/>
      <c r="D33" s="428"/>
      <c r="E33" s="428"/>
    </row>
    <row r="34" spans="1:5" s="415" customFormat="1" ht="16.5" customHeight="1" x14ac:dyDescent="0.3">
      <c r="A34" s="427" t="s">
        <v>20</v>
      </c>
      <c r="B34" s="426" t="s">
        <v>21</v>
      </c>
      <c r="C34" s="425"/>
      <c r="D34" s="425"/>
      <c r="E34" s="425"/>
    </row>
    <row r="35" spans="1:5" s="415" customFormat="1" ht="16.5" customHeight="1" x14ac:dyDescent="0.3">
      <c r="A35" s="427"/>
      <c r="B35" s="426" t="s">
        <v>22</v>
      </c>
      <c r="C35" s="425"/>
      <c r="D35" s="425"/>
      <c r="E35" s="425"/>
    </row>
    <row r="36" spans="1:5" s="415" customFormat="1" ht="16.5" customHeight="1" x14ac:dyDescent="0.3">
      <c r="A36" s="427"/>
      <c r="B36" s="426" t="s">
        <v>23</v>
      </c>
      <c r="C36" s="425"/>
      <c r="D36" s="425"/>
      <c r="E36" s="425"/>
    </row>
    <row r="37" spans="1:5" s="415" customFormat="1" ht="15.75" customHeight="1" x14ac:dyDescent="0.3">
      <c r="A37" s="428"/>
      <c r="B37" s="455"/>
      <c r="C37" s="428"/>
      <c r="D37" s="428"/>
      <c r="E37" s="428"/>
    </row>
    <row r="38" spans="1:5" s="415" customFormat="1" ht="16.5" customHeight="1" x14ac:dyDescent="0.3">
      <c r="A38" s="454" t="s">
        <v>1</v>
      </c>
      <c r="B38" s="453" t="s">
        <v>126</v>
      </c>
    </row>
    <row r="39" spans="1:5" s="415" customFormat="1" ht="16.5" customHeight="1" x14ac:dyDescent="0.3">
      <c r="A39" s="427" t="s">
        <v>3</v>
      </c>
      <c r="B39" s="451" t="s">
        <v>124</v>
      </c>
      <c r="C39" s="428"/>
      <c r="D39" s="428"/>
      <c r="E39" s="428"/>
    </row>
    <row r="40" spans="1:5" s="415" customFormat="1" ht="16.5" customHeight="1" x14ac:dyDescent="0.3">
      <c r="A40" s="427" t="s">
        <v>5</v>
      </c>
      <c r="B40" s="452">
        <v>96.4</v>
      </c>
      <c r="C40" s="428"/>
      <c r="D40" s="428"/>
      <c r="E40" s="428"/>
    </row>
    <row r="41" spans="1:5" s="415" customFormat="1" ht="16.5" customHeight="1" x14ac:dyDescent="0.3">
      <c r="A41" s="451" t="s">
        <v>7</v>
      </c>
      <c r="B41" s="452">
        <f>'amoxicillin Trihydrate'!D43</f>
        <v>26.17</v>
      </c>
      <c r="C41" s="428"/>
      <c r="D41" s="428"/>
      <c r="E41" s="428"/>
    </row>
    <row r="42" spans="1:5" s="415" customFormat="1" ht="16.5" customHeight="1" x14ac:dyDescent="0.3">
      <c r="A42" s="451" t="s">
        <v>9</v>
      </c>
      <c r="B42" s="450">
        <f>B41/'amoxicillin Trihydrate'!B45</f>
        <v>0.52340000000000009</v>
      </c>
      <c r="C42" s="428"/>
      <c r="D42" s="428"/>
      <c r="E42" s="428"/>
    </row>
    <row r="43" spans="1:5" s="415" customFormat="1" ht="15.75" customHeight="1" x14ac:dyDescent="0.25">
      <c r="A43" s="428"/>
      <c r="B43" s="428"/>
      <c r="C43" s="428"/>
      <c r="D43" s="428"/>
      <c r="E43" s="428"/>
    </row>
    <row r="44" spans="1:5" s="415" customFormat="1" ht="16.5" customHeight="1" x14ac:dyDescent="0.3">
      <c r="A44" s="448" t="s">
        <v>12</v>
      </c>
      <c r="B44" s="449" t="s">
        <v>13</v>
      </c>
      <c r="C44" s="448" t="s">
        <v>14</v>
      </c>
      <c r="D44" s="448" t="s">
        <v>15</v>
      </c>
      <c r="E44" s="448" t="s">
        <v>16</v>
      </c>
    </row>
    <row r="45" spans="1:5" s="415" customFormat="1" ht="16.5" customHeight="1" x14ac:dyDescent="0.3">
      <c r="A45" s="444">
        <v>1</v>
      </c>
      <c r="B45" s="446">
        <v>54897024</v>
      </c>
      <c r="C45" s="446">
        <v>6315.21</v>
      </c>
      <c r="D45" s="445">
        <v>1.06</v>
      </c>
      <c r="E45" s="447">
        <v>5.74</v>
      </c>
    </row>
    <row r="46" spans="1:5" s="415" customFormat="1" ht="16.5" customHeight="1" x14ac:dyDescent="0.3">
      <c r="A46" s="444">
        <v>2</v>
      </c>
      <c r="B46" s="446">
        <v>54649940</v>
      </c>
      <c r="C46" s="446">
        <v>5808.15</v>
      </c>
      <c r="D46" s="445">
        <v>1.04</v>
      </c>
      <c r="E46" s="445">
        <v>5.74</v>
      </c>
    </row>
    <row r="47" spans="1:5" s="415" customFormat="1" ht="16.5" customHeight="1" x14ac:dyDescent="0.3">
      <c r="A47" s="444">
        <v>3</v>
      </c>
      <c r="B47" s="446">
        <v>54908859</v>
      </c>
      <c r="C47" s="446">
        <v>6114.82</v>
      </c>
      <c r="D47" s="445">
        <v>1.04</v>
      </c>
      <c r="E47" s="445">
        <v>5.74</v>
      </c>
    </row>
    <row r="48" spans="1:5" s="415" customFormat="1" ht="16.5" customHeight="1" x14ac:dyDescent="0.3">
      <c r="A48" s="444">
        <v>4</v>
      </c>
      <c r="B48" s="446">
        <v>54491641</v>
      </c>
      <c r="C48" s="446">
        <v>6120.91</v>
      </c>
      <c r="D48" s="445">
        <v>1.05</v>
      </c>
      <c r="E48" s="445">
        <v>5.74</v>
      </c>
    </row>
    <row r="49" spans="1:7" s="415" customFormat="1" ht="16.5" customHeight="1" x14ac:dyDescent="0.3">
      <c r="A49" s="444">
        <v>5</v>
      </c>
      <c r="B49" s="446">
        <v>54824952</v>
      </c>
      <c r="C49" s="446">
        <v>6242.11</v>
      </c>
      <c r="D49" s="445">
        <v>1.1299999999999999</v>
      </c>
      <c r="E49" s="445">
        <v>5.73</v>
      </c>
    </row>
    <row r="50" spans="1:7" s="415" customFormat="1" ht="16.5" customHeight="1" x14ac:dyDescent="0.3">
      <c r="A50" s="444">
        <v>6</v>
      </c>
      <c r="B50" s="443">
        <v>54869338</v>
      </c>
      <c r="C50" s="443">
        <v>6258.24</v>
      </c>
      <c r="D50" s="442">
        <v>1.05</v>
      </c>
      <c r="E50" s="442">
        <v>5.73</v>
      </c>
    </row>
    <row r="51" spans="1:7" s="415" customFormat="1" ht="16.5" customHeight="1" x14ac:dyDescent="0.3">
      <c r="A51" s="441" t="s">
        <v>17</v>
      </c>
      <c r="B51" s="440">
        <f>AVERAGE(B45:B50)</f>
        <v>54773625.666666664</v>
      </c>
      <c r="C51" s="439">
        <f>AVERAGE(C45:C50)</f>
        <v>6143.2400000000007</v>
      </c>
      <c r="D51" s="438">
        <f>AVERAGE(D45:D50)</f>
        <v>1.0616666666666668</v>
      </c>
      <c r="E51" s="438">
        <f>AVERAGE(E45:E50)</f>
        <v>5.7366666666666672</v>
      </c>
    </row>
    <row r="52" spans="1:7" s="415" customFormat="1" ht="16.5" customHeight="1" x14ac:dyDescent="0.3">
      <c r="A52" s="437" t="s">
        <v>18</v>
      </c>
      <c r="B52" s="436">
        <f>(STDEV(B45:B50)/B51)</f>
        <v>3.0563260480438877E-3</v>
      </c>
      <c r="C52" s="435"/>
      <c r="D52" s="435"/>
      <c r="E52" s="434"/>
    </row>
    <row r="53" spans="1:7" s="415" customFormat="1" ht="16.5" customHeight="1" x14ac:dyDescent="0.3">
      <c r="A53" s="433" t="s">
        <v>19</v>
      </c>
      <c r="B53" s="432">
        <f>COUNT(B45:B50)</f>
        <v>6</v>
      </c>
      <c r="C53" s="431"/>
      <c r="D53" s="430"/>
      <c r="E53" s="429"/>
    </row>
    <row r="54" spans="1:7" s="415" customFormat="1" ht="15.75" customHeight="1" x14ac:dyDescent="0.25">
      <c r="A54" s="428"/>
      <c r="B54" s="428"/>
      <c r="C54" s="428"/>
      <c r="D54" s="428"/>
      <c r="E54" s="428"/>
    </row>
    <row r="55" spans="1:7" s="415" customFormat="1" ht="16.5" customHeight="1" x14ac:dyDescent="0.3">
      <c r="A55" s="427" t="s">
        <v>20</v>
      </c>
      <c r="B55" s="426" t="s">
        <v>21</v>
      </c>
      <c r="C55" s="425"/>
      <c r="D55" s="425"/>
      <c r="E55" s="425"/>
    </row>
    <row r="56" spans="1:7" s="415" customFormat="1" ht="16.5" customHeight="1" x14ac:dyDescent="0.3">
      <c r="A56" s="427"/>
      <c r="B56" s="426" t="s">
        <v>22</v>
      </c>
      <c r="C56" s="425"/>
      <c r="D56" s="425"/>
      <c r="E56" s="425"/>
    </row>
    <row r="57" spans="1:7" s="415" customFormat="1" ht="16.5" customHeight="1" x14ac:dyDescent="0.3">
      <c r="A57" s="427"/>
      <c r="B57" s="426" t="s">
        <v>23</v>
      </c>
      <c r="C57" s="425"/>
      <c r="D57" s="425"/>
      <c r="E57" s="425"/>
    </row>
    <row r="58" spans="1:7" s="415" customFormat="1" ht="14.25" customHeight="1" thickBot="1" x14ac:dyDescent="0.3">
      <c r="A58" s="424"/>
      <c r="B58" s="423"/>
      <c r="D58" s="422"/>
      <c r="F58" s="414"/>
      <c r="G58" s="414"/>
    </row>
    <row r="59" spans="1:7" s="415" customFormat="1" ht="15" customHeight="1" x14ac:dyDescent="0.3">
      <c r="B59" s="463" t="s">
        <v>25</v>
      </c>
      <c r="C59" s="463"/>
      <c r="E59" s="420" t="s">
        <v>26</v>
      </c>
      <c r="F59" s="421"/>
      <c r="G59" s="420" t="s">
        <v>27</v>
      </c>
    </row>
    <row r="60" spans="1:7" s="415" customFormat="1" ht="15" customHeight="1" x14ac:dyDescent="0.3">
      <c r="A60" s="418" t="s">
        <v>28</v>
      </c>
      <c r="B60" s="419"/>
      <c r="C60" s="419"/>
      <c r="E60" s="419"/>
      <c r="G60" s="419"/>
    </row>
    <row r="61" spans="1:7" s="415" customFormat="1" ht="15" customHeight="1" x14ac:dyDescent="0.3">
      <c r="A61" s="418" t="s">
        <v>29</v>
      </c>
      <c r="B61" s="417"/>
      <c r="C61" s="417"/>
      <c r="E61" s="417"/>
      <c r="G61" s="41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7" sqref="B17:C17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14"/>
  </cols>
  <sheetData>
    <row r="14" spans="1:6" ht="15" customHeight="1" x14ac:dyDescent="0.3">
      <c r="A14" s="459"/>
      <c r="C14" s="458"/>
      <c r="F14" s="458"/>
    </row>
    <row r="15" spans="1:6" ht="18.75" customHeight="1" x14ac:dyDescent="0.3">
      <c r="A15" s="462" t="s">
        <v>0</v>
      </c>
      <c r="B15" s="462"/>
      <c r="C15" s="462"/>
      <c r="D15" s="462"/>
      <c r="E15" s="462"/>
    </row>
    <row r="16" spans="1:6" ht="16.5" customHeight="1" x14ac:dyDescent="0.3">
      <c r="A16" s="454" t="s">
        <v>1</v>
      </c>
      <c r="B16" s="453" t="s">
        <v>130</v>
      </c>
    </row>
    <row r="17" spans="1:5" ht="16.5" customHeight="1" x14ac:dyDescent="0.3">
      <c r="A17" s="451" t="s">
        <v>2</v>
      </c>
      <c r="B17" s="451" t="s">
        <v>4</v>
      </c>
      <c r="D17" s="457"/>
      <c r="E17" s="428"/>
    </row>
    <row r="18" spans="1:5" ht="16.5" customHeight="1" x14ac:dyDescent="0.3">
      <c r="A18" s="427" t="s">
        <v>3</v>
      </c>
      <c r="B18" s="456" t="s">
        <v>127</v>
      </c>
      <c r="C18" s="428"/>
      <c r="D18" s="428"/>
      <c r="E18" s="428"/>
    </row>
    <row r="19" spans="1:5" ht="16.5" customHeight="1" x14ac:dyDescent="0.3">
      <c r="A19" s="427" t="s">
        <v>5</v>
      </c>
      <c r="B19" s="452">
        <v>86.6</v>
      </c>
      <c r="C19" s="428"/>
      <c r="D19" s="428"/>
      <c r="E19" s="428"/>
    </row>
    <row r="20" spans="1:5" ht="16.5" customHeight="1" x14ac:dyDescent="0.3">
      <c r="A20" s="451" t="s">
        <v>7</v>
      </c>
      <c r="B20" s="452">
        <v>23.96</v>
      </c>
      <c r="C20" s="428"/>
      <c r="D20" s="428"/>
      <c r="E20" s="428"/>
    </row>
    <row r="21" spans="1:5" ht="16.5" customHeight="1" x14ac:dyDescent="0.3">
      <c r="A21" s="451" t="s">
        <v>9</v>
      </c>
      <c r="B21" s="450">
        <v>0.5</v>
      </c>
      <c r="C21" s="428"/>
      <c r="D21" s="428"/>
      <c r="E21" s="428"/>
    </row>
    <row r="22" spans="1:5" ht="15.75" customHeight="1" x14ac:dyDescent="0.25">
      <c r="A22" s="428"/>
      <c r="B22" s="428"/>
      <c r="C22" s="428"/>
      <c r="D22" s="428"/>
      <c r="E22" s="428"/>
    </row>
    <row r="23" spans="1:5" ht="16.5" customHeight="1" x14ac:dyDescent="0.3">
      <c r="A23" s="448" t="s">
        <v>12</v>
      </c>
      <c r="B23" s="449" t="s">
        <v>13</v>
      </c>
      <c r="C23" s="448" t="s">
        <v>14</v>
      </c>
      <c r="D23" s="448" t="s">
        <v>15</v>
      </c>
      <c r="E23" s="448" t="s">
        <v>16</v>
      </c>
    </row>
    <row r="24" spans="1:5" ht="16.5" customHeight="1" x14ac:dyDescent="0.3">
      <c r="A24" s="444">
        <v>1</v>
      </c>
      <c r="B24" s="446">
        <v>49622398</v>
      </c>
      <c r="C24" s="446">
        <v>9571</v>
      </c>
      <c r="D24" s="445">
        <v>1.2</v>
      </c>
      <c r="E24" s="447">
        <v>4.5</v>
      </c>
    </row>
    <row r="25" spans="1:5" ht="16.5" customHeight="1" x14ac:dyDescent="0.3">
      <c r="A25" s="444">
        <v>2</v>
      </c>
      <c r="B25" s="446">
        <v>48777801</v>
      </c>
      <c r="C25" s="446">
        <v>9517</v>
      </c>
      <c r="D25" s="445">
        <v>1.2</v>
      </c>
      <c r="E25" s="445">
        <v>4.4000000000000004</v>
      </c>
    </row>
    <row r="26" spans="1:5" ht="16.5" customHeight="1" x14ac:dyDescent="0.3">
      <c r="A26" s="444">
        <v>3</v>
      </c>
      <c r="B26" s="446">
        <v>48323247</v>
      </c>
      <c r="C26" s="446">
        <v>9326.1</v>
      </c>
      <c r="D26" s="445">
        <v>1.2</v>
      </c>
      <c r="E26" s="445">
        <v>4.3</v>
      </c>
    </row>
    <row r="27" spans="1:5" ht="16.5" customHeight="1" x14ac:dyDescent="0.3">
      <c r="A27" s="444">
        <v>4</v>
      </c>
      <c r="B27" s="446">
        <v>49622398</v>
      </c>
      <c r="C27" s="446">
        <v>9571</v>
      </c>
      <c r="D27" s="445">
        <v>1.2</v>
      </c>
      <c r="E27" s="445">
        <v>4.5</v>
      </c>
    </row>
    <row r="28" spans="1:5" ht="16.5" customHeight="1" x14ac:dyDescent="0.3">
      <c r="A28" s="444">
        <v>5</v>
      </c>
      <c r="B28" s="446">
        <v>48723771</v>
      </c>
      <c r="C28" s="446">
        <v>9841.6</v>
      </c>
      <c r="D28" s="445">
        <v>1.1000000000000001</v>
      </c>
      <c r="E28" s="445">
        <v>4.5999999999999996</v>
      </c>
    </row>
    <row r="29" spans="1:5" ht="16.5" customHeight="1" x14ac:dyDescent="0.3">
      <c r="A29" s="444">
        <v>6</v>
      </c>
      <c r="B29" s="443">
        <v>49344139</v>
      </c>
      <c r="C29" s="461" t="s">
        <v>129</v>
      </c>
      <c r="D29" s="442">
        <v>1.2</v>
      </c>
      <c r="E29" s="442">
        <v>4.5</v>
      </c>
    </row>
    <row r="30" spans="1:5" ht="16.5" customHeight="1" x14ac:dyDescent="0.3">
      <c r="A30" s="441" t="s">
        <v>17</v>
      </c>
      <c r="B30" s="440">
        <f>AVERAGE(B24:B29)</f>
        <v>49068959</v>
      </c>
      <c r="C30" s="439">
        <f>AVERAGE(C24:C29)</f>
        <v>9565.34</v>
      </c>
      <c r="D30" s="438">
        <f>AVERAGE(D24:D29)</f>
        <v>1.1833333333333333</v>
      </c>
      <c r="E30" s="438">
        <f>AVERAGE(E24:E29)</f>
        <v>4.4666666666666659</v>
      </c>
    </row>
    <row r="31" spans="1:5" ht="16.5" customHeight="1" x14ac:dyDescent="0.3">
      <c r="A31" s="437" t="s">
        <v>18</v>
      </c>
      <c r="B31" s="436">
        <f>(STDEV(B24:B29)/B30)</f>
        <v>1.0968356510689819E-2</v>
      </c>
      <c r="C31" s="435"/>
      <c r="D31" s="435"/>
      <c r="E31" s="434"/>
    </row>
    <row r="32" spans="1:5" s="415" customFormat="1" ht="16.5" customHeight="1" x14ac:dyDescent="0.3">
      <c r="A32" s="433" t="s">
        <v>19</v>
      </c>
      <c r="B32" s="432">
        <f>COUNT(B24:B29)</f>
        <v>6</v>
      </c>
      <c r="C32" s="431"/>
      <c r="D32" s="430"/>
      <c r="E32" s="429"/>
    </row>
    <row r="33" spans="1:5" s="415" customFormat="1" ht="15.75" customHeight="1" x14ac:dyDescent="0.25">
      <c r="A33" s="428"/>
      <c r="B33" s="428"/>
      <c r="C33" s="428"/>
      <c r="D33" s="428"/>
      <c r="E33" s="428"/>
    </row>
    <row r="34" spans="1:5" s="415" customFormat="1" ht="16.5" customHeight="1" x14ac:dyDescent="0.3">
      <c r="A34" s="427" t="s">
        <v>20</v>
      </c>
      <c r="B34" s="426" t="s">
        <v>21</v>
      </c>
      <c r="C34" s="425"/>
      <c r="D34" s="425"/>
      <c r="E34" s="425"/>
    </row>
    <row r="35" spans="1:5" ht="16.5" customHeight="1" x14ac:dyDescent="0.3">
      <c r="A35" s="427"/>
      <c r="B35" s="426" t="s">
        <v>22</v>
      </c>
      <c r="C35" s="425"/>
      <c r="D35" s="425"/>
      <c r="E35" s="425"/>
    </row>
    <row r="36" spans="1:5" ht="16.5" customHeight="1" x14ac:dyDescent="0.3">
      <c r="A36" s="427"/>
      <c r="B36" s="426" t="s">
        <v>23</v>
      </c>
      <c r="C36" s="425"/>
      <c r="D36" s="425"/>
      <c r="E36" s="425"/>
    </row>
    <row r="37" spans="1:5" ht="15.75" customHeight="1" x14ac:dyDescent="0.3">
      <c r="A37" s="428"/>
      <c r="B37" s="455" t="s">
        <v>127</v>
      </c>
      <c r="C37" s="428"/>
      <c r="D37" s="428"/>
      <c r="E37" s="428"/>
    </row>
    <row r="38" spans="1:5" ht="16.5" customHeight="1" x14ac:dyDescent="0.3">
      <c r="A38" s="454" t="s">
        <v>1</v>
      </c>
      <c r="B38" s="460" t="s">
        <v>24</v>
      </c>
    </row>
    <row r="39" spans="1:5" ht="16.5" customHeight="1" x14ac:dyDescent="0.3">
      <c r="A39" s="427" t="s">
        <v>3</v>
      </c>
      <c r="B39" s="451" t="s">
        <v>124</v>
      </c>
      <c r="C39" s="428"/>
      <c r="D39" s="428"/>
      <c r="E39" s="428"/>
    </row>
    <row r="40" spans="1:5" ht="16.5" customHeight="1" x14ac:dyDescent="0.3">
      <c r="A40" s="427" t="s">
        <v>5</v>
      </c>
      <c r="B40" s="452">
        <v>96.4</v>
      </c>
      <c r="C40" s="428"/>
      <c r="D40" s="428"/>
      <c r="E40" s="428"/>
    </row>
    <row r="41" spans="1:5" ht="16.5" customHeight="1" x14ac:dyDescent="0.3">
      <c r="A41" s="451" t="s">
        <v>7</v>
      </c>
      <c r="B41" s="452">
        <v>23.1</v>
      </c>
      <c r="C41" s="428"/>
      <c r="D41" s="428"/>
      <c r="E41" s="428"/>
    </row>
    <row r="42" spans="1:5" ht="16.5" customHeight="1" x14ac:dyDescent="0.3">
      <c r="A42" s="451" t="s">
        <v>9</v>
      </c>
      <c r="B42" s="450">
        <v>0.125</v>
      </c>
      <c r="C42" s="428"/>
      <c r="D42" s="428"/>
      <c r="E42" s="428"/>
    </row>
    <row r="43" spans="1:5" ht="15.75" customHeight="1" x14ac:dyDescent="0.25">
      <c r="A43" s="428"/>
      <c r="B43" s="428"/>
      <c r="C43" s="428"/>
      <c r="D43" s="428"/>
      <c r="E43" s="428"/>
    </row>
    <row r="44" spans="1:5" ht="16.5" customHeight="1" x14ac:dyDescent="0.3">
      <c r="A44" s="448" t="s">
        <v>12</v>
      </c>
      <c r="B44" s="449" t="s">
        <v>13</v>
      </c>
      <c r="C44" s="448" t="s">
        <v>14</v>
      </c>
      <c r="D44" s="448" t="s">
        <v>15</v>
      </c>
      <c r="E44" s="448" t="s">
        <v>16</v>
      </c>
    </row>
    <row r="45" spans="1:5" ht="16.5" customHeight="1" x14ac:dyDescent="0.3">
      <c r="A45" s="444">
        <v>1</v>
      </c>
      <c r="B45" s="446">
        <v>113104485</v>
      </c>
      <c r="C45" s="446">
        <v>7135.2</v>
      </c>
      <c r="D45" s="445">
        <v>1</v>
      </c>
      <c r="E45" s="447">
        <v>7.8</v>
      </c>
    </row>
    <row r="46" spans="1:5" ht="16.5" customHeight="1" x14ac:dyDescent="0.3">
      <c r="A46" s="444">
        <v>2</v>
      </c>
      <c r="B46" s="446">
        <v>112525467</v>
      </c>
      <c r="C46" s="446">
        <v>7010.6</v>
      </c>
      <c r="D46" s="445">
        <v>1</v>
      </c>
      <c r="E46" s="445">
        <v>7.6</v>
      </c>
    </row>
    <row r="47" spans="1:5" ht="16.5" customHeight="1" x14ac:dyDescent="0.3">
      <c r="A47" s="444">
        <v>3</v>
      </c>
      <c r="B47" s="446">
        <v>108739959</v>
      </c>
      <c r="C47" s="446">
        <v>7012.2</v>
      </c>
      <c r="D47" s="445">
        <v>1</v>
      </c>
      <c r="E47" s="445">
        <v>7.6</v>
      </c>
    </row>
    <row r="48" spans="1:5" ht="16.5" customHeight="1" x14ac:dyDescent="0.3">
      <c r="A48" s="444">
        <v>4</v>
      </c>
      <c r="B48" s="446">
        <v>110031634</v>
      </c>
      <c r="C48" s="446">
        <v>5874.6</v>
      </c>
      <c r="D48" s="445">
        <v>1</v>
      </c>
      <c r="E48" s="445">
        <v>7.5</v>
      </c>
    </row>
    <row r="49" spans="1:7" ht="16.5" customHeight="1" x14ac:dyDescent="0.3">
      <c r="A49" s="444">
        <v>5</v>
      </c>
      <c r="B49" s="446">
        <v>109871362</v>
      </c>
      <c r="C49" s="446">
        <v>6808</v>
      </c>
      <c r="D49" s="445">
        <v>1</v>
      </c>
      <c r="E49" s="445">
        <v>7.4</v>
      </c>
    </row>
    <row r="50" spans="1:7" ht="16.5" customHeight="1" x14ac:dyDescent="0.3">
      <c r="A50" s="444">
        <v>6</v>
      </c>
      <c r="B50" s="443"/>
      <c r="C50" s="443"/>
      <c r="D50" s="442"/>
      <c r="E50" s="442"/>
    </row>
    <row r="51" spans="1:7" ht="16.5" customHeight="1" x14ac:dyDescent="0.3">
      <c r="A51" s="441" t="s">
        <v>17</v>
      </c>
      <c r="B51" s="440">
        <f>AVERAGE(B45:B50)</f>
        <v>110854581.40000001</v>
      </c>
      <c r="C51" s="439">
        <f>AVERAGE(C45:C50)</f>
        <v>6768.12</v>
      </c>
      <c r="D51" s="438">
        <f>AVERAGE(D45:D50)</f>
        <v>1</v>
      </c>
      <c r="E51" s="438">
        <f>AVERAGE(E45:E50)</f>
        <v>7.58</v>
      </c>
    </row>
    <row r="52" spans="1:7" ht="16.5" customHeight="1" x14ac:dyDescent="0.3">
      <c r="A52" s="437" t="s">
        <v>18</v>
      </c>
      <c r="B52" s="436">
        <f>(STDEV(B45:B50)/B51)</f>
        <v>1.6858038119941625E-2</v>
      </c>
      <c r="C52" s="435"/>
      <c r="D52" s="435"/>
      <c r="E52" s="434"/>
    </row>
    <row r="53" spans="1:7" s="415" customFormat="1" ht="16.5" customHeight="1" x14ac:dyDescent="0.3">
      <c r="A53" s="433" t="s">
        <v>19</v>
      </c>
      <c r="B53" s="432">
        <f>COUNT(B45:B50)</f>
        <v>5</v>
      </c>
      <c r="C53" s="431"/>
      <c r="D53" s="430"/>
      <c r="E53" s="429"/>
    </row>
    <row r="54" spans="1:7" s="415" customFormat="1" ht="15.75" customHeight="1" x14ac:dyDescent="0.25">
      <c r="A54" s="428"/>
      <c r="B54" s="428"/>
      <c r="C54" s="428"/>
      <c r="D54" s="428"/>
      <c r="E54" s="428"/>
    </row>
    <row r="55" spans="1:7" s="415" customFormat="1" ht="16.5" customHeight="1" x14ac:dyDescent="0.3">
      <c r="A55" s="427" t="s">
        <v>20</v>
      </c>
      <c r="B55" s="426" t="s">
        <v>21</v>
      </c>
      <c r="C55" s="425"/>
      <c r="D55" s="425"/>
      <c r="E55" s="425"/>
    </row>
    <row r="56" spans="1:7" ht="16.5" customHeight="1" x14ac:dyDescent="0.3">
      <c r="A56" s="427"/>
      <c r="B56" s="426" t="s">
        <v>22</v>
      </c>
      <c r="C56" s="425"/>
      <c r="D56" s="425"/>
      <c r="E56" s="425"/>
    </row>
    <row r="57" spans="1:7" ht="16.5" customHeight="1" x14ac:dyDescent="0.3">
      <c r="A57" s="427"/>
      <c r="B57" s="426" t="s">
        <v>23</v>
      </c>
      <c r="C57" s="425"/>
      <c r="D57" s="425"/>
      <c r="E57" s="425"/>
    </row>
    <row r="58" spans="1:7" ht="14.25" customHeight="1" thickBot="1" x14ac:dyDescent="0.3">
      <c r="A58" s="424"/>
      <c r="B58" s="423"/>
      <c r="D58" s="422"/>
      <c r="F58" s="414"/>
      <c r="G58" s="414"/>
    </row>
    <row r="59" spans="1:7" ht="15" customHeight="1" x14ac:dyDescent="0.3">
      <c r="B59" s="463" t="s">
        <v>25</v>
      </c>
      <c r="C59" s="463"/>
      <c r="E59" s="420" t="s">
        <v>26</v>
      </c>
      <c r="F59" s="421"/>
      <c r="G59" s="420" t="s">
        <v>27</v>
      </c>
    </row>
    <row r="60" spans="1:7" ht="15" customHeight="1" x14ac:dyDescent="0.3">
      <c r="A60" s="418" t="s">
        <v>28</v>
      </c>
      <c r="B60" s="419"/>
      <c r="C60" s="419"/>
      <c r="E60" s="419"/>
      <c r="G60" s="419"/>
    </row>
    <row r="61" spans="1:7" ht="15" customHeight="1" x14ac:dyDescent="0.3">
      <c r="A61" s="418" t="s">
        <v>29</v>
      </c>
      <c r="B61" s="417"/>
      <c r="C61" s="417"/>
      <c r="E61" s="417"/>
      <c r="G61" s="41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7" t="s">
        <v>30</v>
      </c>
      <c r="B11" s="468"/>
      <c r="C11" s="468"/>
      <c r="D11" s="468"/>
      <c r="E11" s="468"/>
      <c r="F11" s="469"/>
      <c r="G11" s="43"/>
    </row>
    <row r="12" spans="1:7" ht="16.5" customHeight="1" x14ac:dyDescent="0.3">
      <c r="A12" s="466" t="s">
        <v>31</v>
      </c>
      <c r="B12" s="466"/>
      <c r="C12" s="466"/>
      <c r="D12" s="466"/>
      <c r="E12" s="466"/>
      <c r="F12" s="466"/>
      <c r="G12" s="42"/>
    </row>
    <row r="14" spans="1:7" ht="16.5" customHeight="1" x14ac:dyDescent="0.3">
      <c r="A14" s="471" t="s">
        <v>32</v>
      </c>
      <c r="B14" s="471"/>
      <c r="C14" s="12" t="s">
        <v>4</v>
      </c>
    </row>
    <row r="15" spans="1:7" ht="16.5" customHeight="1" x14ac:dyDescent="0.3">
      <c r="A15" s="471" t="s">
        <v>33</v>
      </c>
      <c r="B15" s="471"/>
      <c r="C15" s="12" t="s">
        <v>6</v>
      </c>
    </row>
    <row r="16" spans="1:7" ht="16.5" customHeight="1" x14ac:dyDescent="0.3">
      <c r="A16" s="471" t="s">
        <v>34</v>
      </c>
      <c r="B16" s="471"/>
      <c r="C16" s="12" t="s">
        <v>8</v>
      </c>
    </row>
    <row r="17" spans="1:5" ht="16.5" customHeight="1" x14ac:dyDescent="0.3">
      <c r="A17" s="471" t="s">
        <v>35</v>
      </c>
      <c r="B17" s="471"/>
      <c r="C17" s="12" t="s">
        <v>10</v>
      </c>
    </row>
    <row r="18" spans="1:5" ht="16.5" customHeight="1" x14ac:dyDescent="0.3">
      <c r="A18" s="471" t="s">
        <v>36</v>
      </c>
      <c r="B18" s="471"/>
      <c r="C18" s="49" t="s">
        <v>11</v>
      </c>
    </row>
    <row r="19" spans="1:5" ht="16.5" customHeight="1" x14ac:dyDescent="0.3">
      <c r="A19" s="471" t="s">
        <v>37</v>
      </c>
      <c r="B19" s="47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6" t="s">
        <v>1</v>
      </c>
      <c r="B21" s="466"/>
      <c r="C21" s="11" t="s">
        <v>38</v>
      </c>
      <c r="D21" s="18"/>
    </row>
    <row r="22" spans="1:5" ht="15.75" customHeight="1" x14ac:dyDescent="0.3">
      <c r="A22" s="470"/>
      <c r="B22" s="470"/>
      <c r="C22" s="9"/>
      <c r="D22" s="470"/>
      <c r="E22" s="470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1032.0999999999999</v>
      </c>
      <c r="D24" s="39">
        <f t="shared" ref="D24:D43" si="0">(C24-$C$46)/$C$46</f>
        <v>8.2872793242003088E-3</v>
      </c>
      <c r="E24" s="5"/>
    </row>
    <row r="25" spans="1:5" ht="15.75" customHeight="1" x14ac:dyDescent="0.3">
      <c r="C25" s="47">
        <v>1023.47</v>
      </c>
      <c r="D25" s="40">
        <f t="shared" si="0"/>
        <v>-1.4360840040751036E-4</v>
      </c>
      <c r="E25" s="5"/>
    </row>
    <row r="26" spans="1:5" ht="15.75" customHeight="1" x14ac:dyDescent="0.3">
      <c r="C26" s="47">
        <v>1033.43</v>
      </c>
      <c r="D26" s="40">
        <f t="shared" si="0"/>
        <v>9.5865934231261322E-3</v>
      </c>
      <c r="E26" s="5"/>
    </row>
    <row r="27" spans="1:5" ht="15.75" customHeight="1" x14ac:dyDescent="0.3">
      <c r="C27" s="47">
        <v>1009.65</v>
      </c>
      <c r="D27" s="40">
        <f t="shared" si="0"/>
        <v>-1.3644751894507404E-2</v>
      </c>
      <c r="E27" s="5"/>
    </row>
    <row r="28" spans="1:5" ht="15.75" customHeight="1" x14ac:dyDescent="0.3">
      <c r="C28" s="47">
        <v>1040.81</v>
      </c>
      <c r="D28" s="40">
        <f t="shared" si="0"/>
        <v>1.6796321280322605E-2</v>
      </c>
      <c r="E28" s="5"/>
    </row>
    <row r="29" spans="1:5" ht="15.75" customHeight="1" x14ac:dyDescent="0.3">
      <c r="C29" s="47">
        <v>999.73</v>
      </c>
      <c r="D29" s="40">
        <f t="shared" si="0"/>
        <v>-2.3335876602283808E-2</v>
      </c>
      <c r="E29" s="5"/>
    </row>
    <row r="30" spans="1:5" ht="15.75" customHeight="1" x14ac:dyDescent="0.3">
      <c r="C30" s="47">
        <v>1015.13</v>
      </c>
      <c r="D30" s="40">
        <f t="shared" si="0"/>
        <v>-8.2911870357760438E-3</v>
      </c>
      <c r="E30" s="5"/>
    </row>
    <row r="31" spans="1:5" ht="15.75" customHeight="1" x14ac:dyDescent="0.3">
      <c r="C31" s="47">
        <v>1014.05</v>
      </c>
      <c r="D31" s="40">
        <f t="shared" si="0"/>
        <v>-9.3462691612194865E-3</v>
      </c>
      <c r="E31" s="5"/>
    </row>
    <row r="32" spans="1:5" ht="15.75" customHeight="1" x14ac:dyDescent="0.3">
      <c r="C32" s="47">
        <v>1050.03</v>
      </c>
      <c r="D32" s="40">
        <f t="shared" si="0"/>
        <v>2.5803596462348723E-2</v>
      </c>
      <c r="E32" s="5"/>
    </row>
    <row r="33" spans="1:7" ht="15.75" customHeight="1" x14ac:dyDescent="0.3">
      <c r="C33" s="47">
        <v>1021.65</v>
      </c>
      <c r="D33" s="40">
        <f t="shared" si="0"/>
        <v>-1.9216171673584793E-3</v>
      </c>
      <c r="E33" s="5"/>
    </row>
    <row r="34" spans="1:7" ht="15.75" customHeight="1" x14ac:dyDescent="0.3">
      <c r="C34" s="47">
        <v>1005.88</v>
      </c>
      <c r="D34" s="40">
        <f t="shared" si="0"/>
        <v>-1.7327770054620006E-2</v>
      </c>
      <c r="E34" s="5"/>
    </row>
    <row r="35" spans="1:7" ht="15.75" customHeight="1" x14ac:dyDescent="0.3">
      <c r="C35" s="47">
        <v>1017.51</v>
      </c>
      <c r="D35" s="40">
        <f t="shared" si="0"/>
        <v>-5.9660986482248449E-3</v>
      </c>
      <c r="E35" s="5"/>
    </row>
    <row r="36" spans="1:7" ht="15.75" customHeight="1" x14ac:dyDescent="0.3">
      <c r="C36" s="47">
        <v>998.46</v>
      </c>
      <c r="D36" s="40">
        <f t="shared" si="0"/>
        <v>-2.4576575027573717E-2</v>
      </c>
      <c r="E36" s="5"/>
    </row>
    <row r="37" spans="1:7" ht="15.75" customHeight="1" x14ac:dyDescent="0.3">
      <c r="C37" s="47">
        <v>1015.14</v>
      </c>
      <c r="D37" s="40">
        <f t="shared" si="0"/>
        <v>-8.2814177568367627E-3</v>
      </c>
      <c r="E37" s="5"/>
    </row>
    <row r="38" spans="1:7" ht="15.75" customHeight="1" x14ac:dyDescent="0.3">
      <c r="C38" s="47">
        <v>1009.03</v>
      </c>
      <c r="D38" s="40">
        <f t="shared" si="0"/>
        <v>-1.4250447188743435E-2</v>
      </c>
      <c r="E38" s="5"/>
    </row>
    <row r="39" spans="1:7" ht="15.75" customHeight="1" x14ac:dyDescent="0.3">
      <c r="C39" s="47">
        <v>1040.83</v>
      </c>
      <c r="D39" s="40">
        <f t="shared" si="0"/>
        <v>1.6815859838201171E-2</v>
      </c>
      <c r="E39" s="5"/>
    </row>
    <row r="40" spans="1:7" ht="15.75" customHeight="1" x14ac:dyDescent="0.3">
      <c r="C40" s="47">
        <v>1033.6500000000001</v>
      </c>
      <c r="D40" s="40">
        <f t="shared" si="0"/>
        <v>9.8015175597905551E-3</v>
      </c>
      <c r="E40" s="5"/>
    </row>
    <row r="41" spans="1:7" ht="15.75" customHeight="1" x14ac:dyDescent="0.3">
      <c r="C41" s="47">
        <v>1035.97</v>
      </c>
      <c r="D41" s="40">
        <f t="shared" si="0"/>
        <v>1.2067990273705953E-2</v>
      </c>
      <c r="E41" s="5"/>
    </row>
    <row r="42" spans="1:7" ht="15.75" customHeight="1" x14ac:dyDescent="0.3">
      <c r="C42" s="47">
        <v>1039.72</v>
      </c>
      <c r="D42" s="40">
        <f t="shared" si="0"/>
        <v>1.5731469875939992E-2</v>
      </c>
      <c r="E42" s="5"/>
    </row>
    <row r="43" spans="1:7" ht="16.5" customHeight="1" x14ac:dyDescent="0.3">
      <c r="C43" s="48">
        <v>1036.0999999999999</v>
      </c>
      <c r="D43" s="41">
        <f t="shared" si="0"/>
        <v>1.2194990899916616E-2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20472.34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1023.617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464">
        <f>C46</f>
        <v>1023.617</v>
      </c>
      <c r="C49" s="45">
        <f>-IF(C46&lt;=80,10%,IF(C46&lt;250,7.5%,5%))</f>
        <v>-0.05</v>
      </c>
      <c r="D49" s="33">
        <f>IF(C46&lt;=80,C46*0.9,IF(C46&lt;250,C46*0.925,C46*0.95))</f>
        <v>972.43614999999988</v>
      </c>
    </row>
    <row r="50" spans="1:6" ht="17.25" customHeight="1" x14ac:dyDescent="0.3">
      <c r="B50" s="465"/>
      <c r="C50" s="46">
        <f>IF(C46&lt;=80, 10%, IF(C46&lt;250, 7.5%, 5%))</f>
        <v>0.05</v>
      </c>
      <c r="D50" s="33">
        <f>IF(C46&lt;=80, C46*1.1, IF(C46&lt;250, C46*1.075, C46*1.05))</f>
        <v>1074.7978499999999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0" zoomScale="60" zoomScaleNormal="40" zoomScalePageLayoutView="55" workbookViewId="0">
      <selection activeCell="C120" sqref="C120:D1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0" t="s">
        <v>44</v>
      </c>
      <c r="B1" s="500"/>
      <c r="C1" s="500"/>
      <c r="D1" s="500"/>
      <c r="E1" s="500"/>
      <c r="F1" s="500"/>
      <c r="G1" s="500"/>
      <c r="H1" s="500"/>
      <c r="I1" s="500"/>
    </row>
    <row r="2" spans="1:9" ht="18.75" customHeight="1" x14ac:dyDescent="0.25">
      <c r="A2" s="500"/>
      <c r="B2" s="500"/>
      <c r="C2" s="500"/>
      <c r="D2" s="500"/>
      <c r="E2" s="500"/>
      <c r="F2" s="500"/>
      <c r="G2" s="500"/>
      <c r="H2" s="500"/>
      <c r="I2" s="500"/>
    </row>
    <row r="3" spans="1:9" ht="18.75" customHeight="1" x14ac:dyDescent="0.25">
      <c r="A3" s="500"/>
      <c r="B3" s="500"/>
      <c r="C3" s="500"/>
      <c r="D3" s="500"/>
      <c r="E3" s="500"/>
      <c r="F3" s="500"/>
      <c r="G3" s="500"/>
      <c r="H3" s="500"/>
      <c r="I3" s="500"/>
    </row>
    <row r="4" spans="1:9" ht="18.75" customHeight="1" x14ac:dyDescent="0.25">
      <c r="A4" s="500"/>
      <c r="B4" s="500"/>
      <c r="C4" s="500"/>
      <c r="D4" s="500"/>
      <c r="E4" s="500"/>
      <c r="F4" s="500"/>
      <c r="G4" s="500"/>
      <c r="H4" s="500"/>
      <c r="I4" s="500"/>
    </row>
    <row r="5" spans="1:9" ht="18.75" customHeight="1" x14ac:dyDescent="0.25">
      <c r="A5" s="500"/>
      <c r="B5" s="500"/>
      <c r="C5" s="500"/>
      <c r="D5" s="500"/>
      <c r="E5" s="500"/>
      <c r="F5" s="500"/>
      <c r="G5" s="500"/>
      <c r="H5" s="500"/>
      <c r="I5" s="500"/>
    </row>
    <row r="6" spans="1:9" ht="18.75" customHeight="1" x14ac:dyDescent="0.25">
      <c r="A6" s="500"/>
      <c r="B6" s="500"/>
      <c r="C6" s="500"/>
      <c r="D6" s="500"/>
      <c r="E6" s="500"/>
      <c r="F6" s="500"/>
      <c r="G6" s="500"/>
      <c r="H6" s="500"/>
      <c r="I6" s="500"/>
    </row>
    <row r="7" spans="1:9" ht="18.75" customHeight="1" x14ac:dyDescent="0.25">
      <c r="A7" s="500"/>
      <c r="B7" s="500"/>
      <c r="C7" s="500"/>
      <c r="D7" s="500"/>
      <c r="E7" s="500"/>
      <c r="F7" s="500"/>
      <c r="G7" s="500"/>
      <c r="H7" s="500"/>
      <c r="I7" s="500"/>
    </row>
    <row r="8" spans="1:9" x14ac:dyDescent="0.25">
      <c r="A8" s="501" t="s">
        <v>45</v>
      </c>
      <c r="B8" s="501"/>
      <c r="C8" s="501"/>
      <c r="D8" s="501"/>
      <c r="E8" s="501"/>
      <c r="F8" s="501"/>
      <c r="G8" s="501"/>
      <c r="H8" s="501"/>
      <c r="I8" s="501"/>
    </row>
    <row r="9" spans="1:9" x14ac:dyDescent="0.25">
      <c r="A9" s="501"/>
      <c r="B9" s="501"/>
      <c r="C9" s="501"/>
      <c r="D9" s="501"/>
      <c r="E9" s="501"/>
      <c r="F9" s="501"/>
      <c r="G9" s="501"/>
      <c r="H9" s="501"/>
      <c r="I9" s="501"/>
    </row>
    <row r="10" spans="1:9" x14ac:dyDescent="0.25">
      <c r="A10" s="501"/>
      <c r="B10" s="501"/>
      <c r="C10" s="501"/>
      <c r="D10" s="501"/>
      <c r="E10" s="501"/>
      <c r="F10" s="501"/>
      <c r="G10" s="501"/>
      <c r="H10" s="501"/>
      <c r="I10" s="501"/>
    </row>
    <row r="11" spans="1:9" x14ac:dyDescent="0.25">
      <c r="A11" s="501"/>
      <c r="B11" s="501"/>
      <c r="C11" s="501"/>
      <c r="D11" s="501"/>
      <c r="E11" s="501"/>
      <c r="F11" s="501"/>
      <c r="G11" s="501"/>
      <c r="H11" s="501"/>
      <c r="I11" s="501"/>
    </row>
    <row r="12" spans="1:9" x14ac:dyDescent="0.25">
      <c r="A12" s="501"/>
      <c r="B12" s="501"/>
      <c r="C12" s="501"/>
      <c r="D12" s="501"/>
      <c r="E12" s="501"/>
      <c r="F12" s="501"/>
      <c r="G12" s="501"/>
      <c r="H12" s="501"/>
      <c r="I12" s="501"/>
    </row>
    <row r="13" spans="1:9" x14ac:dyDescent="0.25">
      <c r="A13" s="501"/>
      <c r="B13" s="501"/>
      <c r="C13" s="501"/>
      <c r="D13" s="501"/>
      <c r="E13" s="501"/>
      <c r="F13" s="501"/>
      <c r="G13" s="501"/>
      <c r="H13" s="501"/>
      <c r="I13" s="501"/>
    </row>
    <row r="14" spans="1:9" x14ac:dyDescent="0.25">
      <c r="A14" s="501"/>
      <c r="B14" s="501"/>
      <c r="C14" s="501"/>
      <c r="D14" s="501"/>
      <c r="E14" s="501"/>
      <c r="F14" s="501"/>
      <c r="G14" s="501"/>
      <c r="H14" s="501"/>
      <c r="I14" s="501"/>
    </row>
    <row r="15" spans="1:9" ht="19.5" customHeight="1" x14ac:dyDescent="0.3">
      <c r="A15" s="50"/>
    </row>
    <row r="16" spans="1:9" ht="19.5" customHeight="1" x14ac:dyDescent="0.3">
      <c r="A16" s="473" t="s">
        <v>30</v>
      </c>
      <c r="B16" s="474"/>
      <c r="C16" s="474"/>
      <c r="D16" s="474"/>
      <c r="E16" s="474"/>
      <c r="F16" s="474"/>
      <c r="G16" s="474"/>
      <c r="H16" s="475"/>
    </row>
    <row r="17" spans="1:14" ht="20.25" customHeight="1" x14ac:dyDescent="0.25">
      <c r="A17" s="476" t="s">
        <v>46</v>
      </c>
      <c r="B17" s="476"/>
      <c r="C17" s="476"/>
      <c r="D17" s="476"/>
      <c r="E17" s="476"/>
      <c r="F17" s="476"/>
      <c r="G17" s="476"/>
      <c r="H17" s="476"/>
    </row>
    <row r="18" spans="1:14" ht="26.25" customHeight="1" x14ac:dyDescent="0.4">
      <c r="A18" s="52" t="s">
        <v>32</v>
      </c>
      <c r="B18" s="472" t="s">
        <v>4</v>
      </c>
      <c r="C18" s="472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6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477" t="s">
        <v>8</v>
      </c>
      <c r="C20" s="477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477" t="s">
        <v>10</v>
      </c>
      <c r="C21" s="477"/>
      <c r="D21" s="477"/>
      <c r="E21" s="477"/>
      <c r="F21" s="477"/>
      <c r="G21" s="477"/>
      <c r="H21" s="477"/>
      <c r="I21" s="56"/>
    </row>
    <row r="22" spans="1:14" ht="26.25" customHeight="1" x14ac:dyDescent="0.4">
      <c r="A22" s="52" t="s">
        <v>36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472" t="s">
        <v>124</v>
      </c>
      <c r="C26" s="472"/>
    </row>
    <row r="27" spans="1:14" ht="26.25" customHeight="1" x14ac:dyDescent="0.4">
      <c r="A27" s="61" t="s">
        <v>47</v>
      </c>
      <c r="B27" s="478"/>
      <c r="C27" s="478"/>
    </row>
    <row r="28" spans="1:14" ht="27" customHeight="1" x14ac:dyDescent="0.4">
      <c r="A28" s="61" t="s">
        <v>5</v>
      </c>
      <c r="B28" s="62">
        <v>86.6</v>
      </c>
    </row>
    <row r="29" spans="1:14" s="3" customFormat="1" ht="27" customHeight="1" x14ac:dyDescent="0.4">
      <c r="A29" s="61" t="s">
        <v>48</v>
      </c>
      <c r="B29" s="63"/>
      <c r="C29" s="479" t="s">
        <v>49</v>
      </c>
      <c r="D29" s="480"/>
      <c r="E29" s="480"/>
      <c r="F29" s="480"/>
      <c r="G29" s="481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86.6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482" t="s">
        <v>52</v>
      </c>
      <c r="D31" s="483"/>
      <c r="E31" s="483"/>
      <c r="F31" s="483"/>
      <c r="G31" s="483"/>
      <c r="H31" s="484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482" t="s">
        <v>54</v>
      </c>
      <c r="D32" s="483"/>
      <c r="E32" s="483"/>
      <c r="F32" s="483"/>
      <c r="G32" s="483"/>
      <c r="H32" s="48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20</v>
      </c>
      <c r="C36" s="51"/>
      <c r="D36" s="485" t="s">
        <v>58</v>
      </c>
      <c r="E36" s="486"/>
      <c r="F36" s="485" t="s">
        <v>59</v>
      </c>
      <c r="G36" s="48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10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25</v>
      </c>
      <c r="C38" s="83">
        <v>1</v>
      </c>
      <c r="D38" s="84">
        <v>108887864</v>
      </c>
      <c r="E38" s="85">
        <f>IF(ISBLANK(D38),"-",$D$48/$D$45*D38)</f>
        <v>120115173.39548394</v>
      </c>
      <c r="F38" s="84">
        <v>107427279</v>
      </c>
      <c r="G38" s="86">
        <f>IF(ISBLANK(F38),"-",$D$48/$F$45*F38)</f>
        <v>120577348.12458922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109230554</v>
      </c>
      <c r="E39" s="90">
        <f>IF(ISBLANK(D39),"-",$D$48/$D$45*D39)</f>
        <v>120493197.78919323</v>
      </c>
      <c r="F39" s="89">
        <v>107183771</v>
      </c>
      <c r="G39" s="91">
        <f>IF(ISBLANK(F39),"-",$D$48/$F$45*F39)</f>
        <v>120304032.54627021</v>
      </c>
      <c r="I39" s="489">
        <f>ABS((F43/D43*D42)-F42)/D42</f>
        <v>3.2138732019548664E-3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108947952</v>
      </c>
      <c r="E40" s="90">
        <f>IF(ISBLANK(D40),"-",$D$48/$D$45*D40)</f>
        <v>120181457.00390323</v>
      </c>
      <c r="F40" s="89">
        <v>107882478</v>
      </c>
      <c r="G40" s="91">
        <f>IF(ISBLANK(F40),"-",$D$48/$F$45*F40)</f>
        <v>121088267.59308814</v>
      </c>
      <c r="I40" s="489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109022123.33333333</v>
      </c>
      <c r="E42" s="100">
        <f>AVERAGE(E38:E41)</f>
        <v>120263276.06286013</v>
      </c>
      <c r="F42" s="99">
        <f>AVERAGE(F38:F41)</f>
        <v>107497842.66666667</v>
      </c>
      <c r="G42" s="101">
        <f>AVERAGE(G38:G41)</f>
        <v>120656549.42131585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26.17</v>
      </c>
      <c r="E43" s="92"/>
      <c r="F43" s="104">
        <v>25.72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26.17</v>
      </c>
      <c r="E44" s="107"/>
      <c r="F44" s="106">
        <f>F43*$B$34</f>
        <v>25.72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50</v>
      </c>
      <c r="C45" s="105" t="s">
        <v>76</v>
      </c>
      <c r="D45" s="109">
        <f>D44*$B$30/100</f>
        <v>22.663220000000003</v>
      </c>
      <c r="E45" s="110"/>
      <c r="F45" s="109">
        <f>F44*$B$30/100</f>
        <v>22.273519999999998</v>
      </c>
      <c r="H45" s="102"/>
    </row>
    <row r="46" spans="1:14" ht="19.5" customHeight="1" x14ac:dyDescent="0.3">
      <c r="A46" s="490" t="s">
        <v>77</v>
      </c>
      <c r="B46" s="491"/>
      <c r="C46" s="105" t="s">
        <v>78</v>
      </c>
      <c r="D46" s="111">
        <f>D45/$B$45</f>
        <v>0.45326440000000007</v>
      </c>
      <c r="E46" s="112"/>
      <c r="F46" s="113">
        <f>F45/$B$45</f>
        <v>0.44547039999999993</v>
      </c>
      <c r="H46" s="102"/>
    </row>
    <row r="47" spans="1:14" ht="27" customHeight="1" x14ac:dyDescent="0.4">
      <c r="A47" s="492"/>
      <c r="B47" s="493"/>
      <c r="C47" s="114" t="s">
        <v>79</v>
      </c>
      <c r="D47" s="115">
        <v>0.5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25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120459912.742088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2.9477054242754773E-3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 xml:space="preserve">Each film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129" t="s">
        <v>86</v>
      </c>
      <c r="B56" s="130">
        <v>500</v>
      </c>
      <c r="C56" s="51" t="str">
        <f>B20</f>
        <v>Amoxicillin &amp; Clavulanate Potassium</v>
      </c>
      <c r="H56" s="131"/>
    </row>
    <row r="57" spans="1:12" ht="18.75" x14ac:dyDescent="0.3">
      <c r="A57" s="128" t="s">
        <v>87</v>
      </c>
      <c r="B57" s="220">
        <f>Uniformity!C46</f>
        <v>1023.617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75">
        <v>100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494" t="s">
        <v>93</v>
      </c>
      <c r="D60" s="497">
        <v>138.85</v>
      </c>
      <c r="E60" s="134">
        <v>1</v>
      </c>
      <c r="F60" s="135">
        <v>180322962</v>
      </c>
      <c r="G60" s="221">
        <f>IF(ISBLANK(F60),"-",(F60/$D$50*$D$47*$B$68)*($B$57/$D$60))</f>
        <v>551.78526457462999</v>
      </c>
      <c r="H60" s="136">
        <f t="shared" ref="H60:H71" si="0">IF(ISBLANK(F60),"-",G60/$B$56)</f>
        <v>1.1035705291492599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495"/>
      <c r="D61" s="498"/>
      <c r="E61" s="137">
        <v>2</v>
      </c>
      <c r="F61" s="89">
        <v>179279167</v>
      </c>
      <c r="G61" s="222">
        <f>IF(ISBLANK(F61),"-",(F61/$D$50*$D$47*$B$68)*($B$57/$D$60))</f>
        <v>548.59126923510883</v>
      </c>
      <c r="H61" s="138">
        <f t="shared" si="0"/>
        <v>1.0971825384702176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495"/>
      <c r="D62" s="498"/>
      <c r="E62" s="137">
        <v>3</v>
      </c>
      <c r="F62" s="139">
        <v>180269426</v>
      </c>
      <c r="G62" s="222">
        <f>IF(ISBLANK(F62),"-",(F62/$D$50*$D$47*$B$68)*($B$57/$D$60))</f>
        <v>551.62144530504509</v>
      </c>
      <c r="H62" s="138">
        <f t="shared" si="0"/>
        <v>1.1032428906100902</v>
      </c>
      <c r="L62" s="64"/>
    </row>
    <row r="63" spans="1:12" ht="27" customHeight="1" x14ac:dyDescent="0.4">
      <c r="A63" s="76" t="s">
        <v>96</v>
      </c>
      <c r="B63" s="77">
        <v>1</v>
      </c>
      <c r="C63" s="496"/>
      <c r="D63" s="499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494" t="s">
        <v>98</v>
      </c>
      <c r="D64" s="497">
        <v>150.41999999999999</v>
      </c>
      <c r="E64" s="134">
        <v>1</v>
      </c>
      <c r="F64" s="135">
        <v>201277308</v>
      </c>
      <c r="G64" s="223">
        <f>IF(ISBLANK(F64),"-",(F64/$D$50*$D$47*$B$68)*($B$57/$D$64))</f>
        <v>568.53104027259462</v>
      </c>
      <c r="H64" s="142">
        <f t="shared" si="0"/>
        <v>1.1370620805451892</v>
      </c>
    </row>
    <row r="65" spans="1:8" ht="26.25" customHeight="1" x14ac:dyDescent="0.4">
      <c r="A65" s="76" t="s">
        <v>99</v>
      </c>
      <c r="B65" s="77">
        <v>1</v>
      </c>
      <c r="C65" s="495"/>
      <c r="D65" s="498"/>
      <c r="E65" s="137">
        <v>2</v>
      </c>
      <c r="F65" s="89">
        <v>201671897</v>
      </c>
      <c r="G65" s="224">
        <f>IF(ISBLANK(F65),"-",(F65/$D$50*$D$47*$B$68)*($B$57/$D$64))</f>
        <v>569.64560254928267</v>
      </c>
      <c r="H65" s="143">
        <f t="shared" si="0"/>
        <v>1.1392912050985653</v>
      </c>
    </row>
    <row r="66" spans="1:8" ht="26.25" customHeight="1" x14ac:dyDescent="0.4">
      <c r="A66" s="76" t="s">
        <v>100</v>
      </c>
      <c r="B66" s="77">
        <v>1</v>
      </c>
      <c r="C66" s="495"/>
      <c r="D66" s="498"/>
      <c r="E66" s="137">
        <v>3</v>
      </c>
      <c r="F66" s="89">
        <v>201877567</v>
      </c>
      <c r="G66" s="224">
        <f>IF(ISBLANK(F66),"-",(F66/$D$50*$D$47*$B$68)*($B$57/$D$64))</f>
        <v>570.22654125625729</v>
      </c>
      <c r="H66" s="143">
        <f t="shared" si="0"/>
        <v>1.1404530825125145</v>
      </c>
    </row>
    <row r="67" spans="1:8" ht="27" customHeight="1" x14ac:dyDescent="0.4">
      <c r="A67" s="76" t="s">
        <v>101</v>
      </c>
      <c r="B67" s="77">
        <v>1</v>
      </c>
      <c r="C67" s="496"/>
      <c r="D67" s="499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100</v>
      </c>
      <c r="C68" s="494" t="s">
        <v>103</v>
      </c>
      <c r="D68" s="497">
        <v>128.26</v>
      </c>
      <c r="E68" s="134">
        <v>1</v>
      </c>
      <c r="F68" s="135">
        <v>170798029</v>
      </c>
      <c r="G68" s="223">
        <f>IF(ISBLANK(F68),"-",(F68/$D$50*$D$47*$B$68)*($B$57/$D$68))</f>
        <v>565.79169596718066</v>
      </c>
      <c r="H68" s="138">
        <f t="shared" si="0"/>
        <v>1.1315833919343614</v>
      </c>
    </row>
    <row r="69" spans="1:8" ht="27" customHeight="1" x14ac:dyDescent="0.4">
      <c r="A69" s="124" t="s">
        <v>104</v>
      </c>
      <c r="B69" s="146">
        <f>(D47*B68)/B56*B57</f>
        <v>102.3617</v>
      </c>
      <c r="C69" s="495"/>
      <c r="D69" s="498"/>
      <c r="E69" s="137">
        <v>2</v>
      </c>
      <c r="F69" s="89">
        <v>170840130</v>
      </c>
      <c r="G69" s="224">
        <f>IF(ISBLANK(F69),"-",(F69/$D$50*$D$47*$B$68)*($B$57/$D$68))</f>
        <v>565.93116125452252</v>
      </c>
      <c r="H69" s="138">
        <f t="shared" si="0"/>
        <v>1.1318623225090449</v>
      </c>
    </row>
    <row r="70" spans="1:8" ht="26.25" customHeight="1" x14ac:dyDescent="0.4">
      <c r="A70" s="507" t="s">
        <v>77</v>
      </c>
      <c r="B70" s="508"/>
      <c r="C70" s="495"/>
      <c r="D70" s="498"/>
      <c r="E70" s="137">
        <v>3</v>
      </c>
      <c r="F70" s="89">
        <v>171110214</v>
      </c>
      <c r="G70" s="224">
        <f>IF(ISBLANK(F70),"-",(F70/$D$50*$D$47*$B$68)*($B$57/$D$68))</f>
        <v>566.82585123021079</v>
      </c>
      <c r="H70" s="138">
        <f t="shared" si="0"/>
        <v>1.1336517024604216</v>
      </c>
    </row>
    <row r="71" spans="1:8" ht="27" customHeight="1" x14ac:dyDescent="0.4">
      <c r="A71" s="509"/>
      <c r="B71" s="510"/>
      <c r="C71" s="506"/>
      <c r="D71" s="499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30">
        <f>AVERAGE(G60:G71)</f>
        <v>562.10554129387026</v>
      </c>
      <c r="H72" s="151">
        <f>AVERAGE(H60:H71)</f>
        <v>1.1242110825877407</v>
      </c>
    </row>
    <row r="73" spans="1:8" ht="26.25" customHeight="1" x14ac:dyDescent="0.4">
      <c r="C73" s="148"/>
      <c r="D73" s="148"/>
      <c r="E73" s="148"/>
      <c r="F73" s="152" t="s">
        <v>83</v>
      </c>
      <c r="G73" s="226">
        <f>STDEV(G60:G71)/G72</f>
        <v>1.5581136172024099E-2</v>
      </c>
      <c r="H73" s="226">
        <f>STDEV(H60:H71)/H72</f>
        <v>1.5581136172024097E-2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105</v>
      </c>
      <c r="B76" s="156" t="s">
        <v>106</v>
      </c>
      <c r="C76" s="502" t="str">
        <f>B20</f>
        <v>Amoxicillin &amp; Clavulanate Potassium</v>
      </c>
      <c r="D76" s="502"/>
      <c r="E76" s="157" t="s">
        <v>107</v>
      </c>
      <c r="F76" s="157"/>
      <c r="G76" s="158">
        <f>H72</f>
        <v>1.1242110825877407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3</v>
      </c>
      <c r="B79" s="488" t="str">
        <f>B26</f>
        <v>Amoxicillin</v>
      </c>
      <c r="C79" s="488"/>
    </row>
    <row r="80" spans="1:8" ht="26.25" customHeight="1" x14ac:dyDescent="0.4">
      <c r="A80" s="61" t="s">
        <v>47</v>
      </c>
      <c r="B80" s="488">
        <f>B27</f>
        <v>0</v>
      </c>
      <c r="C80" s="488"/>
    </row>
    <row r="81" spans="1:12" ht="27" customHeight="1" x14ac:dyDescent="0.4">
      <c r="A81" s="61" t="s">
        <v>5</v>
      </c>
      <c r="B81" s="160">
        <f>B28</f>
        <v>86.6</v>
      </c>
    </row>
    <row r="82" spans="1:12" s="3" customFormat="1" ht="27" customHeight="1" x14ac:dyDescent="0.4">
      <c r="A82" s="61" t="s">
        <v>48</v>
      </c>
      <c r="B82" s="63">
        <v>0</v>
      </c>
      <c r="C82" s="479" t="s">
        <v>49</v>
      </c>
      <c r="D82" s="480"/>
      <c r="E82" s="480"/>
      <c r="F82" s="480"/>
      <c r="G82" s="481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86.6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482" t="s">
        <v>110</v>
      </c>
      <c r="D84" s="483"/>
      <c r="E84" s="483"/>
      <c r="F84" s="483"/>
      <c r="G84" s="483"/>
      <c r="H84" s="484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482" t="s">
        <v>111</v>
      </c>
      <c r="D85" s="483"/>
      <c r="E85" s="483"/>
      <c r="F85" s="483"/>
      <c r="G85" s="483"/>
      <c r="H85" s="48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20</v>
      </c>
      <c r="D89" s="161" t="s">
        <v>58</v>
      </c>
      <c r="E89" s="162"/>
      <c r="F89" s="485" t="s">
        <v>59</v>
      </c>
      <c r="G89" s="487"/>
    </row>
    <row r="90" spans="1:12" ht="27" customHeight="1" x14ac:dyDescent="0.4">
      <c r="A90" s="76" t="s">
        <v>60</v>
      </c>
      <c r="B90" s="77">
        <v>10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25</v>
      </c>
      <c r="C91" s="165">
        <v>1</v>
      </c>
      <c r="D91" s="84">
        <v>109871362</v>
      </c>
      <c r="E91" s="85">
        <f>IF(ISBLANK(D91),"-",$D$101/$D$98*D91)</f>
        <v>147088019.95713493</v>
      </c>
      <c r="F91" s="84">
        <v>123993104</v>
      </c>
      <c r="G91" s="86">
        <f>IF(ISBLANK(F91),"-",$D$101/$F$98*F91)</f>
        <v>147467457.59289849</v>
      </c>
      <c r="I91" s="87"/>
    </row>
    <row r="92" spans="1:12" ht="26.25" customHeight="1" x14ac:dyDescent="0.4">
      <c r="A92" s="76" t="s">
        <v>66</v>
      </c>
      <c r="B92" s="77">
        <v>1</v>
      </c>
      <c r="C92" s="149">
        <v>2</v>
      </c>
      <c r="D92" s="89">
        <v>107866182</v>
      </c>
      <c r="E92" s="90">
        <f>IF(ISBLANK(D92),"-",$D$101/$D$98*D92)</f>
        <v>144403626.58575171</v>
      </c>
      <c r="F92" s="89">
        <v>121196562</v>
      </c>
      <c r="G92" s="91">
        <f>IF(ISBLANK(F92),"-",$D$101/$F$98*F92)</f>
        <v>144141474.73185357</v>
      </c>
      <c r="I92" s="489">
        <f>ABS((F96/D96*D95)-F95)/D95</f>
        <v>1.645336331219366E-3</v>
      </c>
    </row>
    <row r="93" spans="1:12" ht="26.25" customHeight="1" x14ac:dyDescent="0.4">
      <c r="A93" s="76" t="s">
        <v>67</v>
      </c>
      <c r="B93" s="77">
        <v>1</v>
      </c>
      <c r="C93" s="149">
        <v>3</v>
      </c>
      <c r="D93" s="89">
        <v>106588385</v>
      </c>
      <c r="E93" s="90">
        <f>IF(ISBLANK(D93),"-",$D$101/$D$98*D93)</f>
        <v>142693002.20451242</v>
      </c>
      <c r="F93" s="89">
        <v>119346421</v>
      </c>
      <c r="G93" s="91">
        <f>IF(ISBLANK(F93),"-",$D$101/$F$98*F93)</f>
        <v>141941065.34893838</v>
      </c>
      <c r="I93" s="489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>
        <f>AVERAGE(D91:D94)</f>
        <v>108108643</v>
      </c>
      <c r="E95" s="100">
        <f>AVERAGE(E91:E94)</f>
        <v>144728216.24913302</v>
      </c>
      <c r="F95" s="170">
        <f>AVERAGE(F91:F94)</f>
        <v>121512029</v>
      </c>
      <c r="G95" s="171">
        <f>AVERAGE(G91:G94)</f>
        <v>144516665.89123014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>
        <v>23.96</v>
      </c>
      <c r="E96" s="92"/>
      <c r="F96" s="104">
        <v>26.97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>
        <f>D96*$B$87</f>
        <v>23.96</v>
      </c>
      <c r="E97" s="107"/>
      <c r="F97" s="106">
        <f>F96*$B$87</f>
        <v>26.97</v>
      </c>
    </row>
    <row r="98" spans="1:10" ht="19.5" customHeight="1" x14ac:dyDescent="0.3">
      <c r="A98" s="76" t="s">
        <v>75</v>
      </c>
      <c r="B98" s="176">
        <f>(B97/B96)*(B95/B94)*(B93/B92)*(B91/B90)*B89</f>
        <v>50</v>
      </c>
      <c r="C98" s="174" t="s">
        <v>114</v>
      </c>
      <c r="D98" s="177">
        <f>D97*$B$83/100</f>
        <v>20.749360000000003</v>
      </c>
      <c r="E98" s="110"/>
      <c r="F98" s="109">
        <f>F97*$B$83/100</f>
        <v>23.356019999999997</v>
      </c>
    </row>
    <row r="99" spans="1:10" ht="19.5" customHeight="1" x14ac:dyDescent="0.3">
      <c r="A99" s="490" t="s">
        <v>77</v>
      </c>
      <c r="B99" s="504"/>
      <c r="C99" s="174" t="s">
        <v>115</v>
      </c>
      <c r="D99" s="178">
        <f>D98/$B$98</f>
        <v>0.41498720000000006</v>
      </c>
      <c r="E99" s="110"/>
      <c r="F99" s="113">
        <f>F98/$B$98</f>
        <v>0.46712039999999994</v>
      </c>
      <c r="G99" s="179"/>
      <c r="H99" s="102"/>
    </row>
    <row r="100" spans="1:10" ht="19.5" customHeight="1" x14ac:dyDescent="0.3">
      <c r="A100" s="492"/>
      <c r="B100" s="505"/>
      <c r="C100" s="174" t="s">
        <v>79</v>
      </c>
      <c r="D100" s="180">
        <f>$B$56/$B$116</f>
        <v>0.55555555555555558</v>
      </c>
      <c r="F100" s="118"/>
      <c r="G100" s="181"/>
      <c r="H100" s="102"/>
    </row>
    <row r="101" spans="1:10" ht="18.75" x14ac:dyDescent="0.3">
      <c r="C101" s="174" t="s">
        <v>80</v>
      </c>
      <c r="D101" s="175">
        <f>D100*$B$98</f>
        <v>27.777777777777779</v>
      </c>
      <c r="F101" s="118"/>
      <c r="G101" s="179"/>
      <c r="H101" s="102"/>
    </row>
    <row r="102" spans="1:10" ht="19.5" customHeight="1" x14ac:dyDescent="0.3">
      <c r="C102" s="182" t="s">
        <v>81</v>
      </c>
      <c r="D102" s="183">
        <f>D101/B34</f>
        <v>27.777777777777779</v>
      </c>
      <c r="F102" s="122"/>
      <c r="G102" s="179"/>
      <c r="H102" s="102"/>
      <c r="J102" s="184"/>
    </row>
    <row r="103" spans="1:10" ht="18.75" x14ac:dyDescent="0.3">
      <c r="C103" s="185" t="s">
        <v>116</v>
      </c>
      <c r="D103" s="186">
        <f>AVERAGE(E91:E94,G91:G94)</f>
        <v>144622441.07018158</v>
      </c>
      <c r="F103" s="122"/>
      <c r="G103" s="187"/>
      <c r="H103" s="102"/>
      <c r="J103" s="188"/>
    </row>
    <row r="104" spans="1:10" ht="18.75" x14ac:dyDescent="0.3">
      <c r="C104" s="152" t="s">
        <v>83</v>
      </c>
      <c r="D104" s="189">
        <f>STDEV(E91:E94,G91:G94)/D103</f>
        <v>1.5573851554877694E-2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 t="s">
        <v>62</v>
      </c>
      <c r="E107" s="193" t="s">
        <v>119</v>
      </c>
      <c r="F107" s="194" t="s">
        <v>120</v>
      </c>
    </row>
    <row r="108" spans="1:10" ht="26.25" customHeight="1" x14ac:dyDescent="0.4">
      <c r="A108" s="76" t="s">
        <v>121</v>
      </c>
      <c r="B108" s="77">
        <v>1</v>
      </c>
      <c r="C108" s="195">
        <v>1</v>
      </c>
      <c r="D108" s="196">
        <v>143777549</v>
      </c>
      <c r="E108" s="227">
        <f t="shared" ref="E108:E113" si="1">IF(ISBLANK(D108),"-",D108/$D$103*$D$100*$B$116)</f>
        <v>497.07897313885206</v>
      </c>
      <c r="F108" s="197">
        <f t="shared" ref="F108:F113" si="2">IF(ISBLANK(D108), "-", E108/$B$56)</f>
        <v>0.99415794627770415</v>
      </c>
    </row>
    <row r="109" spans="1:10" ht="26.25" customHeight="1" x14ac:dyDescent="0.4">
      <c r="A109" s="76" t="s">
        <v>94</v>
      </c>
      <c r="B109" s="77">
        <v>1</v>
      </c>
      <c r="C109" s="195">
        <v>2</v>
      </c>
      <c r="D109" s="196">
        <v>142940947</v>
      </c>
      <c r="E109" s="228">
        <f t="shared" si="1"/>
        <v>494.1866073558889</v>
      </c>
      <c r="F109" s="198">
        <f t="shared" si="2"/>
        <v>0.98837321471177775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>
        <v>147735852</v>
      </c>
      <c r="E110" s="228">
        <f t="shared" si="1"/>
        <v>510.7639274609794</v>
      </c>
      <c r="F110" s="198">
        <f t="shared" si="2"/>
        <v>1.0215278549219589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>
        <v>143316395</v>
      </c>
      <c r="E111" s="228">
        <f t="shared" si="1"/>
        <v>495.48463550844167</v>
      </c>
      <c r="F111" s="198">
        <f t="shared" si="2"/>
        <v>0.99096927101688337</v>
      </c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>
        <v>144703378</v>
      </c>
      <c r="E112" s="228">
        <f t="shared" si="1"/>
        <v>500.27982147590473</v>
      </c>
      <c r="F112" s="198">
        <f t="shared" si="2"/>
        <v>1.0005596429518095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>
        <v>141683656</v>
      </c>
      <c r="E113" s="229">
        <f t="shared" si="1"/>
        <v>489.83980270131292</v>
      </c>
      <c r="F113" s="201">
        <f t="shared" si="2"/>
        <v>0.97967960540262589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1">
        <f>AVERAGE(E108:E113)</f>
        <v>497.93896127356328</v>
      </c>
      <c r="F115" s="204">
        <f>AVERAGE(F108:F113)</f>
        <v>0.9958779225471267</v>
      </c>
    </row>
    <row r="116" spans="1:10" ht="27" customHeight="1" x14ac:dyDescent="0.4">
      <c r="A116" s="76" t="s">
        <v>102</v>
      </c>
      <c r="B116" s="108">
        <f>(B115/B114)*(B113/B112)*(B111/B110)*(B109/B108)*B107</f>
        <v>900</v>
      </c>
      <c r="C116" s="205"/>
      <c r="D116" s="168" t="s">
        <v>83</v>
      </c>
      <c r="E116" s="206">
        <f>STDEV(E108:E113)/E115</f>
        <v>1.4381269626423013E-2</v>
      </c>
      <c r="F116" s="206">
        <f>STDEV(F108:F113)/F115</f>
        <v>1.4381269626423028E-2</v>
      </c>
      <c r="I116" s="50"/>
    </row>
    <row r="117" spans="1:10" ht="27" customHeight="1" x14ac:dyDescent="0.4">
      <c r="A117" s="490" t="s">
        <v>77</v>
      </c>
      <c r="B117" s="491"/>
      <c r="C117" s="207"/>
      <c r="D117" s="208" t="s">
        <v>19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92"/>
      <c r="B118" s="493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122</v>
      </c>
      <c r="C120" s="502" t="str">
        <f>B20</f>
        <v>Amoxicillin &amp; Clavulanate Potassium</v>
      </c>
      <c r="D120" s="502"/>
      <c r="E120" s="157" t="s">
        <v>123</v>
      </c>
      <c r="F120" s="157"/>
      <c r="G120" s="158">
        <f>F115</f>
        <v>0.9958779225471267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03" t="s">
        <v>25</v>
      </c>
      <c r="C122" s="503"/>
      <c r="E122" s="163" t="s">
        <v>26</v>
      </c>
      <c r="F122" s="212"/>
      <c r="G122" s="503" t="s">
        <v>27</v>
      </c>
      <c r="H122" s="503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4" zoomScale="60" zoomScaleNormal="40" zoomScalePageLayoutView="50" workbookViewId="0">
      <selection activeCell="D124" sqref="D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0" t="s">
        <v>44</v>
      </c>
      <c r="B1" s="500"/>
      <c r="C1" s="500"/>
      <c r="D1" s="500"/>
      <c r="E1" s="500"/>
      <c r="F1" s="500"/>
      <c r="G1" s="500"/>
      <c r="H1" s="500"/>
      <c r="I1" s="500"/>
    </row>
    <row r="2" spans="1:9" ht="18.75" customHeight="1" x14ac:dyDescent="0.25">
      <c r="A2" s="500"/>
      <c r="B2" s="500"/>
      <c r="C2" s="500"/>
      <c r="D2" s="500"/>
      <c r="E2" s="500"/>
      <c r="F2" s="500"/>
      <c r="G2" s="500"/>
      <c r="H2" s="500"/>
      <c r="I2" s="500"/>
    </row>
    <row r="3" spans="1:9" ht="18.75" customHeight="1" x14ac:dyDescent="0.25">
      <c r="A3" s="500"/>
      <c r="B3" s="500"/>
      <c r="C3" s="500"/>
      <c r="D3" s="500"/>
      <c r="E3" s="500"/>
      <c r="F3" s="500"/>
      <c r="G3" s="500"/>
      <c r="H3" s="500"/>
      <c r="I3" s="500"/>
    </row>
    <row r="4" spans="1:9" ht="18.75" customHeight="1" x14ac:dyDescent="0.25">
      <c r="A4" s="500"/>
      <c r="B4" s="500"/>
      <c r="C4" s="500"/>
      <c r="D4" s="500"/>
      <c r="E4" s="500"/>
      <c r="F4" s="500"/>
      <c r="G4" s="500"/>
      <c r="H4" s="500"/>
      <c r="I4" s="500"/>
    </row>
    <row r="5" spans="1:9" ht="18.75" customHeight="1" x14ac:dyDescent="0.25">
      <c r="A5" s="500"/>
      <c r="B5" s="500"/>
      <c r="C5" s="500"/>
      <c r="D5" s="500"/>
      <c r="E5" s="500"/>
      <c r="F5" s="500"/>
      <c r="G5" s="500"/>
      <c r="H5" s="500"/>
      <c r="I5" s="500"/>
    </row>
    <row r="6" spans="1:9" ht="18.75" customHeight="1" x14ac:dyDescent="0.25">
      <c r="A6" s="500"/>
      <c r="B6" s="500"/>
      <c r="C6" s="500"/>
      <c r="D6" s="500"/>
      <c r="E6" s="500"/>
      <c r="F6" s="500"/>
      <c r="G6" s="500"/>
      <c r="H6" s="500"/>
      <c r="I6" s="500"/>
    </row>
    <row r="7" spans="1:9" ht="18.75" customHeight="1" x14ac:dyDescent="0.25">
      <c r="A7" s="500"/>
      <c r="B7" s="500"/>
      <c r="C7" s="500"/>
      <c r="D7" s="500"/>
      <c r="E7" s="500"/>
      <c r="F7" s="500"/>
      <c r="G7" s="500"/>
      <c r="H7" s="500"/>
      <c r="I7" s="500"/>
    </row>
    <row r="8" spans="1:9" x14ac:dyDescent="0.25">
      <c r="A8" s="501" t="s">
        <v>45</v>
      </c>
      <c r="B8" s="501"/>
      <c r="C8" s="501"/>
      <c r="D8" s="501"/>
      <c r="E8" s="501"/>
      <c r="F8" s="501"/>
      <c r="G8" s="501"/>
      <c r="H8" s="501"/>
      <c r="I8" s="501"/>
    </row>
    <row r="9" spans="1:9" x14ac:dyDescent="0.25">
      <c r="A9" s="501"/>
      <c r="B9" s="501"/>
      <c r="C9" s="501"/>
      <c r="D9" s="501"/>
      <c r="E9" s="501"/>
      <c r="F9" s="501"/>
      <c r="G9" s="501"/>
      <c r="H9" s="501"/>
      <c r="I9" s="501"/>
    </row>
    <row r="10" spans="1:9" x14ac:dyDescent="0.25">
      <c r="A10" s="501"/>
      <c r="B10" s="501"/>
      <c r="C10" s="501"/>
      <c r="D10" s="501"/>
      <c r="E10" s="501"/>
      <c r="F10" s="501"/>
      <c r="G10" s="501"/>
      <c r="H10" s="501"/>
      <c r="I10" s="501"/>
    </row>
    <row r="11" spans="1:9" x14ac:dyDescent="0.25">
      <c r="A11" s="501"/>
      <c r="B11" s="501"/>
      <c r="C11" s="501"/>
      <c r="D11" s="501"/>
      <c r="E11" s="501"/>
      <c r="F11" s="501"/>
      <c r="G11" s="501"/>
      <c r="H11" s="501"/>
      <c r="I11" s="501"/>
    </row>
    <row r="12" spans="1:9" x14ac:dyDescent="0.25">
      <c r="A12" s="501"/>
      <c r="B12" s="501"/>
      <c r="C12" s="501"/>
      <c r="D12" s="501"/>
      <c r="E12" s="501"/>
      <c r="F12" s="501"/>
      <c r="G12" s="501"/>
      <c r="H12" s="501"/>
      <c r="I12" s="501"/>
    </row>
    <row r="13" spans="1:9" x14ac:dyDescent="0.25">
      <c r="A13" s="501"/>
      <c r="B13" s="501"/>
      <c r="C13" s="501"/>
      <c r="D13" s="501"/>
      <c r="E13" s="501"/>
      <c r="F13" s="501"/>
      <c r="G13" s="501"/>
      <c r="H13" s="501"/>
      <c r="I13" s="501"/>
    </row>
    <row r="14" spans="1:9" x14ac:dyDescent="0.25">
      <c r="A14" s="501"/>
      <c r="B14" s="501"/>
      <c r="C14" s="501"/>
      <c r="D14" s="501"/>
      <c r="E14" s="501"/>
      <c r="F14" s="501"/>
      <c r="G14" s="501"/>
      <c r="H14" s="501"/>
      <c r="I14" s="501"/>
    </row>
    <row r="15" spans="1:9" ht="19.5" customHeight="1" x14ac:dyDescent="0.3">
      <c r="A15" s="233"/>
    </row>
    <row r="16" spans="1:9" ht="19.5" customHeight="1" x14ac:dyDescent="0.3">
      <c r="A16" s="473" t="s">
        <v>30</v>
      </c>
      <c r="B16" s="474"/>
      <c r="C16" s="474"/>
      <c r="D16" s="474"/>
      <c r="E16" s="474"/>
      <c r="F16" s="474"/>
      <c r="G16" s="474"/>
      <c r="H16" s="475"/>
    </row>
    <row r="17" spans="1:14" ht="20.25" customHeight="1" x14ac:dyDescent="0.25">
      <c r="A17" s="476" t="s">
        <v>46</v>
      </c>
      <c r="B17" s="476"/>
      <c r="C17" s="476"/>
      <c r="D17" s="476"/>
      <c r="E17" s="476"/>
      <c r="F17" s="476"/>
      <c r="G17" s="476"/>
      <c r="H17" s="476"/>
    </row>
    <row r="18" spans="1:14" ht="26.25" customHeight="1" x14ac:dyDescent="0.4">
      <c r="A18" s="235" t="s">
        <v>32</v>
      </c>
      <c r="B18" s="472" t="s">
        <v>4</v>
      </c>
      <c r="C18" s="472"/>
      <c r="D18" s="400"/>
      <c r="E18" s="236"/>
      <c r="F18" s="237"/>
      <c r="G18" s="237"/>
      <c r="H18" s="237"/>
    </row>
    <row r="19" spans="1:14" ht="26.25" customHeight="1" x14ac:dyDescent="0.4">
      <c r="A19" s="235" t="s">
        <v>33</v>
      </c>
      <c r="B19" s="238" t="s">
        <v>6</v>
      </c>
      <c r="C19" s="413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34</v>
      </c>
      <c r="B20" s="477" t="s">
        <v>8</v>
      </c>
      <c r="C20" s="477"/>
      <c r="D20" s="237"/>
      <c r="E20" s="237"/>
      <c r="F20" s="237"/>
      <c r="G20" s="237"/>
      <c r="H20" s="237"/>
    </row>
    <row r="21" spans="1:14" ht="26.25" customHeight="1" x14ac:dyDescent="0.4">
      <c r="A21" s="235" t="s">
        <v>35</v>
      </c>
      <c r="B21" s="477" t="s">
        <v>10</v>
      </c>
      <c r="C21" s="477"/>
      <c r="D21" s="477"/>
      <c r="E21" s="477"/>
      <c r="F21" s="477"/>
      <c r="G21" s="477"/>
      <c r="H21" s="477"/>
      <c r="I21" s="239"/>
    </row>
    <row r="22" spans="1:14" ht="26.25" customHeight="1" x14ac:dyDescent="0.4">
      <c r="A22" s="235" t="s">
        <v>36</v>
      </c>
      <c r="B22" s="240"/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37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3</v>
      </c>
      <c r="B26" s="472" t="s">
        <v>125</v>
      </c>
      <c r="C26" s="472"/>
    </row>
    <row r="27" spans="1:14" ht="26.25" customHeight="1" x14ac:dyDescent="0.4">
      <c r="A27" s="244" t="s">
        <v>47</v>
      </c>
      <c r="B27" s="478"/>
      <c r="C27" s="478"/>
    </row>
    <row r="28" spans="1:14" ht="27" customHeight="1" x14ac:dyDescent="0.4">
      <c r="A28" s="244" t="s">
        <v>5</v>
      </c>
      <c r="B28" s="245">
        <v>96.4</v>
      </c>
    </row>
    <row r="29" spans="1:14" s="3" customFormat="1" ht="27" customHeight="1" x14ac:dyDescent="0.4">
      <c r="A29" s="244" t="s">
        <v>48</v>
      </c>
      <c r="B29" s="246"/>
      <c r="C29" s="479" t="s">
        <v>49</v>
      </c>
      <c r="D29" s="480"/>
      <c r="E29" s="480"/>
      <c r="F29" s="480"/>
      <c r="G29" s="481"/>
      <c r="I29" s="247"/>
      <c r="J29" s="247"/>
      <c r="K29" s="247"/>
      <c r="L29" s="247"/>
    </row>
    <row r="30" spans="1:14" s="3" customFormat="1" ht="19.5" customHeight="1" x14ac:dyDescent="0.3">
      <c r="A30" s="244" t="s">
        <v>50</v>
      </c>
      <c r="B30" s="248">
        <f>B28-B29</f>
        <v>96.4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51</v>
      </c>
      <c r="B31" s="251">
        <v>1</v>
      </c>
      <c r="C31" s="482" t="s">
        <v>52</v>
      </c>
      <c r="D31" s="483"/>
      <c r="E31" s="483"/>
      <c r="F31" s="483"/>
      <c r="G31" s="483"/>
      <c r="H31" s="484"/>
      <c r="I31" s="247"/>
      <c r="J31" s="247"/>
      <c r="K31" s="247"/>
      <c r="L31" s="247"/>
    </row>
    <row r="32" spans="1:14" s="3" customFormat="1" ht="27" customHeight="1" x14ac:dyDescent="0.4">
      <c r="A32" s="244" t="s">
        <v>53</v>
      </c>
      <c r="B32" s="251">
        <v>1</v>
      </c>
      <c r="C32" s="482" t="s">
        <v>54</v>
      </c>
      <c r="D32" s="483"/>
      <c r="E32" s="483"/>
      <c r="F32" s="483"/>
      <c r="G32" s="483"/>
      <c r="H32" s="484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55</v>
      </c>
      <c r="B34" s="256">
        <f>B31/B32</f>
        <v>1</v>
      </c>
      <c r="C34" s="234" t="s">
        <v>56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57</v>
      </c>
      <c r="B36" s="258">
        <v>20</v>
      </c>
      <c r="C36" s="234"/>
      <c r="D36" s="485" t="s">
        <v>58</v>
      </c>
      <c r="E36" s="486"/>
      <c r="F36" s="485" t="s">
        <v>59</v>
      </c>
      <c r="G36" s="487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60</v>
      </c>
      <c r="B37" s="260">
        <v>3</v>
      </c>
      <c r="C37" s="261" t="s">
        <v>61</v>
      </c>
      <c r="D37" s="262" t="s">
        <v>62</v>
      </c>
      <c r="E37" s="263" t="s">
        <v>63</v>
      </c>
      <c r="F37" s="262" t="s">
        <v>62</v>
      </c>
      <c r="G37" s="264" t="s">
        <v>63</v>
      </c>
      <c r="I37" s="265" t="s">
        <v>64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65</v>
      </c>
      <c r="B38" s="260">
        <v>25</v>
      </c>
      <c r="C38" s="266">
        <v>1</v>
      </c>
      <c r="D38" s="267">
        <v>37038839</v>
      </c>
      <c r="E38" s="268">
        <f>IF(ISBLANK(D38),"-",$D$48/$D$45*D38)</f>
        <v>38372914.826698177</v>
      </c>
      <c r="F38" s="267">
        <v>38374352</v>
      </c>
      <c r="G38" s="269">
        <f>IF(ISBLANK(F38),"-",$D$48/$F$45*F38)</f>
        <v>37696419.590091787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66</v>
      </c>
      <c r="B39" s="260">
        <v>1</v>
      </c>
      <c r="C39" s="271">
        <v>2</v>
      </c>
      <c r="D39" s="272">
        <v>37124313</v>
      </c>
      <c r="E39" s="273">
        <f>IF(ISBLANK(D39),"-",$D$48/$D$45*D39)</f>
        <v>38461467.454438403</v>
      </c>
      <c r="F39" s="272">
        <v>38295752</v>
      </c>
      <c r="G39" s="274">
        <f>IF(ISBLANK(F39),"-",$D$48/$F$45*F39)</f>
        <v>37619208.160442598</v>
      </c>
      <c r="I39" s="489">
        <f>ABS((F43/D43*D42)-F42)/D42</f>
        <v>1.8505302031887851E-2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67</v>
      </c>
      <c r="B40" s="260">
        <v>1</v>
      </c>
      <c r="C40" s="271">
        <v>3</v>
      </c>
      <c r="D40" s="272">
        <v>37049720</v>
      </c>
      <c r="E40" s="273">
        <f>IF(ISBLANK(D40),"-",$D$48/$D$45*D40)</f>
        <v>38384187.741765231</v>
      </c>
      <c r="F40" s="272">
        <v>38562529</v>
      </c>
      <c r="G40" s="274">
        <f>IF(ISBLANK(F40),"-",$D$48/$F$45*F40)</f>
        <v>37881272.200741857</v>
      </c>
      <c r="I40" s="489"/>
      <c r="L40" s="252"/>
      <c r="M40" s="252"/>
      <c r="N40" s="275"/>
    </row>
    <row r="41" spans="1:14" ht="27" customHeight="1" x14ac:dyDescent="0.4">
      <c r="A41" s="259" t="s">
        <v>68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69</v>
      </c>
      <c r="B42" s="260">
        <v>1</v>
      </c>
      <c r="C42" s="281" t="s">
        <v>70</v>
      </c>
      <c r="D42" s="282">
        <f>AVERAGE(D38:D41)</f>
        <v>37070957.333333336</v>
      </c>
      <c r="E42" s="283">
        <f>AVERAGE(E38:E41)</f>
        <v>38406190.007633932</v>
      </c>
      <c r="F42" s="282">
        <f>AVERAGE(F38:F41)</f>
        <v>38410877.666666664</v>
      </c>
      <c r="G42" s="284">
        <f>AVERAGE(G38:G41)</f>
        <v>37732299.983758748</v>
      </c>
      <c r="H42" s="285"/>
    </row>
    <row r="43" spans="1:14" ht="26.25" customHeight="1" x14ac:dyDescent="0.4">
      <c r="A43" s="259" t="s">
        <v>71</v>
      </c>
      <c r="B43" s="260">
        <v>1</v>
      </c>
      <c r="C43" s="286" t="s">
        <v>72</v>
      </c>
      <c r="D43" s="287">
        <v>20.86</v>
      </c>
      <c r="E43" s="275"/>
      <c r="F43" s="287">
        <v>22</v>
      </c>
      <c r="H43" s="285"/>
    </row>
    <row r="44" spans="1:14" ht="26.25" customHeight="1" x14ac:dyDescent="0.4">
      <c r="A44" s="259" t="s">
        <v>73</v>
      </c>
      <c r="B44" s="260">
        <v>1</v>
      </c>
      <c r="C44" s="288" t="s">
        <v>74</v>
      </c>
      <c r="D44" s="289">
        <f>D43*$B$34</f>
        <v>20.86</v>
      </c>
      <c r="E44" s="290"/>
      <c r="F44" s="289">
        <f>F43*$B$34</f>
        <v>22</v>
      </c>
      <c r="H44" s="285"/>
    </row>
    <row r="45" spans="1:14" ht="19.5" customHeight="1" x14ac:dyDescent="0.3">
      <c r="A45" s="259" t="s">
        <v>75</v>
      </c>
      <c r="B45" s="291">
        <f>(B44/B43)*(B42/B41)*(B40/B39)*(B38/B37)*B36</f>
        <v>166.66666666666669</v>
      </c>
      <c r="C45" s="288" t="s">
        <v>76</v>
      </c>
      <c r="D45" s="292">
        <f>D44*$B$30/100</f>
        <v>20.10904</v>
      </c>
      <c r="E45" s="293"/>
      <c r="F45" s="292">
        <f>F44*$B$30/100</f>
        <v>21.208000000000002</v>
      </c>
      <c r="H45" s="285"/>
    </row>
    <row r="46" spans="1:14" ht="19.5" customHeight="1" x14ac:dyDescent="0.3">
      <c r="A46" s="490" t="s">
        <v>77</v>
      </c>
      <c r="B46" s="491"/>
      <c r="C46" s="288" t="s">
        <v>78</v>
      </c>
      <c r="D46" s="294">
        <f>D45/$B$45</f>
        <v>0.12065423999999998</v>
      </c>
      <c r="E46" s="295"/>
      <c r="F46" s="296">
        <f>F45/$B$45</f>
        <v>0.127248</v>
      </c>
      <c r="H46" s="285"/>
    </row>
    <row r="47" spans="1:14" ht="27" customHeight="1" x14ac:dyDescent="0.4">
      <c r="A47" s="492"/>
      <c r="B47" s="493"/>
      <c r="C47" s="297" t="s">
        <v>79</v>
      </c>
      <c r="D47" s="298">
        <v>0.125</v>
      </c>
      <c r="E47" s="299"/>
      <c r="F47" s="295"/>
      <c r="H47" s="285"/>
    </row>
    <row r="48" spans="1:14" ht="18.75" x14ac:dyDescent="0.3">
      <c r="C48" s="300" t="s">
        <v>80</v>
      </c>
      <c r="D48" s="292">
        <f>D47*$B$45</f>
        <v>20.833333333333336</v>
      </c>
      <c r="F48" s="301"/>
      <c r="H48" s="285"/>
    </row>
    <row r="49" spans="1:12" ht="19.5" customHeight="1" x14ac:dyDescent="0.3">
      <c r="C49" s="302" t="s">
        <v>81</v>
      </c>
      <c r="D49" s="303">
        <f>D48/B34</f>
        <v>20.833333333333336</v>
      </c>
      <c r="F49" s="301"/>
      <c r="H49" s="285"/>
    </row>
    <row r="50" spans="1:12" ht="18.75" x14ac:dyDescent="0.3">
      <c r="C50" s="257" t="s">
        <v>82</v>
      </c>
      <c r="D50" s="304">
        <f>AVERAGE(E38:E41,G38:G41)</f>
        <v>38069244.995696343</v>
      </c>
      <c r="F50" s="305"/>
      <c r="H50" s="285"/>
    </row>
    <row r="51" spans="1:12" ht="18.75" x14ac:dyDescent="0.3">
      <c r="C51" s="259" t="s">
        <v>83</v>
      </c>
      <c r="D51" s="306">
        <f>STDEV(E38:E41,G38:G41)/D50</f>
        <v>9.9825605225296373E-3</v>
      </c>
      <c r="F51" s="305"/>
      <c r="H51" s="285"/>
    </row>
    <row r="52" spans="1:12" ht="19.5" customHeight="1" x14ac:dyDescent="0.3">
      <c r="C52" s="307" t="s">
        <v>19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84</v>
      </c>
    </row>
    <row r="55" spans="1:12" ht="18.75" x14ac:dyDescent="0.3">
      <c r="A55" s="234" t="s">
        <v>85</v>
      </c>
      <c r="B55" s="311" t="str">
        <f>B21</f>
        <v xml:space="preserve">Each film coated tablet contains: Amoxicillin trihydrate Ph. Eur. equivalent to Amoxicillin 500mg
Potassium Clavulanate Ph. Eur. equivalent to clavulanic acid 25mg </v>
      </c>
    </row>
    <row r="56" spans="1:12" ht="26.25" customHeight="1" x14ac:dyDescent="0.4">
      <c r="A56" s="312" t="s">
        <v>86</v>
      </c>
      <c r="B56" s="313">
        <v>125</v>
      </c>
      <c r="C56" s="234" t="str">
        <f>B20</f>
        <v>Amoxicillin &amp; Clavulanate Potassium</v>
      </c>
      <c r="H56" s="314"/>
    </row>
    <row r="57" spans="1:12" ht="18.75" x14ac:dyDescent="0.3">
      <c r="A57" s="311" t="s">
        <v>87</v>
      </c>
      <c r="B57" s="401">
        <f>Uniformity!C46</f>
        <v>1023.617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88</v>
      </c>
      <c r="B59" s="258">
        <v>100</v>
      </c>
      <c r="C59" s="234"/>
      <c r="D59" s="315" t="s">
        <v>89</v>
      </c>
      <c r="E59" s="316" t="s">
        <v>61</v>
      </c>
      <c r="F59" s="316" t="s">
        <v>62</v>
      </c>
      <c r="G59" s="316" t="s">
        <v>90</v>
      </c>
      <c r="H59" s="261" t="s">
        <v>91</v>
      </c>
      <c r="L59" s="247"/>
    </row>
    <row r="60" spans="1:12" s="3" customFormat="1" ht="26.25" customHeight="1" x14ac:dyDescent="0.4">
      <c r="A60" s="259" t="s">
        <v>92</v>
      </c>
      <c r="B60" s="260">
        <v>1</v>
      </c>
      <c r="C60" s="494" t="s">
        <v>93</v>
      </c>
      <c r="D60" s="497">
        <v>138.85</v>
      </c>
      <c r="E60" s="317">
        <v>1</v>
      </c>
      <c r="F60" s="318">
        <v>49256018</v>
      </c>
      <c r="G60" s="402">
        <f>IF(ISBLANK(F60),"-",(F60/$D$50*$D$47*$B$68)*($B$57/$D$60))</f>
        <v>119.23030484593986</v>
      </c>
      <c r="H60" s="319">
        <f t="shared" ref="H60:H71" si="0">IF(ISBLANK(F60),"-",G60/$B$56)</f>
        <v>0.95384243876751884</v>
      </c>
      <c r="L60" s="247"/>
    </row>
    <row r="61" spans="1:12" s="3" customFormat="1" ht="26.25" customHeight="1" x14ac:dyDescent="0.4">
      <c r="A61" s="259" t="s">
        <v>94</v>
      </c>
      <c r="B61" s="260">
        <v>1</v>
      </c>
      <c r="C61" s="495"/>
      <c r="D61" s="498"/>
      <c r="E61" s="320">
        <v>2</v>
      </c>
      <c r="F61" s="272">
        <v>48975775</v>
      </c>
      <c r="G61" s="403">
        <f>IF(ISBLANK(F61),"-",(F61/$D$50*$D$47*$B$68)*($B$57/$D$60))</f>
        <v>118.55194188284079</v>
      </c>
      <c r="H61" s="321">
        <f t="shared" si="0"/>
        <v>0.94841553506272636</v>
      </c>
      <c r="L61" s="247"/>
    </row>
    <row r="62" spans="1:12" s="3" customFormat="1" ht="26.25" customHeight="1" x14ac:dyDescent="0.4">
      <c r="A62" s="259" t="s">
        <v>95</v>
      </c>
      <c r="B62" s="260">
        <v>1</v>
      </c>
      <c r="C62" s="495"/>
      <c r="D62" s="498"/>
      <c r="E62" s="320">
        <v>3</v>
      </c>
      <c r="F62" s="322">
        <v>49248142</v>
      </c>
      <c r="G62" s="403">
        <f>IF(ISBLANK(F62),"-",(F62/$D$50*$D$47*$B$68)*($B$57/$D$60))</f>
        <v>119.2112400104315</v>
      </c>
      <c r="H62" s="321">
        <f t="shared" si="0"/>
        <v>0.95368992008345199</v>
      </c>
      <c r="L62" s="247"/>
    </row>
    <row r="63" spans="1:12" ht="27" customHeight="1" x14ac:dyDescent="0.4">
      <c r="A63" s="259" t="s">
        <v>96</v>
      </c>
      <c r="B63" s="260">
        <v>1</v>
      </c>
      <c r="C63" s="496"/>
      <c r="D63" s="499"/>
      <c r="E63" s="323">
        <v>4</v>
      </c>
      <c r="F63" s="324"/>
      <c r="G63" s="403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97</v>
      </c>
      <c r="B64" s="260">
        <v>1</v>
      </c>
      <c r="C64" s="494" t="s">
        <v>98</v>
      </c>
      <c r="D64" s="497">
        <v>150.41999999999999</v>
      </c>
      <c r="E64" s="317">
        <v>1</v>
      </c>
      <c r="F64" s="318">
        <v>52344457</v>
      </c>
      <c r="G64" s="404">
        <f>IF(ISBLANK(F64),"-",(F64/$D$50*$D$47*$B$68)*($B$57/$D$64))</f>
        <v>116.96026773859911</v>
      </c>
      <c r="H64" s="325">
        <f t="shared" si="0"/>
        <v>0.93568214190879295</v>
      </c>
    </row>
    <row r="65" spans="1:8" ht="26.25" customHeight="1" x14ac:dyDescent="0.4">
      <c r="A65" s="259" t="s">
        <v>99</v>
      </c>
      <c r="B65" s="260">
        <v>1</v>
      </c>
      <c r="C65" s="495"/>
      <c r="D65" s="498"/>
      <c r="E65" s="320">
        <v>2</v>
      </c>
      <c r="F65" s="272">
        <v>52510281</v>
      </c>
      <c r="G65" s="405">
        <f>IF(ISBLANK(F65),"-",(F65/$D$50*$D$47*$B$68)*($B$57/$D$64))</f>
        <v>117.33079062772727</v>
      </c>
      <c r="H65" s="326">
        <f t="shared" si="0"/>
        <v>0.93864632502181811</v>
      </c>
    </row>
    <row r="66" spans="1:8" ht="26.25" customHeight="1" x14ac:dyDescent="0.4">
      <c r="A66" s="259" t="s">
        <v>100</v>
      </c>
      <c r="B66" s="260">
        <v>1</v>
      </c>
      <c r="C66" s="495"/>
      <c r="D66" s="498"/>
      <c r="E66" s="320">
        <v>3</v>
      </c>
      <c r="F66" s="272">
        <v>52546508</v>
      </c>
      <c r="G66" s="405">
        <f>IF(ISBLANK(F66),"-",(F66/$D$50*$D$47*$B$68)*($B$57/$D$64))</f>
        <v>117.41173749129615</v>
      </c>
      <c r="H66" s="326">
        <f t="shared" si="0"/>
        <v>0.93929389993036916</v>
      </c>
    </row>
    <row r="67" spans="1:8" ht="27" customHeight="1" x14ac:dyDescent="0.4">
      <c r="A67" s="259" t="s">
        <v>101</v>
      </c>
      <c r="B67" s="260">
        <v>1</v>
      </c>
      <c r="C67" s="496"/>
      <c r="D67" s="499"/>
      <c r="E67" s="323">
        <v>4</v>
      </c>
      <c r="F67" s="324"/>
      <c r="G67" s="406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102</v>
      </c>
      <c r="B68" s="328">
        <f>(B67/B66)*(B65/B64)*(B63/B62)*(B61/B60)*B59</f>
        <v>100</v>
      </c>
      <c r="C68" s="494" t="s">
        <v>103</v>
      </c>
      <c r="D68" s="497">
        <v>128.26</v>
      </c>
      <c r="E68" s="317">
        <v>1</v>
      </c>
      <c r="F68" s="318">
        <v>44563669</v>
      </c>
      <c r="G68" s="404">
        <f>IF(ISBLANK(F68),"-",(F68/$D$50*$D$47*$B$68)*($B$57/$D$68))</f>
        <v>116.77851367838345</v>
      </c>
      <c r="H68" s="321">
        <f t="shared" si="0"/>
        <v>0.93422810942706758</v>
      </c>
    </row>
    <row r="69" spans="1:8" ht="27" customHeight="1" x14ac:dyDescent="0.4">
      <c r="A69" s="307" t="s">
        <v>104</v>
      </c>
      <c r="B69" s="329">
        <f>(D47*B68)/B56*B57</f>
        <v>102.3617</v>
      </c>
      <c r="C69" s="495"/>
      <c r="D69" s="498"/>
      <c r="E69" s="320">
        <v>2</v>
      </c>
      <c r="F69" s="272">
        <v>44561713</v>
      </c>
      <c r="G69" s="405">
        <f>IF(ISBLANK(F69),"-",(F69/$D$50*$D$47*$B$68)*($B$57/$D$68))</f>
        <v>116.77338800588207</v>
      </c>
      <c r="H69" s="321">
        <f t="shared" si="0"/>
        <v>0.93418710404705652</v>
      </c>
    </row>
    <row r="70" spans="1:8" ht="26.25" customHeight="1" x14ac:dyDescent="0.4">
      <c r="A70" s="507" t="s">
        <v>77</v>
      </c>
      <c r="B70" s="508"/>
      <c r="C70" s="495"/>
      <c r="D70" s="498"/>
      <c r="E70" s="320">
        <v>3</v>
      </c>
      <c r="F70" s="272">
        <v>44631853</v>
      </c>
      <c r="G70" s="405">
        <f>IF(ISBLANK(F70),"-",(F70/$D$50*$D$47*$B$68)*($B$57/$D$68))</f>
        <v>116.95718896153052</v>
      </c>
      <c r="H70" s="321">
        <f t="shared" si="0"/>
        <v>0.9356575116922442</v>
      </c>
    </row>
    <row r="71" spans="1:8" ht="27" customHeight="1" x14ac:dyDescent="0.4">
      <c r="A71" s="509"/>
      <c r="B71" s="510"/>
      <c r="C71" s="506"/>
      <c r="D71" s="499"/>
      <c r="E71" s="323">
        <v>4</v>
      </c>
      <c r="F71" s="324"/>
      <c r="G71" s="406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70</v>
      </c>
      <c r="G72" s="411">
        <f>AVERAGE(G60:G71)</f>
        <v>117.68948591584785</v>
      </c>
      <c r="H72" s="334">
        <f>AVERAGE(H60:H71)</f>
        <v>0.94151588732678293</v>
      </c>
    </row>
    <row r="73" spans="1:8" ht="26.25" customHeight="1" x14ac:dyDescent="0.4">
      <c r="C73" s="331"/>
      <c r="D73" s="331"/>
      <c r="E73" s="331"/>
      <c r="F73" s="335" t="s">
        <v>83</v>
      </c>
      <c r="G73" s="407">
        <f>STDEV(G60:G71)/G72</f>
        <v>8.6946423814565268E-3</v>
      </c>
      <c r="H73" s="407">
        <f>STDEV(H60:H71)/H72</f>
        <v>8.6946423814565302E-3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19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105</v>
      </c>
      <c r="B76" s="339" t="s">
        <v>106</v>
      </c>
      <c r="C76" s="502" t="str">
        <f>B20</f>
        <v>Amoxicillin &amp; Clavulanate Potassium</v>
      </c>
      <c r="D76" s="502"/>
      <c r="E76" s="340" t="s">
        <v>107</v>
      </c>
      <c r="F76" s="340"/>
      <c r="G76" s="341">
        <f>H72</f>
        <v>0.94151588732678293</v>
      </c>
      <c r="H76" s="342"/>
    </row>
    <row r="77" spans="1:8" ht="18.75" x14ac:dyDescent="0.3">
      <c r="A77" s="242" t="s">
        <v>108</v>
      </c>
      <c r="B77" s="242" t="s">
        <v>109</v>
      </c>
    </row>
    <row r="78" spans="1:8" ht="18.75" x14ac:dyDescent="0.3">
      <c r="A78" s="242"/>
      <c r="B78" s="242"/>
    </row>
    <row r="79" spans="1:8" ht="26.25" customHeight="1" x14ac:dyDescent="0.4">
      <c r="A79" s="243" t="s">
        <v>3</v>
      </c>
      <c r="B79" s="488" t="str">
        <f>B26</f>
        <v>Clavulanic lithium</v>
      </c>
      <c r="C79" s="488"/>
    </row>
    <row r="80" spans="1:8" ht="26.25" customHeight="1" x14ac:dyDescent="0.4">
      <c r="A80" s="244" t="s">
        <v>47</v>
      </c>
      <c r="B80" s="488">
        <f>B27</f>
        <v>0</v>
      </c>
      <c r="C80" s="488"/>
    </row>
    <row r="81" spans="1:12" ht="27" customHeight="1" x14ac:dyDescent="0.4">
      <c r="A81" s="244" t="s">
        <v>5</v>
      </c>
      <c r="B81" s="343">
        <f>B28</f>
        <v>96.4</v>
      </c>
    </row>
    <row r="82" spans="1:12" s="3" customFormat="1" ht="27" customHeight="1" x14ac:dyDescent="0.4">
      <c r="A82" s="244" t="s">
        <v>48</v>
      </c>
      <c r="B82" s="246">
        <v>0</v>
      </c>
      <c r="C82" s="479" t="s">
        <v>49</v>
      </c>
      <c r="D82" s="480"/>
      <c r="E82" s="480"/>
      <c r="F82" s="480"/>
      <c r="G82" s="481"/>
      <c r="I82" s="247"/>
      <c r="J82" s="247"/>
      <c r="K82" s="247"/>
      <c r="L82" s="247"/>
    </row>
    <row r="83" spans="1:12" s="3" customFormat="1" ht="19.5" customHeight="1" x14ac:dyDescent="0.3">
      <c r="A83" s="244" t="s">
        <v>50</v>
      </c>
      <c r="B83" s="248">
        <f>B81-B82</f>
        <v>96.4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51</v>
      </c>
      <c r="B84" s="251">
        <v>1</v>
      </c>
      <c r="C84" s="482" t="s">
        <v>110</v>
      </c>
      <c r="D84" s="483"/>
      <c r="E84" s="483"/>
      <c r="F84" s="483"/>
      <c r="G84" s="483"/>
      <c r="H84" s="484"/>
      <c r="I84" s="247"/>
      <c r="J84" s="247"/>
      <c r="K84" s="247"/>
      <c r="L84" s="247"/>
    </row>
    <row r="85" spans="1:12" s="3" customFormat="1" ht="27" customHeight="1" x14ac:dyDescent="0.4">
      <c r="A85" s="244" t="s">
        <v>53</v>
      </c>
      <c r="B85" s="251">
        <v>1</v>
      </c>
      <c r="C85" s="482" t="s">
        <v>111</v>
      </c>
      <c r="D85" s="483"/>
      <c r="E85" s="483"/>
      <c r="F85" s="483"/>
      <c r="G85" s="483"/>
      <c r="H85" s="484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55</v>
      </c>
      <c r="B87" s="256">
        <f>B84/B85</f>
        <v>1</v>
      </c>
      <c r="C87" s="234" t="s">
        <v>56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57</v>
      </c>
      <c r="B89" s="258">
        <v>20</v>
      </c>
      <c r="D89" s="344" t="s">
        <v>58</v>
      </c>
      <c r="E89" s="345"/>
      <c r="F89" s="485" t="s">
        <v>59</v>
      </c>
      <c r="G89" s="487"/>
    </row>
    <row r="90" spans="1:12" ht="27" customHeight="1" x14ac:dyDescent="0.4">
      <c r="A90" s="259" t="s">
        <v>60</v>
      </c>
      <c r="B90" s="260">
        <v>3</v>
      </c>
      <c r="C90" s="346" t="s">
        <v>61</v>
      </c>
      <c r="D90" s="262" t="s">
        <v>62</v>
      </c>
      <c r="E90" s="263" t="s">
        <v>63</v>
      </c>
      <c r="F90" s="262" t="s">
        <v>62</v>
      </c>
      <c r="G90" s="347" t="s">
        <v>63</v>
      </c>
      <c r="I90" s="265" t="s">
        <v>64</v>
      </c>
    </row>
    <row r="91" spans="1:12" ht="26.25" customHeight="1" x14ac:dyDescent="0.4">
      <c r="A91" s="259" t="s">
        <v>65</v>
      </c>
      <c r="B91" s="260">
        <v>25</v>
      </c>
      <c r="C91" s="348">
        <v>1</v>
      </c>
      <c r="D91" s="267">
        <v>49622398</v>
      </c>
      <c r="E91" s="268">
        <f>IF(ISBLANK(D91),"-",$D$101/$D$98*D91)</f>
        <v>51582808.839897372</v>
      </c>
      <c r="F91" s="267">
        <v>44495700</v>
      </c>
      <c r="G91" s="269">
        <f>IF(ISBLANK(F91),"-",$D$101/$F$98*F91)</f>
        <v>50661807.800375178</v>
      </c>
      <c r="I91" s="270"/>
    </row>
    <row r="92" spans="1:12" ht="26.25" customHeight="1" x14ac:dyDescent="0.4">
      <c r="A92" s="259" t="s">
        <v>66</v>
      </c>
      <c r="B92" s="260">
        <v>1</v>
      </c>
      <c r="C92" s="332">
        <v>2</v>
      </c>
      <c r="D92" s="272">
        <v>48777801</v>
      </c>
      <c r="E92" s="273">
        <f>IF(ISBLANK(D92),"-",$D$101/$D$98*D92)</f>
        <v>50704844.707697414</v>
      </c>
      <c r="F92" s="272">
        <v>43843421</v>
      </c>
      <c r="G92" s="274">
        <f>IF(ISBLANK(F92),"-",$D$101/$F$98*F92)</f>
        <v>49919137.534928828</v>
      </c>
      <c r="I92" s="489">
        <f>ABS((F96/D96*D95)-F95)/D95</f>
        <v>1.618858991835093E-2</v>
      </c>
    </row>
    <row r="93" spans="1:12" ht="26.25" customHeight="1" x14ac:dyDescent="0.4">
      <c r="A93" s="259" t="s">
        <v>67</v>
      </c>
      <c r="B93" s="260">
        <v>1</v>
      </c>
      <c r="C93" s="332">
        <v>3</v>
      </c>
      <c r="D93" s="272">
        <v>48323247</v>
      </c>
      <c r="E93" s="273">
        <f>IF(ISBLANK(D93),"-",$D$101/$D$98*D93)</f>
        <v>50232332.837363966</v>
      </c>
      <c r="F93" s="272">
        <v>43242234</v>
      </c>
      <c r="G93" s="274">
        <f>IF(ISBLANK(F93),"-",$D$101/$F$98*F93)</f>
        <v>49234639.476777501</v>
      </c>
      <c r="I93" s="489"/>
    </row>
    <row r="94" spans="1:12" ht="27" customHeight="1" x14ac:dyDescent="0.4">
      <c r="A94" s="259" t="s">
        <v>68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69</v>
      </c>
      <c r="B95" s="260">
        <v>1</v>
      </c>
      <c r="C95" s="351" t="s">
        <v>70</v>
      </c>
      <c r="D95" s="352">
        <f>AVERAGE(D91:D94)</f>
        <v>48907815.333333336</v>
      </c>
      <c r="E95" s="283">
        <f>AVERAGE(E91:E94)</f>
        <v>50839995.461652912</v>
      </c>
      <c r="F95" s="353">
        <f>AVERAGE(F91:F94)</f>
        <v>43860451.666666664</v>
      </c>
      <c r="G95" s="354">
        <f>AVERAGE(G91:G94)</f>
        <v>49938528.270693839</v>
      </c>
    </row>
    <row r="96" spans="1:12" ht="26.25" customHeight="1" x14ac:dyDescent="0.4">
      <c r="A96" s="259" t="s">
        <v>71</v>
      </c>
      <c r="B96" s="245">
        <v>1</v>
      </c>
      <c r="C96" s="355" t="s">
        <v>112</v>
      </c>
      <c r="D96" s="356">
        <v>23.1</v>
      </c>
      <c r="E96" s="275"/>
      <c r="F96" s="287">
        <v>21.09</v>
      </c>
    </row>
    <row r="97" spans="1:10" ht="26.25" customHeight="1" x14ac:dyDescent="0.4">
      <c r="A97" s="259" t="s">
        <v>73</v>
      </c>
      <c r="B97" s="245">
        <v>1</v>
      </c>
      <c r="C97" s="357" t="s">
        <v>113</v>
      </c>
      <c r="D97" s="358">
        <f>D96*$B$87</f>
        <v>23.1</v>
      </c>
      <c r="E97" s="290"/>
      <c r="F97" s="289">
        <f>F96*$B$87</f>
        <v>21.09</v>
      </c>
    </row>
    <row r="98" spans="1:10" ht="19.5" customHeight="1" x14ac:dyDescent="0.3">
      <c r="A98" s="259" t="s">
        <v>75</v>
      </c>
      <c r="B98" s="359">
        <f>(B97/B96)*(B95/B94)*(B93/B92)*(B91/B90)*B89</f>
        <v>166.66666666666669</v>
      </c>
      <c r="C98" s="357" t="s">
        <v>114</v>
      </c>
      <c r="D98" s="360">
        <f>D97*$B$83/100</f>
        <v>22.2684</v>
      </c>
      <c r="E98" s="293"/>
      <c r="F98" s="292">
        <f>F97*$B$83/100</f>
        <v>20.330760000000001</v>
      </c>
    </row>
    <row r="99" spans="1:10" ht="19.5" customHeight="1" x14ac:dyDescent="0.3">
      <c r="A99" s="490" t="s">
        <v>77</v>
      </c>
      <c r="B99" s="504"/>
      <c r="C99" s="357" t="s">
        <v>115</v>
      </c>
      <c r="D99" s="361">
        <f>D98/$B$98</f>
        <v>0.13361039999999999</v>
      </c>
      <c r="E99" s="293"/>
      <c r="F99" s="296">
        <f>F98/$B$98</f>
        <v>0.12198455999999999</v>
      </c>
      <c r="G99" s="362"/>
      <c r="H99" s="285"/>
    </row>
    <row r="100" spans="1:10" ht="19.5" customHeight="1" x14ac:dyDescent="0.3">
      <c r="A100" s="492"/>
      <c r="B100" s="505"/>
      <c r="C100" s="357" t="s">
        <v>79</v>
      </c>
      <c r="D100" s="363">
        <f>$B$56/$B$116</f>
        <v>0.1388888888888889</v>
      </c>
      <c r="F100" s="301"/>
      <c r="G100" s="511"/>
      <c r="H100" s="285"/>
    </row>
    <row r="101" spans="1:10" ht="18.75" x14ac:dyDescent="0.3">
      <c r="C101" s="357" t="s">
        <v>80</v>
      </c>
      <c r="D101" s="358">
        <f>D100*$B$98</f>
        <v>23.148148148148152</v>
      </c>
      <c r="F101" s="301"/>
      <c r="G101" s="512"/>
      <c r="H101" s="285"/>
    </row>
    <row r="102" spans="1:10" ht="19.5" customHeight="1" x14ac:dyDescent="0.3">
      <c r="C102" s="364" t="s">
        <v>81</v>
      </c>
      <c r="D102" s="365">
        <f>D101/B34</f>
        <v>23.148148148148152</v>
      </c>
      <c r="F102" s="305"/>
      <c r="G102" s="512"/>
      <c r="H102" s="285"/>
      <c r="J102" s="366"/>
    </row>
    <row r="103" spans="1:10" ht="18.75" x14ac:dyDescent="0.3">
      <c r="C103" s="367" t="s">
        <v>116</v>
      </c>
      <c r="D103" s="368">
        <f>AVERAGE(E91:E94,G91:G94)</f>
        <v>50389261.866173379</v>
      </c>
      <c r="F103" s="305"/>
      <c r="G103" s="511"/>
      <c r="H103" s="285"/>
      <c r="J103" s="369"/>
    </row>
    <row r="104" spans="1:10" ht="18.75" x14ac:dyDescent="0.3">
      <c r="C104" s="335" t="s">
        <v>83</v>
      </c>
      <c r="D104" s="370">
        <f>STDEV(E91:E94,G91:G94)/D103</f>
        <v>1.5819799094798179E-2</v>
      </c>
      <c r="F104" s="305"/>
      <c r="G104" s="512"/>
      <c r="H104" s="285"/>
      <c r="J104" s="369"/>
    </row>
    <row r="105" spans="1:10" ht="19.5" customHeight="1" x14ac:dyDescent="0.3">
      <c r="C105" s="337" t="s">
        <v>19</v>
      </c>
      <c r="D105" s="371">
        <f>COUNT(E91:E94,G91:G94)</f>
        <v>6</v>
      </c>
      <c r="F105" s="305"/>
      <c r="G105" s="512"/>
      <c r="H105" s="285"/>
      <c r="J105" s="369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117</v>
      </c>
      <c r="B107" s="258">
        <v>900</v>
      </c>
      <c r="C107" s="372" t="s">
        <v>118</v>
      </c>
      <c r="D107" s="373" t="s">
        <v>62</v>
      </c>
      <c r="E107" s="374" t="s">
        <v>119</v>
      </c>
      <c r="F107" s="375" t="s">
        <v>120</v>
      </c>
    </row>
    <row r="108" spans="1:10" ht="26.25" customHeight="1" x14ac:dyDescent="0.4">
      <c r="A108" s="259" t="s">
        <v>121</v>
      </c>
      <c r="B108" s="260">
        <v>1</v>
      </c>
      <c r="C108" s="376">
        <v>1</v>
      </c>
      <c r="D108" s="377">
        <v>43710368</v>
      </c>
      <c r="E108" s="408">
        <f t="shared" ref="E108:E113" si="1">IF(ISBLANK(D108),"-",D108/$D$103*$D$100*$B$116)</f>
        <v>108.43175306895853</v>
      </c>
      <c r="F108" s="378">
        <f t="shared" ref="F108:F113" si="2">IF(ISBLANK(D108), "-", E108/$B$56)</f>
        <v>0.8674540245516682</v>
      </c>
    </row>
    <row r="109" spans="1:10" ht="26.25" customHeight="1" x14ac:dyDescent="0.4">
      <c r="A109" s="259" t="s">
        <v>94</v>
      </c>
      <c r="B109" s="260">
        <v>1</v>
      </c>
      <c r="C109" s="376">
        <v>2</v>
      </c>
      <c r="D109" s="377">
        <v>42712080</v>
      </c>
      <c r="E109" s="409">
        <f t="shared" si="1"/>
        <v>105.95531274460107</v>
      </c>
      <c r="F109" s="379">
        <f t="shared" si="2"/>
        <v>0.84764250195680857</v>
      </c>
    </row>
    <row r="110" spans="1:10" ht="26.25" customHeight="1" x14ac:dyDescent="0.4">
      <c r="A110" s="259" t="s">
        <v>95</v>
      </c>
      <c r="B110" s="260">
        <v>1</v>
      </c>
      <c r="C110" s="376">
        <v>3</v>
      </c>
      <c r="D110" s="377">
        <v>43498315</v>
      </c>
      <c r="E110" s="409">
        <f t="shared" si="1"/>
        <v>107.90571589321267</v>
      </c>
      <c r="F110" s="379">
        <f t="shared" si="2"/>
        <v>0.86324572714570136</v>
      </c>
    </row>
    <row r="111" spans="1:10" ht="26.25" customHeight="1" x14ac:dyDescent="0.4">
      <c r="A111" s="259" t="s">
        <v>96</v>
      </c>
      <c r="B111" s="260">
        <v>1</v>
      </c>
      <c r="C111" s="376">
        <v>4</v>
      </c>
      <c r="D111" s="377">
        <v>43815625</v>
      </c>
      <c r="E111" s="409">
        <f t="shared" si="1"/>
        <v>108.69286276798415</v>
      </c>
      <c r="F111" s="379">
        <f t="shared" si="2"/>
        <v>0.8695429021438732</v>
      </c>
    </row>
    <row r="112" spans="1:10" ht="26.25" customHeight="1" x14ac:dyDescent="0.4">
      <c r="A112" s="259" t="s">
        <v>97</v>
      </c>
      <c r="B112" s="260">
        <v>1</v>
      </c>
      <c r="C112" s="376">
        <v>5</v>
      </c>
      <c r="D112" s="377">
        <v>41309907</v>
      </c>
      <c r="E112" s="409">
        <f t="shared" si="1"/>
        <v>102.47696004585551</v>
      </c>
      <c r="F112" s="379">
        <f t="shared" si="2"/>
        <v>0.81981568036684405</v>
      </c>
    </row>
    <row r="113" spans="1:10" ht="26.25" customHeight="1" x14ac:dyDescent="0.4">
      <c r="A113" s="259" t="s">
        <v>99</v>
      </c>
      <c r="B113" s="260">
        <v>1</v>
      </c>
      <c r="C113" s="380">
        <v>6</v>
      </c>
      <c r="D113" s="381">
        <v>42238472</v>
      </c>
      <c r="E113" s="410">
        <f t="shared" si="1"/>
        <v>104.78043941231789</v>
      </c>
      <c r="F113" s="382">
        <f t="shared" si="2"/>
        <v>0.83824351529854313</v>
      </c>
    </row>
    <row r="114" spans="1:10" ht="26.25" customHeight="1" x14ac:dyDescent="0.4">
      <c r="A114" s="259" t="s">
        <v>100</v>
      </c>
      <c r="B114" s="260">
        <v>1</v>
      </c>
      <c r="C114" s="376"/>
      <c r="D114" s="332"/>
      <c r="E114" s="233"/>
      <c r="F114" s="383"/>
    </row>
    <row r="115" spans="1:10" ht="26.25" customHeight="1" x14ac:dyDescent="0.4">
      <c r="A115" s="259" t="s">
        <v>101</v>
      </c>
      <c r="B115" s="260">
        <v>1</v>
      </c>
      <c r="C115" s="376"/>
      <c r="D115" s="384" t="s">
        <v>70</v>
      </c>
      <c r="E115" s="412">
        <f>AVERAGE(E108:E113)</f>
        <v>106.37384065548831</v>
      </c>
      <c r="F115" s="385">
        <f>AVERAGE(F108:F113)</f>
        <v>0.85099072524390629</v>
      </c>
    </row>
    <row r="116" spans="1:10" ht="27" customHeight="1" x14ac:dyDescent="0.4">
      <c r="A116" s="259" t="s">
        <v>102</v>
      </c>
      <c r="B116" s="291">
        <f>(B115/B114)*(B113/B112)*(B111/B110)*(B109/B108)*B107</f>
        <v>900</v>
      </c>
      <c r="C116" s="386"/>
      <c r="D116" s="351" t="s">
        <v>83</v>
      </c>
      <c r="E116" s="387">
        <f>STDEV(E108:E113)/E115</f>
        <v>2.2973111833153221E-2</v>
      </c>
      <c r="F116" s="387">
        <f>STDEV(F108:F113)/F115</f>
        <v>2.2973111833153217E-2</v>
      </c>
      <c r="I116" s="233"/>
    </row>
    <row r="117" spans="1:10" ht="27" customHeight="1" x14ac:dyDescent="0.4">
      <c r="A117" s="490" t="s">
        <v>77</v>
      </c>
      <c r="B117" s="491"/>
      <c r="C117" s="388"/>
      <c r="D117" s="389" t="s">
        <v>19</v>
      </c>
      <c r="E117" s="390">
        <f>COUNT(E108:E113)</f>
        <v>6</v>
      </c>
      <c r="F117" s="390">
        <f>COUNT(F108:F113)</f>
        <v>6</v>
      </c>
      <c r="I117" s="233"/>
      <c r="J117" s="369"/>
    </row>
    <row r="118" spans="1:10" ht="19.5" customHeight="1" x14ac:dyDescent="0.3">
      <c r="A118" s="492"/>
      <c r="B118" s="493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399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105</v>
      </c>
      <c r="B120" s="339" t="s">
        <v>122</v>
      </c>
      <c r="C120" s="502" t="str">
        <f>B20</f>
        <v>Amoxicillin &amp; Clavulanate Potassium</v>
      </c>
      <c r="D120" s="502"/>
      <c r="E120" s="340" t="s">
        <v>123</v>
      </c>
      <c r="F120" s="340"/>
      <c r="G120" s="341">
        <f>F115</f>
        <v>0.85099072524390629</v>
      </c>
      <c r="H120" s="233"/>
      <c r="I120" s="233"/>
    </row>
    <row r="121" spans="1:10" ht="19.5" customHeight="1" x14ac:dyDescent="0.3">
      <c r="A121" s="391"/>
      <c r="B121" s="391"/>
      <c r="C121" s="392"/>
      <c r="D121" s="392"/>
      <c r="E121" s="392"/>
      <c r="F121" s="392"/>
      <c r="G121" s="392"/>
      <c r="H121" s="392"/>
    </row>
    <row r="122" spans="1:10" ht="18.75" x14ac:dyDescent="0.3">
      <c r="B122" s="503" t="s">
        <v>25</v>
      </c>
      <c r="C122" s="503"/>
      <c r="E122" s="346" t="s">
        <v>26</v>
      </c>
      <c r="F122" s="393"/>
      <c r="G122" s="503" t="s">
        <v>27</v>
      </c>
      <c r="H122" s="503"/>
    </row>
    <row r="123" spans="1:10" ht="69.95" customHeight="1" x14ac:dyDescent="0.3">
      <c r="A123" s="394" t="s">
        <v>28</v>
      </c>
      <c r="B123" s="395"/>
      <c r="C123" s="395"/>
      <c r="E123" s="395"/>
      <c r="F123" s="233"/>
      <c r="G123" s="396"/>
      <c r="H123" s="396"/>
    </row>
    <row r="124" spans="1:10" ht="69.95" customHeight="1" x14ac:dyDescent="0.3">
      <c r="A124" s="394" t="s">
        <v>29</v>
      </c>
      <c r="B124" s="397"/>
      <c r="C124" s="397"/>
      <c r="E124" s="397"/>
      <c r="F124" s="233"/>
      <c r="G124" s="398"/>
      <c r="H124" s="398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(ASSAY)</vt:lpstr>
      <vt:lpstr>SST (DISS)</vt:lpstr>
      <vt:lpstr>Uniformity</vt:lpstr>
      <vt:lpstr>amoxicillin Trihydrate</vt:lpstr>
      <vt:lpstr>Clavulanic acid</vt:lpstr>
      <vt:lpstr>'amoxicillin Trihydrate'!Print_Area</vt:lpstr>
      <vt:lpstr>'Clavulanic acid'!Print_Area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2016-02-26T12:38:00Z</cp:lastPrinted>
  <dcterms:created xsi:type="dcterms:W3CDTF">2005-07-05T10:19:27Z</dcterms:created>
  <dcterms:modified xsi:type="dcterms:W3CDTF">2016-02-26T12:42:25Z</dcterms:modified>
  <cp:category/>
</cp:coreProperties>
</file>