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5"/>
  </bookViews>
  <sheets>
    <sheet name="SST (ASSAY) " sheetId="5" r:id="rId1"/>
    <sheet name="SST (DISS) (2)" sheetId="6" r:id="rId2"/>
    <sheet name="Uniformity" sheetId="2" r:id="rId3"/>
    <sheet name="amoxicillin Trihydrate" sheetId="3" r:id="rId4"/>
    <sheet name="Clavulanic acid" sheetId="4" r:id="rId5"/>
    <sheet name="Sheet1" sheetId="7" r:id="rId6"/>
  </sheets>
  <definedNames>
    <definedName name="_xlnm.Print_Area" localSheetId="2">Uniformity!$A$1:$U$54</definedName>
  </definedNames>
  <calcPr calcId="145621"/>
</workbook>
</file>

<file path=xl/calcChain.xml><?xml version="1.0" encoding="utf-8"?>
<calcChain xmlns="http://schemas.openxmlformats.org/spreadsheetml/2006/main">
  <c r="D14" i="7" l="1"/>
  <c r="B14" i="7"/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B53" i="5"/>
  <c r="E51" i="5"/>
  <c r="D51" i="5"/>
  <c r="C51" i="5"/>
  <c r="B51" i="5"/>
  <c r="B52" i="5" s="1"/>
  <c r="B32" i="5"/>
  <c r="E30" i="5"/>
  <c r="D30" i="5"/>
  <c r="C30" i="5"/>
  <c r="B30" i="5"/>
  <c r="B31" i="5" s="1"/>
  <c r="B87" i="3" l="1"/>
  <c r="B98" i="3"/>
  <c r="B69" i="3" l="1"/>
  <c r="C120" i="4"/>
  <c r="B116" i="4"/>
  <c r="D100" i="4" s="1"/>
  <c r="B98" i="4"/>
  <c r="F95" i="4"/>
  <c r="D95" i="4"/>
  <c r="B87" i="4"/>
  <c r="F97" i="4" s="1"/>
  <c r="F98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D45" i="4" s="1"/>
  <c r="B30" i="4"/>
  <c r="C120" i="3"/>
  <c r="B116" i="3"/>
  <c r="D100" i="3"/>
  <c r="D101" i="3" s="1"/>
  <c r="F95" i="3"/>
  <c r="D95" i="3"/>
  <c r="F97" i="3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9" i="2"/>
  <c r="C46" i="2"/>
  <c r="D50" i="2" s="1"/>
  <c r="C45" i="2"/>
  <c r="D43" i="2"/>
  <c r="D40" i="2"/>
  <c r="D39" i="2"/>
  <c r="D36" i="2"/>
  <c r="D35" i="2"/>
  <c r="D32" i="2"/>
  <c r="D31" i="2"/>
  <c r="D28" i="2"/>
  <c r="D27" i="2"/>
  <c r="D25" i="2"/>
  <c r="D24" i="2"/>
  <c r="C19" i="2"/>
  <c r="I92" i="4" l="1"/>
  <c r="I92" i="3"/>
  <c r="I39" i="4"/>
  <c r="I39" i="3"/>
  <c r="D101" i="4"/>
  <c r="D102" i="4" s="1"/>
  <c r="F99" i="4"/>
  <c r="D49" i="4"/>
  <c r="D102" i="3"/>
  <c r="D45" i="3"/>
  <c r="D46" i="3" s="1"/>
  <c r="D49" i="3"/>
  <c r="F98" i="3"/>
  <c r="G94" i="3" s="1"/>
  <c r="E38" i="4"/>
  <c r="D46" i="4"/>
  <c r="E39" i="4"/>
  <c r="G94" i="4"/>
  <c r="F44" i="3"/>
  <c r="F45" i="3" s="1"/>
  <c r="F46" i="3" s="1"/>
  <c r="F44" i="4"/>
  <c r="F45" i="4" s="1"/>
  <c r="G39" i="4" s="1"/>
  <c r="D49" i="2"/>
  <c r="B57" i="3"/>
  <c r="E41" i="4"/>
  <c r="B57" i="4"/>
  <c r="B69" i="4" s="1"/>
  <c r="C50" i="2"/>
  <c r="D97" i="3"/>
  <c r="D98" i="3" s="1"/>
  <c r="D99" i="3" s="1"/>
  <c r="D97" i="4"/>
  <c r="D98" i="4" s="1"/>
  <c r="D99" i="4" s="1"/>
  <c r="D29" i="2"/>
  <c r="D33" i="2"/>
  <c r="D37" i="2"/>
  <c r="D41" i="2"/>
  <c r="D26" i="2"/>
  <c r="D30" i="2"/>
  <c r="D34" i="2"/>
  <c r="D38" i="2"/>
  <c r="D42" i="2"/>
  <c r="B49" i="2"/>
  <c r="E92" i="3"/>
  <c r="E40" i="4"/>
  <c r="G92" i="4" l="1"/>
  <c r="G91" i="4"/>
  <c r="G93" i="4"/>
  <c r="G38" i="4"/>
  <c r="E39" i="3"/>
  <c r="E41" i="3"/>
  <c r="E40" i="3"/>
  <c r="G93" i="3"/>
  <c r="G92" i="3"/>
  <c r="E38" i="3"/>
  <c r="E93" i="3"/>
  <c r="G41" i="4"/>
  <c r="F46" i="4"/>
  <c r="G40" i="4"/>
  <c r="E42" i="4"/>
  <c r="G39" i="3"/>
  <c r="G38" i="3"/>
  <c r="E91" i="3"/>
  <c r="E94" i="3"/>
  <c r="E94" i="4"/>
  <c r="E93" i="4"/>
  <c r="G91" i="3"/>
  <c r="F99" i="3"/>
  <c r="E91" i="4"/>
  <c r="E92" i="4"/>
  <c r="G40" i="3"/>
  <c r="G41" i="3"/>
  <c r="G95" i="4" l="1"/>
  <c r="E95" i="4"/>
  <c r="E95" i="3"/>
  <c r="D52" i="4"/>
  <c r="D50" i="4"/>
  <c r="G69" i="4" s="1"/>
  <c r="H69" i="4" s="1"/>
  <c r="G42" i="4"/>
  <c r="D50" i="3"/>
  <c r="G66" i="3" s="1"/>
  <c r="H66" i="3" s="1"/>
  <c r="D52" i="3"/>
  <c r="G42" i="3"/>
  <c r="E42" i="3"/>
  <c r="G95" i="3"/>
  <c r="D105" i="3"/>
  <c r="D103" i="3"/>
  <c r="D104" i="3" s="1"/>
  <c r="G71" i="4"/>
  <c r="H71" i="4" s="1"/>
  <c r="D105" i="4"/>
  <c r="D103" i="4"/>
  <c r="G61" i="4" l="1"/>
  <c r="H61" i="4" s="1"/>
  <c r="G68" i="4"/>
  <c r="H68" i="4" s="1"/>
  <c r="G68" i="3"/>
  <c r="H68" i="3" s="1"/>
  <c r="G69" i="3"/>
  <c r="H69" i="3" s="1"/>
  <c r="G70" i="4"/>
  <c r="H70" i="4" s="1"/>
  <c r="G62" i="4"/>
  <c r="H62" i="4" s="1"/>
  <c r="G63" i="4"/>
  <c r="H63" i="4" s="1"/>
  <c r="D51" i="4"/>
  <c r="G60" i="4"/>
  <c r="H60" i="4" s="1"/>
  <c r="G61" i="3"/>
  <c r="H61" i="3" s="1"/>
  <c r="G67" i="3"/>
  <c r="H67" i="3" s="1"/>
  <c r="D51" i="3"/>
  <c r="G71" i="3"/>
  <c r="H71" i="3" s="1"/>
  <c r="G63" i="3"/>
  <c r="H63" i="3" s="1"/>
  <c r="G60" i="3"/>
  <c r="H60" i="3" s="1"/>
  <c r="G70" i="3"/>
  <c r="H70" i="3" s="1"/>
  <c r="G64" i="3"/>
  <c r="H64" i="3" s="1"/>
  <c r="G65" i="3"/>
  <c r="H65" i="3" s="1"/>
  <c r="G62" i="3"/>
  <c r="H62" i="3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H72" i="4" l="1"/>
  <c r="G76" i="4" s="1"/>
  <c r="G72" i="4"/>
  <c r="G73" i="4" s="1"/>
  <c r="G74" i="4"/>
  <c r="G72" i="3"/>
  <c r="G73" i="3" s="1"/>
  <c r="G74" i="3"/>
  <c r="H74" i="3"/>
  <c r="H72" i="3"/>
  <c r="G76" i="3" s="1"/>
  <c r="E115" i="4"/>
  <c r="E116" i="4" s="1"/>
  <c r="E117" i="4"/>
  <c r="F108" i="4"/>
  <c r="F115" i="4" s="1"/>
  <c r="G120" i="4" s="1"/>
  <c r="E115" i="3"/>
  <c r="E116" i="3" s="1"/>
  <c r="E117" i="3"/>
  <c r="F108" i="3"/>
  <c r="H74" i="4"/>
  <c r="F115" i="3" l="1"/>
  <c r="G120" i="3" s="1"/>
  <c r="H73" i="4"/>
  <c r="H73" i="3"/>
  <c r="F117" i="3"/>
  <c r="F117" i="4"/>
  <c r="F116" i="3" l="1"/>
  <c r="F116" i="4"/>
</calcChain>
</file>

<file path=xl/sharedStrings.xml><?xml version="1.0" encoding="utf-8"?>
<sst xmlns="http://schemas.openxmlformats.org/spreadsheetml/2006/main" count="442" uniqueCount="133">
  <si>
    <t>HPLC System Suitability Report</t>
  </si>
  <si>
    <t>Analysis Data</t>
  </si>
  <si>
    <t>Sample(s)</t>
  </si>
  <si>
    <t>Reference Substance:</t>
  </si>
  <si>
    <t>CLAVAM 625</t>
  </si>
  <si>
    <t>% age Purity:</t>
  </si>
  <si>
    <t>NDQA201509361</t>
  </si>
  <si>
    <t>Weight (mg):</t>
  </si>
  <si>
    <t>Amoxicillin &amp; Clavulanic Acid</t>
  </si>
  <si>
    <t>Standard Conc (mg/mL):</t>
  </si>
  <si>
    <t>Each film coated tablet contains: Amoxicillin Trihydrate USP Eq. to Amoxicillin 500mg
Clavulanate Potassium USP Eq. to Clavulanic Acid 125mg</t>
  </si>
  <si>
    <t>2015-10-02 08:09:05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</si>
  <si>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</si>
  <si>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</si>
  <si>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</si>
  <si>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</si>
  <si>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</si>
  <si>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</si>
  <si>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</si>
  <si>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</si>
  <si>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</si>
  <si>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</si>
  <si>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</si>
  <si>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</si>
  <si>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</si>
  <si>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</si>
  <si>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</si>
  <si>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</si>
  <si>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</si>
  <si>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</si>
  <si>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</si>
  <si>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</si>
  <si>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</si>
  <si>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</si>
  <si>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</si>
  <si>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</si>
  <si>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</si>
  <si>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</si>
  <si>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</si>
  <si>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</si>
  <si>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</si>
  <si>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</si>
  <si>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</si>
  <si>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</si>
  <si>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</si>
  <si>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</si>
  <si>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</si>
  <si>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</si>
  <si>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</si>
  <si>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</si>
  <si>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</si>
  <si>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</si>
  <si>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</si>
  <si>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</si>
  <si>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</si>
  <si>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</si>
  <si>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</si>
  <si>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</si>
  <si>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</si>
  <si>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</si>
  <si>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</si>
  <si>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</si>
  <si>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</si>
  <si>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</si>
  <si>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</si>
  <si>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</si>
  <si>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</si>
  <si>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</si>
  <si>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</si>
  <si>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</si>
  <si>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</si>
  <si>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</si>
  <si>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</si>
  <si>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</si>
  <si>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</si>
  <si>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</si>
  <si>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</si>
  <si>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</si>
  <si>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</si>
  <si>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</si>
  <si>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</si>
  <si>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</si>
  <si>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</si>
  <si>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</si>
  <si>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</si>
  <si>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</si>
  <si>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</si>
  <si>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</si>
  <si>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</si>
  <si>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</si>
  <si>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</si>
  <si>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</si>
  <si>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</si>
  <si>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</si>
  <si>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</si>
  <si>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</si>
  <si>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</si>
  <si>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</si>
  <si>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</si>
  <si>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</si>
  <si>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</si>
  <si>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</si>
  <si>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</si>
  <si>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</si>
  <si>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</si>
  <si>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</si>
  <si>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</si>
  <si>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</si>
  <si>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</si>
  <si>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</si>
  <si>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</si>
  <si>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</si>
  <si>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</si>
  <si>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</si>
  <si>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</si>
  <si>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</si>
  <si>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</si>
  <si>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</si>
  <si>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</si>
  <si>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</si>
  <si>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</si>
  <si>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</si>
  <si>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</si>
  <si>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</si>
  <si>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Amoxicillin</t>
  </si>
  <si>
    <t>Clavulanic acid</t>
  </si>
  <si>
    <t>ASSAY CLAVULANIC LITHIUM</t>
  </si>
  <si>
    <t>CLAVULANIC LITHIUM</t>
  </si>
  <si>
    <t>ASSAY</t>
  </si>
  <si>
    <t>DISSOLUTION- CLAVULANIC LITHIUM</t>
  </si>
  <si>
    <t>S2</t>
  </si>
  <si>
    <t>AMOXICILLIN</t>
  </si>
  <si>
    <t>CLAVULANIC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</si>
</sst>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9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0" tint="-4.9989318521683403E-2"/>
        <bgColor indexed="64"/>
      </patternFill>
    </fill>
  </fills>
  <borders count="7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4" fillId="2" borderId="0"/>
  </cellStyleXfs>
  <cellXfs count="52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25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0" fontId="26" fillId="2" borderId="0" xfId="1" applyFont="1" applyFill="1" applyAlignment="1">
      <alignment horizontal="left"/>
    </xf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6" fillId="2" borderId="0" xfId="1" applyFont="1" applyFill="1"/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7" fillId="3" borderId="5" xfId="1" applyFont="1" applyFill="1" applyBorder="1" applyAlignment="1" applyProtection="1">
      <alignment horizontal="center"/>
      <protection locked="0"/>
    </xf>
    <xf numFmtId="0" fontId="4" fillId="2" borderId="0" xfId="1" applyFont="1" applyFill="1" applyAlignment="1">
      <alignment horizontal="left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0" fillId="2" borderId="59" xfId="0" applyFill="1" applyBorder="1"/>
    <xf numFmtId="0" fontId="0" fillId="2" borderId="60" xfId="0" applyFill="1" applyBorder="1"/>
    <xf numFmtId="0" fontId="0" fillId="2" borderId="61" xfId="0" applyFill="1" applyBorder="1"/>
    <xf numFmtId="10" fontId="0" fillId="2" borderId="62" xfId="0" applyNumberFormat="1" applyFill="1" applyBorder="1"/>
    <xf numFmtId="10" fontId="0" fillId="2" borderId="0" xfId="0" applyNumberFormat="1" applyFill="1" applyBorder="1"/>
    <xf numFmtId="10" fontId="0" fillId="2" borderId="63" xfId="0" applyNumberFormat="1" applyFill="1" applyBorder="1"/>
    <xf numFmtId="0" fontId="0" fillId="8" borderId="67" xfId="0" applyFill="1" applyBorder="1"/>
    <xf numFmtId="10" fontId="0" fillId="8" borderId="68" xfId="0" applyNumberFormat="1" applyFill="1" applyBorder="1"/>
    <xf numFmtId="0" fontId="0" fillId="8" borderId="69" xfId="0" applyFill="1" applyBorder="1"/>
    <xf numFmtId="0" fontId="0" fillId="8" borderId="68" xfId="0" applyFill="1" applyBorder="1"/>
    <xf numFmtId="10" fontId="0" fillId="8" borderId="64" xfId="0" applyNumberFormat="1" applyFill="1" applyBorder="1"/>
    <xf numFmtId="0" fontId="0" fillId="8" borderId="66" xfId="0" applyFill="1" applyBorder="1"/>
    <xf numFmtId="10" fontId="0" fillId="8" borderId="65" xfId="0" applyNumberFormat="1" applyFill="1" applyBorder="1"/>
    <xf numFmtId="0" fontId="28" fillId="2" borderId="0" xfId="0" applyFont="1" applyFill="1"/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1" workbookViewId="0">
      <selection activeCell="B64" sqref="B64"/>
    </sheetView>
  </sheetViews>
  <sheetFormatPr defaultRowHeight="13.5" x14ac:dyDescent="0.25"/>
  <cols>
    <col min="1" max="1" width="27.5703125" style="417" customWidth="1"/>
    <col min="2" max="2" width="20.42578125" style="417" customWidth="1"/>
    <col min="3" max="3" width="31.85546875" style="417" customWidth="1"/>
    <col min="4" max="4" width="25.85546875" style="417" customWidth="1"/>
    <col min="5" max="5" width="25.7109375" style="417" customWidth="1"/>
    <col min="6" max="6" width="23.140625" style="417" customWidth="1"/>
    <col min="7" max="7" width="28.42578125" style="417" customWidth="1"/>
    <col min="8" max="8" width="21.5703125" style="417" customWidth="1"/>
    <col min="9" max="9" width="9.140625" style="417" customWidth="1"/>
    <col min="10" max="16384" width="9.140625" style="455"/>
  </cols>
  <sheetData>
    <row r="14" spans="1:6" ht="15" customHeight="1" x14ac:dyDescent="0.3">
      <c r="A14" s="416"/>
      <c r="C14" s="418"/>
      <c r="F14" s="418"/>
    </row>
    <row r="15" spans="1:6" ht="18.75" customHeight="1" x14ac:dyDescent="0.3">
      <c r="A15" s="464" t="s">
        <v>0</v>
      </c>
      <c r="B15" s="464"/>
      <c r="C15" s="464"/>
      <c r="D15" s="464"/>
      <c r="E15" s="464"/>
    </row>
    <row r="16" spans="1:6" ht="16.5" customHeight="1" x14ac:dyDescent="0.3">
      <c r="A16" s="419" t="s">
        <v>1</v>
      </c>
      <c r="B16" s="420" t="s">
        <v>126</v>
      </c>
    </row>
    <row r="17" spans="1:5" ht="16.5" customHeight="1" x14ac:dyDescent="0.3">
      <c r="A17" s="421" t="s">
        <v>2</v>
      </c>
      <c r="B17" s="421" t="s">
        <v>4</v>
      </c>
      <c r="D17" s="422"/>
      <c r="E17" s="423"/>
    </row>
    <row r="18" spans="1:5" ht="16.5" customHeight="1" x14ac:dyDescent="0.3">
      <c r="A18" s="424" t="s">
        <v>3</v>
      </c>
      <c r="B18" s="425" t="s">
        <v>127</v>
      </c>
      <c r="C18" s="423"/>
      <c r="D18" s="423"/>
      <c r="E18" s="423"/>
    </row>
    <row r="19" spans="1:5" ht="16.5" customHeight="1" x14ac:dyDescent="0.3">
      <c r="A19" s="424" t="s">
        <v>5</v>
      </c>
      <c r="B19" s="426">
        <v>86.6</v>
      </c>
      <c r="C19" s="423"/>
      <c r="D19" s="423"/>
      <c r="E19" s="423"/>
    </row>
    <row r="20" spans="1:5" ht="16.5" customHeight="1" x14ac:dyDescent="0.3">
      <c r="A20" s="421" t="s">
        <v>7</v>
      </c>
      <c r="B20" s="426">
        <v>23.96</v>
      </c>
      <c r="C20" s="423"/>
      <c r="D20" s="423"/>
      <c r="E20" s="423"/>
    </row>
    <row r="21" spans="1:5" ht="16.5" customHeight="1" x14ac:dyDescent="0.3">
      <c r="A21" s="421" t="s">
        <v>9</v>
      </c>
      <c r="B21" s="427">
        <v>0.5</v>
      </c>
      <c r="C21" s="423"/>
      <c r="D21" s="423"/>
      <c r="E21" s="423"/>
    </row>
    <row r="22" spans="1:5" ht="15.75" customHeight="1" x14ac:dyDescent="0.25">
      <c r="A22" s="423"/>
      <c r="B22" s="423"/>
      <c r="C22" s="423"/>
      <c r="D22" s="423"/>
      <c r="E22" s="423"/>
    </row>
    <row r="23" spans="1:5" ht="16.5" customHeight="1" x14ac:dyDescent="0.3">
      <c r="A23" s="428" t="s">
        <v>12</v>
      </c>
      <c r="B23" s="429" t="s">
        <v>13</v>
      </c>
      <c r="C23" s="428" t="s">
        <v>14</v>
      </c>
      <c r="D23" s="428" t="s">
        <v>15</v>
      </c>
      <c r="E23" s="428" t="s">
        <v>16</v>
      </c>
    </row>
    <row r="24" spans="1:5" ht="16.5" customHeight="1" x14ac:dyDescent="0.3">
      <c r="A24" s="430">
        <v>1</v>
      </c>
      <c r="B24" s="431">
        <v>18797798</v>
      </c>
      <c r="C24" s="431">
        <v>6752.95</v>
      </c>
      <c r="D24" s="432">
        <v>1.1000000000000001</v>
      </c>
      <c r="E24" s="433">
        <v>3.93</v>
      </c>
    </row>
    <row r="25" spans="1:5" ht="16.5" customHeight="1" x14ac:dyDescent="0.3">
      <c r="A25" s="430">
        <v>2</v>
      </c>
      <c r="B25" s="431">
        <v>18847483</v>
      </c>
      <c r="C25" s="431">
        <v>7492.35</v>
      </c>
      <c r="D25" s="432">
        <v>1.1200000000000001</v>
      </c>
      <c r="E25" s="432">
        <v>3.93</v>
      </c>
    </row>
    <row r="26" spans="1:5" ht="16.5" customHeight="1" x14ac:dyDescent="0.3">
      <c r="A26" s="430">
        <v>3</v>
      </c>
      <c r="B26" s="431">
        <v>18870478</v>
      </c>
      <c r="C26" s="431">
        <v>7165.69</v>
      </c>
      <c r="D26" s="432">
        <v>1.1100000000000001</v>
      </c>
      <c r="E26" s="432">
        <v>3.93</v>
      </c>
    </row>
    <row r="27" spans="1:5" ht="16.5" customHeight="1" x14ac:dyDescent="0.3">
      <c r="A27" s="430">
        <v>4</v>
      </c>
      <c r="B27" s="431">
        <v>18731309</v>
      </c>
      <c r="C27" s="431">
        <v>7168.71</v>
      </c>
      <c r="D27" s="432">
        <v>1.1000000000000001</v>
      </c>
      <c r="E27" s="432">
        <v>3.93</v>
      </c>
    </row>
    <row r="28" spans="1:5" ht="16.5" customHeight="1" x14ac:dyDescent="0.3">
      <c r="A28" s="430">
        <v>5</v>
      </c>
      <c r="B28" s="431">
        <v>18877543</v>
      </c>
      <c r="C28" s="431">
        <v>7384.84</v>
      </c>
      <c r="D28" s="432">
        <v>1.1299999999999999</v>
      </c>
      <c r="E28" s="432">
        <v>3.92</v>
      </c>
    </row>
    <row r="29" spans="1:5" ht="16.5" customHeight="1" x14ac:dyDescent="0.3">
      <c r="A29" s="430">
        <v>6</v>
      </c>
      <c r="B29" s="434">
        <v>18854279</v>
      </c>
      <c r="C29" s="434">
        <v>7408.73</v>
      </c>
      <c r="D29" s="435">
        <v>1.1100000000000001</v>
      </c>
      <c r="E29" s="435">
        <v>3.92</v>
      </c>
    </row>
    <row r="30" spans="1:5" ht="16.5" customHeight="1" x14ac:dyDescent="0.3">
      <c r="A30" s="436" t="s">
        <v>17</v>
      </c>
      <c r="B30" s="437">
        <f>AVERAGE(B24:B29)</f>
        <v>18829815</v>
      </c>
      <c r="C30" s="438">
        <f>AVERAGE(C24:C29)</f>
        <v>7228.8783333333313</v>
      </c>
      <c r="D30" s="439">
        <f>AVERAGE(D24:D29)</f>
        <v>1.1116666666666666</v>
      </c>
      <c r="E30" s="439">
        <f>AVERAGE(E24:E29)</f>
        <v>3.9266666666666672</v>
      </c>
    </row>
    <row r="31" spans="1:5" ht="16.5" customHeight="1" x14ac:dyDescent="0.3">
      <c r="A31" s="440" t="s">
        <v>18</v>
      </c>
      <c r="B31" s="441">
        <f>(STDEV(B24:B29)/B30)</f>
        <v>2.9636145743629897E-3</v>
      </c>
      <c r="C31" s="442"/>
      <c r="D31" s="442"/>
      <c r="E31" s="443"/>
    </row>
    <row r="32" spans="1:5" s="417" customFormat="1" ht="16.5" customHeight="1" x14ac:dyDescent="0.3">
      <c r="A32" s="444" t="s">
        <v>19</v>
      </c>
      <c r="B32" s="445">
        <f>COUNT(B24:B29)</f>
        <v>6</v>
      </c>
      <c r="C32" s="446"/>
      <c r="D32" s="447"/>
      <c r="E32" s="448"/>
    </row>
    <row r="33" spans="1:5" s="417" customFormat="1" ht="15.75" customHeight="1" x14ac:dyDescent="0.25">
      <c r="A33" s="423"/>
      <c r="B33" s="423"/>
      <c r="C33" s="423"/>
      <c r="D33" s="423"/>
      <c r="E33" s="423"/>
    </row>
    <row r="34" spans="1:5" s="417" customFormat="1" ht="16.5" customHeight="1" x14ac:dyDescent="0.3">
      <c r="A34" s="424" t="s">
        <v>20</v>
      </c>
      <c r="B34" s="449" t="s">
        <v>21</v>
      </c>
      <c r="C34" s="450"/>
      <c r="D34" s="450"/>
      <c r="E34" s="450"/>
    </row>
    <row r="35" spans="1:5" ht="16.5" customHeight="1" x14ac:dyDescent="0.3">
      <c r="A35" s="424"/>
      <c r="B35" s="449" t="s">
        <v>22</v>
      </c>
      <c r="C35" s="450"/>
      <c r="D35" s="450"/>
      <c r="E35" s="450"/>
    </row>
    <row r="36" spans="1:5" ht="16.5" customHeight="1" x14ac:dyDescent="0.3">
      <c r="A36" s="424"/>
      <c r="B36" s="449" t="s">
        <v>23</v>
      </c>
      <c r="C36" s="450"/>
      <c r="D36" s="450"/>
      <c r="E36" s="450"/>
    </row>
    <row r="37" spans="1:5" ht="15.75" customHeight="1" x14ac:dyDescent="0.3">
      <c r="A37" s="423"/>
      <c r="B37" s="451" t="s">
        <v>127</v>
      </c>
      <c r="C37" s="423"/>
      <c r="D37" s="423"/>
      <c r="E37" s="423"/>
    </row>
    <row r="38" spans="1:5" ht="16.5" customHeight="1" x14ac:dyDescent="0.3">
      <c r="A38" s="419" t="s">
        <v>1</v>
      </c>
      <c r="B38" s="420" t="s">
        <v>128</v>
      </c>
    </row>
    <row r="39" spans="1:5" ht="16.5" customHeight="1" x14ac:dyDescent="0.3">
      <c r="A39" s="424" t="s">
        <v>3</v>
      </c>
      <c r="B39" s="421" t="s">
        <v>124</v>
      </c>
      <c r="C39" s="423"/>
      <c r="D39" s="423"/>
      <c r="E39" s="423"/>
    </row>
    <row r="40" spans="1:5" ht="16.5" customHeight="1" x14ac:dyDescent="0.3">
      <c r="A40" s="424" t="s">
        <v>5</v>
      </c>
      <c r="B40" s="426">
        <v>96.4</v>
      </c>
      <c r="C40" s="423"/>
      <c r="D40" s="423"/>
      <c r="E40" s="423"/>
    </row>
    <row r="41" spans="1:5" ht="16.5" customHeight="1" x14ac:dyDescent="0.3">
      <c r="A41" s="421" t="s">
        <v>7</v>
      </c>
      <c r="B41" s="426">
        <v>23.1</v>
      </c>
      <c r="C41" s="423"/>
      <c r="D41" s="423"/>
      <c r="E41" s="423"/>
    </row>
    <row r="42" spans="1:5" ht="16.5" customHeight="1" x14ac:dyDescent="0.3">
      <c r="A42" s="421" t="s">
        <v>9</v>
      </c>
      <c r="B42" s="427">
        <v>0.125</v>
      </c>
      <c r="C42" s="423"/>
      <c r="D42" s="423"/>
      <c r="E42" s="423"/>
    </row>
    <row r="43" spans="1:5" ht="15.75" customHeight="1" x14ac:dyDescent="0.25">
      <c r="A43" s="423"/>
      <c r="B43" s="423"/>
      <c r="C43" s="423"/>
      <c r="D43" s="423"/>
      <c r="E43" s="423"/>
    </row>
    <row r="44" spans="1:5" ht="16.5" customHeight="1" x14ac:dyDescent="0.3">
      <c r="A44" s="428" t="s">
        <v>12</v>
      </c>
      <c r="B44" s="429" t="s">
        <v>13</v>
      </c>
      <c r="C44" s="428" t="s">
        <v>14</v>
      </c>
      <c r="D44" s="428" t="s">
        <v>15</v>
      </c>
      <c r="E44" s="428" t="s">
        <v>16</v>
      </c>
    </row>
    <row r="45" spans="1:5" ht="16.5" customHeight="1" x14ac:dyDescent="0.3">
      <c r="A45" s="430">
        <v>1</v>
      </c>
      <c r="B45" s="431">
        <v>54897024</v>
      </c>
      <c r="C45" s="431">
        <v>6315.21</v>
      </c>
      <c r="D45" s="432">
        <v>1.06</v>
      </c>
      <c r="E45" s="433">
        <v>5.74</v>
      </c>
    </row>
    <row r="46" spans="1:5" ht="16.5" customHeight="1" x14ac:dyDescent="0.3">
      <c r="A46" s="430">
        <v>2</v>
      </c>
      <c r="B46" s="431">
        <v>54649940</v>
      </c>
      <c r="C46" s="431">
        <v>5808.15</v>
      </c>
      <c r="D46" s="432">
        <v>1.04</v>
      </c>
      <c r="E46" s="432">
        <v>5.74</v>
      </c>
    </row>
    <row r="47" spans="1:5" ht="16.5" customHeight="1" x14ac:dyDescent="0.3">
      <c r="A47" s="430">
        <v>3</v>
      </c>
      <c r="B47" s="431">
        <v>54908859</v>
      </c>
      <c r="C47" s="431">
        <v>6114.82</v>
      </c>
      <c r="D47" s="432">
        <v>1.04</v>
      </c>
      <c r="E47" s="432">
        <v>5.74</v>
      </c>
    </row>
    <row r="48" spans="1:5" ht="16.5" customHeight="1" x14ac:dyDescent="0.3">
      <c r="A48" s="430">
        <v>4</v>
      </c>
      <c r="B48" s="431">
        <v>54491641</v>
      </c>
      <c r="C48" s="431">
        <v>6120.91</v>
      </c>
      <c r="D48" s="432">
        <v>1.05</v>
      </c>
      <c r="E48" s="432">
        <v>5.74</v>
      </c>
    </row>
    <row r="49" spans="1:7" ht="16.5" customHeight="1" x14ac:dyDescent="0.3">
      <c r="A49" s="430">
        <v>5</v>
      </c>
      <c r="B49" s="431">
        <v>54824952</v>
      </c>
      <c r="C49" s="431">
        <v>6242.11</v>
      </c>
      <c r="D49" s="432">
        <v>1.1299999999999999</v>
      </c>
      <c r="E49" s="432">
        <v>5.73</v>
      </c>
    </row>
    <row r="50" spans="1:7" ht="16.5" customHeight="1" x14ac:dyDescent="0.3">
      <c r="A50" s="430">
        <v>6</v>
      </c>
      <c r="B50" s="434">
        <v>54869338</v>
      </c>
      <c r="C50" s="434">
        <v>6258.24</v>
      </c>
      <c r="D50" s="435">
        <v>1.05</v>
      </c>
      <c r="E50" s="435">
        <v>5.73</v>
      </c>
    </row>
    <row r="51" spans="1:7" ht="16.5" customHeight="1" x14ac:dyDescent="0.3">
      <c r="A51" s="436" t="s">
        <v>17</v>
      </c>
      <c r="B51" s="437">
        <f>AVERAGE(B45:B50)</f>
        <v>54773625.666666664</v>
      </c>
      <c r="C51" s="438">
        <f>AVERAGE(C45:C50)</f>
        <v>6143.2400000000007</v>
      </c>
      <c r="D51" s="439">
        <f>AVERAGE(D45:D50)</f>
        <v>1.0616666666666668</v>
      </c>
      <c r="E51" s="439">
        <f>AVERAGE(E45:E50)</f>
        <v>5.7366666666666672</v>
      </c>
    </row>
    <row r="52" spans="1:7" ht="16.5" customHeight="1" x14ac:dyDescent="0.3">
      <c r="A52" s="440" t="s">
        <v>18</v>
      </c>
      <c r="B52" s="441">
        <f>(STDEV(B45:B50)/B51)</f>
        <v>3.0563260480438877E-3</v>
      </c>
      <c r="C52" s="442"/>
      <c r="D52" s="442"/>
      <c r="E52" s="443"/>
    </row>
    <row r="53" spans="1:7" s="417" customFormat="1" ht="16.5" customHeight="1" x14ac:dyDescent="0.3">
      <c r="A53" s="444" t="s">
        <v>19</v>
      </c>
      <c r="B53" s="445">
        <f>COUNT(B45:B50)</f>
        <v>6</v>
      </c>
      <c r="C53" s="446"/>
      <c r="D53" s="447"/>
      <c r="E53" s="448"/>
    </row>
    <row r="54" spans="1:7" s="417" customFormat="1" ht="15.75" customHeight="1" x14ac:dyDescent="0.25">
      <c r="A54" s="423"/>
      <c r="B54" s="423"/>
      <c r="C54" s="423"/>
      <c r="D54" s="423"/>
      <c r="E54" s="423"/>
    </row>
    <row r="55" spans="1:7" s="417" customFormat="1" ht="16.5" customHeight="1" x14ac:dyDescent="0.3">
      <c r="A55" s="424" t="s">
        <v>20</v>
      </c>
      <c r="B55" s="449" t="s">
        <v>21</v>
      </c>
      <c r="C55" s="450"/>
      <c r="D55" s="450"/>
      <c r="E55" s="450"/>
    </row>
    <row r="56" spans="1:7" ht="16.5" customHeight="1" x14ac:dyDescent="0.3">
      <c r="A56" s="424"/>
      <c r="B56" s="449" t="s">
        <v>22</v>
      </c>
      <c r="C56" s="450"/>
      <c r="D56" s="450"/>
      <c r="E56" s="450"/>
    </row>
    <row r="57" spans="1:7" ht="16.5" customHeight="1" x14ac:dyDescent="0.3">
      <c r="A57" s="424"/>
      <c r="B57" s="449" t="s">
        <v>23</v>
      </c>
      <c r="C57" s="450"/>
      <c r="D57" s="450"/>
      <c r="E57" s="450"/>
    </row>
    <row r="58" spans="1:7" ht="14.25" customHeight="1" thickBot="1" x14ac:dyDescent="0.3">
      <c r="A58" s="452"/>
      <c r="B58" s="453"/>
      <c r="D58" s="454"/>
      <c r="F58" s="455"/>
      <c r="G58" s="455"/>
    </row>
    <row r="59" spans="1:7" ht="15" customHeight="1" x14ac:dyDescent="0.3">
      <c r="B59" s="465" t="s">
        <v>25</v>
      </c>
      <c r="C59" s="465"/>
      <c r="E59" s="456" t="s">
        <v>26</v>
      </c>
      <c r="F59" s="457"/>
      <c r="G59" s="456" t="s">
        <v>27</v>
      </c>
    </row>
    <row r="60" spans="1:7" ht="15" customHeight="1" x14ac:dyDescent="0.3">
      <c r="A60" s="458" t="s">
        <v>28</v>
      </c>
      <c r="B60" s="459"/>
      <c r="C60" s="459"/>
      <c r="E60" s="459"/>
      <c r="G60" s="459"/>
    </row>
    <row r="61" spans="1:7" ht="15" customHeight="1" x14ac:dyDescent="0.3">
      <c r="A61" s="458" t="s">
        <v>29</v>
      </c>
      <c r="B61" s="460"/>
      <c r="C61" s="460"/>
      <c r="E61" s="460"/>
      <c r="G61" s="46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E54" sqref="E54"/>
    </sheetView>
  </sheetViews>
  <sheetFormatPr defaultRowHeight="13.5" x14ac:dyDescent="0.25"/>
  <cols>
    <col min="1" max="1" width="27.5703125" style="417" customWidth="1"/>
    <col min="2" max="2" width="20.42578125" style="417" customWidth="1"/>
    <col min="3" max="3" width="31.85546875" style="417" customWidth="1"/>
    <col min="4" max="4" width="25.85546875" style="417" customWidth="1"/>
    <col min="5" max="5" width="25.7109375" style="417" customWidth="1"/>
    <col min="6" max="6" width="23.140625" style="417" customWidth="1"/>
    <col min="7" max="7" width="28.42578125" style="417" customWidth="1"/>
    <col min="8" max="8" width="21.5703125" style="417" customWidth="1"/>
    <col min="9" max="9" width="9.140625" style="417" customWidth="1"/>
    <col min="10" max="16384" width="9.140625" style="455"/>
  </cols>
  <sheetData>
    <row r="14" spans="1:6" ht="15" customHeight="1" x14ac:dyDescent="0.3">
      <c r="A14" s="416"/>
      <c r="C14" s="418"/>
      <c r="F14" s="418"/>
    </row>
    <row r="15" spans="1:6" ht="18.75" customHeight="1" x14ac:dyDescent="0.3">
      <c r="A15" s="464" t="s">
        <v>0</v>
      </c>
      <c r="B15" s="464"/>
      <c r="C15" s="464"/>
      <c r="D15" s="464"/>
      <c r="E15" s="464"/>
    </row>
    <row r="16" spans="1:6" ht="16.5" customHeight="1" x14ac:dyDescent="0.3">
      <c r="A16" s="419" t="s">
        <v>1</v>
      </c>
      <c r="B16" s="420" t="s">
        <v>129</v>
      </c>
    </row>
    <row r="17" spans="1:5" ht="16.5" customHeight="1" x14ac:dyDescent="0.3">
      <c r="A17" s="421" t="s">
        <v>2</v>
      </c>
      <c r="B17" s="421" t="s">
        <v>4</v>
      </c>
      <c r="D17" s="422"/>
      <c r="E17" s="423"/>
    </row>
    <row r="18" spans="1:5" ht="16.5" customHeight="1" x14ac:dyDescent="0.3">
      <c r="A18" s="424" t="s">
        <v>3</v>
      </c>
      <c r="B18" s="425" t="s">
        <v>124</v>
      </c>
      <c r="C18" s="423"/>
      <c r="D18" s="423"/>
      <c r="E18" s="423"/>
    </row>
    <row r="19" spans="1:5" ht="16.5" customHeight="1" x14ac:dyDescent="0.3">
      <c r="A19" s="424" t="s">
        <v>5</v>
      </c>
      <c r="B19" s="426">
        <v>86.6</v>
      </c>
      <c r="C19" s="423"/>
      <c r="D19" s="423"/>
      <c r="E19" s="423"/>
    </row>
    <row r="20" spans="1:5" ht="16.5" customHeight="1" x14ac:dyDescent="0.3">
      <c r="A20" s="421" t="s">
        <v>7</v>
      </c>
      <c r="B20" s="426">
        <v>19.95</v>
      </c>
      <c r="C20" s="423"/>
      <c r="D20" s="423"/>
      <c r="E20" s="423"/>
    </row>
    <row r="21" spans="1:5" ht="16.5" customHeight="1" x14ac:dyDescent="0.3">
      <c r="A21" s="421" t="s">
        <v>9</v>
      </c>
      <c r="B21" s="427">
        <v>0.5</v>
      </c>
      <c r="C21" s="423"/>
      <c r="D21" s="423"/>
      <c r="E21" s="423"/>
    </row>
    <row r="22" spans="1:5" ht="15.75" customHeight="1" x14ac:dyDescent="0.25">
      <c r="A22" s="423"/>
      <c r="B22" s="423"/>
      <c r="C22" s="423"/>
      <c r="D22" s="423"/>
      <c r="E22" s="423"/>
    </row>
    <row r="23" spans="1:5" ht="16.5" customHeight="1" x14ac:dyDescent="0.3">
      <c r="A23" s="428" t="s">
        <v>12</v>
      </c>
      <c r="B23" s="429" t="s">
        <v>13</v>
      </c>
      <c r="C23" s="428" t="s">
        <v>14</v>
      </c>
      <c r="D23" s="428" t="s">
        <v>15</v>
      </c>
      <c r="E23" s="428" t="s">
        <v>16</v>
      </c>
    </row>
    <row r="24" spans="1:5" ht="16.5" customHeight="1" x14ac:dyDescent="0.3">
      <c r="A24" s="430">
        <v>1</v>
      </c>
      <c r="B24" s="431">
        <v>106165630</v>
      </c>
      <c r="C24" s="431">
        <v>8245.5400000000009</v>
      </c>
      <c r="D24" s="432">
        <v>1.01</v>
      </c>
      <c r="E24" s="433">
        <v>5.67</v>
      </c>
    </row>
    <row r="25" spans="1:5" ht="16.5" customHeight="1" x14ac:dyDescent="0.3">
      <c r="A25" s="430">
        <v>2</v>
      </c>
      <c r="B25" s="431">
        <v>106541833</v>
      </c>
      <c r="C25" s="431">
        <v>8171.05</v>
      </c>
      <c r="D25" s="432">
        <v>1.03</v>
      </c>
      <c r="E25" s="432">
        <v>5.67</v>
      </c>
    </row>
    <row r="26" spans="1:5" ht="16.5" customHeight="1" x14ac:dyDescent="0.3">
      <c r="A26" s="430">
        <v>3</v>
      </c>
      <c r="B26" s="431">
        <v>106309249</v>
      </c>
      <c r="C26" s="431">
        <v>8151.65</v>
      </c>
      <c r="D26" s="432">
        <v>1.04</v>
      </c>
      <c r="E26" s="432">
        <v>5.67</v>
      </c>
    </row>
    <row r="27" spans="1:5" ht="16.5" customHeight="1" x14ac:dyDescent="0.3">
      <c r="A27" s="430">
        <v>4</v>
      </c>
      <c r="B27" s="431">
        <v>106516519</v>
      </c>
      <c r="C27" s="431">
        <v>8189.31</v>
      </c>
      <c r="D27" s="432">
        <v>1.02</v>
      </c>
      <c r="E27" s="432">
        <v>5.68</v>
      </c>
    </row>
    <row r="28" spans="1:5" ht="16.5" customHeight="1" x14ac:dyDescent="0.3">
      <c r="A28" s="430">
        <v>5</v>
      </c>
      <c r="B28" s="431">
        <v>107022975</v>
      </c>
      <c r="C28" s="431">
        <v>8198.93</v>
      </c>
      <c r="D28" s="432">
        <v>1.02</v>
      </c>
      <c r="E28" s="432">
        <v>5.68</v>
      </c>
    </row>
    <row r="29" spans="1:5" ht="16.5" customHeight="1" x14ac:dyDescent="0.3">
      <c r="A29" s="430">
        <v>6</v>
      </c>
      <c r="B29" s="434">
        <v>106255165</v>
      </c>
      <c r="C29" s="462">
        <v>8237.9599999999991</v>
      </c>
      <c r="D29" s="435">
        <v>1.01</v>
      </c>
      <c r="E29" s="435">
        <v>5.69</v>
      </c>
    </row>
    <row r="30" spans="1:5" ht="16.5" customHeight="1" x14ac:dyDescent="0.3">
      <c r="A30" s="436" t="s">
        <v>17</v>
      </c>
      <c r="B30" s="437">
        <f>AVERAGE(B24:B29)</f>
        <v>106468561.83333333</v>
      </c>
      <c r="C30" s="438">
        <f>AVERAGE(C24:C29)</f>
        <v>8199.0733333333319</v>
      </c>
      <c r="D30" s="439">
        <f>AVERAGE(D24:D29)</f>
        <v>1.0216666666666665</v>
      </c>
      <c r="E30" s="439">
        <f>AVERAGE(E24:E29)</f>
        <v>5.6766666666666659</v>
      </c>
    </row>
    <row r="31" spans="1:5" ht="16.5" customHeight="1" x14ac:dyDescent="0.3">
      <c r="A31" s="440" t="s">
        <v>18</v>
      </c>
      <c r="B31" s="441">
        <f>(STDEV(B24:B29)/B30)</f>
        <v>2.9032498419027078E-3</v>
      </c>
      <c r="C31" s="442"/>
      <c r="D31" s="442"/>
      <c r="E31" s="443"/>
    </row>
    <row r="32" spans="1:5" s="417" customFormat="1" ht="16.5" customHeight="1" x14ac:dyDescent="0.3">
      <c r="A32" s="444" t="s">
        <v>19</v>
      </c>
      <c r="B32" s="445">
        <f>COUNT(B24:B29)</f>
        <v>6</v>
      </c>
      <c r="C32" s="446"/>
      <c r="D32" s="447"/>
      <c r="E32" s="448"/>
    </row>
    <row r="33" spans="1:5" s="417" customFormat="1" ht="15.75" customHeight="1" x14ac:dyDescent="0.25">
      <c r="A33" s="423"/>
      <c r="B33" s="423"/>
      <c r="C33" s="423"/>
      <c r="D33" s="423"/>
      <c r="E33" s="423"/>
    </row>
    <row r="34" spans="1:5" s="417" customFormat="1" ht="16.5" customHeight="1" x14ac:dyDescent="0.3">
      <c r="A34" s="424" t="s">
        <v>20</v>
      </c>
      <c r="B34" s="449" t="s">
        <v>21</v>
      </c>
      <c r="C34" s="450"/>
      <c r="D34" s="450"/>
      <c r="E34" s="450"/>
    </row>
    <row r="35" spans="1:5" ht="16.5" customHeight="1" x14ac:dyDescent="0.3">
      <c r="A35" s="424"/>
      <c r="B35" s="449" t="s">
        <v>22</v>
      </c>
      <c r="C35" s="450"/>
      <c r="D35" s="450"/>
      <c r="E35" s="450"/>
    </row>
    <row r="36" spans="1:5" ht="16.5" customHeight="1" x14ac:dyDescent="0.3">
      <c r="A36" s="424"/>
      <c r="B36" s="449" t="s">
        <v>23</v>
      </c>
      <c r="C36" s="450"/>
      <c r="D36" s="450"/>
      <c r="E36" s="450"/>
    </row>
    <row r="37" spans="1:5" ht="15.75" customHeight="1" x14ac:dyDescent="0.3">
      <c r="A37" s="423"/>
      <c r="B37" s="451"/>
      <c r="C37" s="423"/>
      <c r="D37" s="423"/>
      <c r="E37" s="423"/>
    </row>
    <row r="38" spans="1:5" ht="16.5" customHeight="1" x14ac:dyDescent="0.3">
      <c r="A38" s="419" t="s">
        <v>1</v>
      </c>
      <c r="B38" s="463" t="s">
        <v>24</v>
      </c>
    </row>
    <row r="39" spans="1:5" ht="16.5" customHeight="1" x14ac:dyDescent="0.3">
      <c r="A39" s="424" t="s">
        <v>3</v>
      </c>
      <c r="B39" s="421" t="s">
        <v>125</v>
      </c>
      <c r="C39" s="423"/>
      <c r="D39" s="423"/>
      <c r="E39" s="423"/>
    </row>
    <row r="40" spans="1:5" ht="16.5" customHeight="1" x14ac:dyDescent="0.3">
      <c r="A40" s="424" t="s">
        <v>5</v>
      </c>
      <c r="B40" s="426">
        <v>96.4</v>
      </c>
      <c r="C40" s="423"/>
      <c r="D40" s="423"/>
      <c r="E40" s="423"/>
    </row>
    <row r="41" spans="1:5" ht="16.5" customHeight="1" x14ac:dyDescent="0.3">
      <c r="A41" s="421" t="s">
        <v>7</v>
      </c>
      <c r="B41" s="426">
        <v>10.28</v>
      </c>
      <c r="C41" s="423"/>
      <c r="D41" s="423"/>
      <c r="E41" s="423"/>
    </row>
    <row r="42" spans="1:5" ht="16.5" customHeight="1" x14ac:dyDescent="0.3">
      <c r="A42" s="421" t="s">
        <v>9</v>
      </c>
      <c r="B42" s="427">
        <v>0.125</v>
      </c>
      <c r="C42" s="423"/>
      <c r="D42" s="423"/>
      <c r="E42" s="423"/>
    </row>
    <row r="43" spans="1:5" ht="15.75" customHeight="1" x14ac:dyDescent="0.25">
      <c r="A43" s="423"/>
      <c r="B43" s="423"/>
      <c r="C43" s="423"/>
      <c r="D43" s="423"/>
      <c r="E43" s="423"/>
    </row>
    <row r="44" spans="1:5" ht="16.5" customHeight="1" x14ac:dyDescent="0.3">
      <c r="A44" s="428" t="s">
        <v>12</v>
      </c>
      <c r="B44" s="429" t="s">
        <v>13</v>
      </c>
      <c r="C44" s="428" t="s">
        <v>14</v>
      </c>
      <c r="D44" s="428" t="s">
        <v>15</v>
      </c>
      <c r="E44" s="428" t="s">
        <v>16</v>
      </c>
    </row>
    <row r="45" spans="1:5" ht="16.5" customHeight="1" x14ac:dyDescent="0.3">
      <c r="A45" s="430">
        <v>1</v>
      </c>
      <c r="B45" s="431">
        <v>43420992</v>
      </c>
      <c r="C45" s="431">
        <v>9883.94</v>
      </c>
      <c r="D45" s="432">
        <v>1.1499999999999999</v>
      </c>
      <c r="E45" s="433">
        <v>4.1100000000000003</v>
      </c>
    </row>
    <row r="46" spans="1:5" ht="16.5" customHeight="1" x14ac:dyDescent="0.3">
      <c r="A46" s="430">
        <v>2</v>
      </c>
      <c r="B46" s="431">
        <v>43556072</v>
      </c>
      <c r="C46" s="431">
        <v>9893.2999999999993</v>
      </c>
      <c r="D46" s="432">
        <v>1.1399999999999999</v>
      </c>
      <c r="E46" s="432">
        <v>4.1100000000000003</v>
      </c>
    </row>
    <row r="47" spans="1:5" ht="16.5" customHeight="1" x14ac:dyDescent="0.3">
      <c r="A47" s="430">
        <v>3</v>
      </c>
      <c r="B47" s="431">
        <v>43484545</v>
      </c>
      <c r="C47" s="431">
        <v>9895.58</v>
      </c>
      <c r="D47" s="432">
        <v>1.17</v>
      </c>
      <c r="E47" s="432">
        <v>4.1100000000000003</v>
      </c>
    </row>
    <row r="48" spans="1:5" ht="16.5" customHeight="1" x14ac:dyDescent="0.3">
      <c r="A48" s="430">
        <v>4</v>
      </c>
      <c r="B48" s="431">
        <v>43541679</v>
      </c>
      <c r="C48" s="431">
        <v>9891.77</v>
      </c>
      <c r="D48" s="432">
        <v>1.1499999999999999</v>
      </c>
      <c r="E48" s="432">
        <v>4.12</v>
      </c>
    </row>
    <row r="49" spans="1:7" ht="16.5" customHeight="1" x14ac:dyDescent="0.3">
      <c r="A49" s="430">
        <v>5</v>
      </c>
      <c r="B49" s="431">
        <v>43699668</v>
      </c>
      <c r="C49" s="431">
        <v>9906.34</v>
      </c>
      <c r="D49" s="432">
        <v>1.1399999999999999</v>
      </c>
      <c r="E49" s="432">
        <v>4.12</v>
      </c>
    </row>
    <row r="50" spans="1:7" ht="16.5" customHeight="1" x14ac:dyDescent="0.3">
      <c r="A50" s="430">
        <v>6</v>
      </c>
      <c r="B50" s="434">
        <v>43387916</v>
      </c>
      <c r="C50" s="434">
        <v>9963.7800000000007</v>
      </c>
      <c r="D50" s="435">
        <v>1.1299999999999999</v>
      </c>
      <c r="E50" s="435">
        <v>4.13</v>
      </c>
    </row>
    <row r="51" spans="1:7" ht="16.5" customHeight="1" x14ac:dyDescent="0.3">
      <c r="A51" s="436" t="s">
        <v>17</v>
      </c>
      <c r="B51" s="437">
        <f>AVERAGE(B45:B50)</f>
        <v>43515145.333333336</v>
      </c>
      <c r="C51" s="438">
        <f>AVERAGE(C45:C50)</f>
        <v>9905.784999999998</v>
      </c>
      <c r="D51" s="439">
        <f>AVERAGE(D45:D50)</f>
        <v>1.1466666666666665</v>
      </c>
      <c r="E51" s="439">
        <f>AVERAGE(E45:E50)</f>
        <v>4.1166666666666671</v>
      </c>
    </row>
    <row r="52" spans="1:7" ht="16.5" customHeight="1" x14ac:dyDescent="0.3">
      <c r="A52" s="440" t="s">
        <v>18</v>
      </c>
      <c r="B52" s="441">
        <f>(STDEV(B45:B50)/B51)</f>
        <v>2.5675749966234114E-3</v>
      </c>
      <c r="C52" s="442"/>
      <c r="D52" s="442"/>
      <c r="E52" s="443"/>
    </row>
    <row r="53" spans="1:7" s="417" customFormat="1" ht="16.5" customHeight="1" x14ac:dyDescent="0.3">
      <c r="A53" s="444" t="s">
        <v>19</v>
      </c>
      <c r="B53" s="445">
        <f>COUNT(B45:B50)</f>
        <v>6</v>
      </c>
      <c r="C53" s="446"/>
      <c r="D53" s="447"/>
      <c r="E53" s="448"/>
    </row>
    <row r="54" spans="1:7" s="417" customFormat="1" ht="15.75" customHeight="1" x14ac:dyDescent="0.25">
      <c r="A54" s="423"/>
      <c r="B54" s="423"/>
      <c r="C54" s="423"/>
      <c r="D54" s="423"/>
      <c r="E54" s="423"/>
    </row>
    <row r="55" spans="1:7" s="417" customFormat="1" ht="16.5" customHeight="1" x14ac:dyDescent="0.3">
      <c r="A55" s="424" t="s">
        <v>20</v>
      </c>
      <c r="B55" s="449" t="s">
        <v>21</v>
      </c>
      <c r="C55" s="450"/>
      <c r="D55" s="450"/>
      <c r="E55" s="450"/>
    </row>
    <row r="56" spans="1:7" ht="16.5" customHeight="1" x14ac:dyDescent="0.3">
      <c r="A56" s="424"/>
      <c r="B56" s="449" t="s">
        <v>22</v>
      </c>
      <c r="C56" s="450"/>
      <c r="D56" s="450"/>
      <c r="E56" s="450"/>
    </row>
    <row r="57" spans="1:7" ht="16.5" customHeight="1" x14ac:dyDescent="0.3">
      <c r="A57" s="424"/>
      <c r="B57" s="449" t="s">
        <v>23</v>
      </c>
      <c r="C57" s="450"/>
      <c r="D57" s="450"/>
      <c r="E57" s="450"/>
    </row>
    <row r="58" spans="1:7" ht="14.25" customHeight="1" thickBot="1" x14ac:dyDescent="0.3">
      <c r="A58" s="452"/>
      <c r="B58" s="453"/>
      <c r="D58" s="454"/>
      <c r="F58" s="455"/>
      <c r="G58" s="455"/>
    </row>
    <row r="59" spans="1:7" ht="15" customHeight="1" x14ac:dyDescent="0.3">
      <c r="B59" s="465" t="s">
        <v>25</v>
      </c>
      <c r="C59" s="465"/>
      <c r="E59" s="456" t="s">
        <v>26</v>
      </c>
      <c r="F59" s="457"/>
      <c r="G59" s="456" t="s">
        <v>27</v>
      </c>
    </row>
    <row r="60" spans="1:7" ht="15" customHeight="1" x14ac:dyDescent="0.3">
      <c r="A60" s="458" t="s">
        <v>28</v>
      </c>
      <c r="B60" s="459"/>
      <c r="C60" s="459"/>
      <c r="E60" s="459"/>
      <c r="G60" s="459"/>
    </row>
    <row r="61" spans="1:7" ht="15" customHeight="1" x14ac:dyDescent="0.3">
      <c r="A61" s="458" t="s">
        <v>29</v>
      </c>
      <c r="B61" s="460"/>
      <c r="C61" s="460"/>
      <c r="E61" s="460"/>
      <c r="G61" s="46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0" workbookViewId="0">
      <selection activeCell="A12" sqref="A12:Q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9" t="s">
        <v>30</v>
      </c>
      <c r="B11" s="470"/>
      <c r="C11" s="470"/>
      <c r="D11" s="470"/>
      <c r="E11" s="470"/>
      <c r="F11" s="471"/>
      <c r="G11" s="43"/>
    </row>
    <row r="12" spans="1:7" ht="16.5" customHeight="1" x14ac:dyDescent="0.3">
      <c r="A12" s="468" t="s">
        <v>31</v>
      </c>
      <c r="B12" s="468"/>
      <c r="C12" s="468"/>
      <c r="D12" s="468"/>
      <c r="E12" s="468"/>
      <c r="F12" s="468"/>
      <c r="G12" s="42"/>
    </row>
    <row r="14" spans="1:7" ht="16.5" customHeight="1" x14ac:dyDescent="0.3">
      <c r="A14" s="473" t="s">
        <v>32</v>
      </c>
      <c r="B14" s="473"/>
      <c r="C14" s="12" t="s">
        <v>4</v>
      </c>
    </row>
    <row r="15" spans="1:7" ht="16.5" customHeight="1" x14ac:dyDescent="0.3">
      <c r="A15" s="473" t="s">
        <v>33</v>
      </c>
      <c r="B15" s="473"/>
      <c r="C15" s="12" t="s">
        <v>6</v>
      </c>
    </row>
    <row r="16" spans="1:7" ht="16.5" customHeight="1" x14ac:dyDescent="0.3">
      <c r="A16" s="473" t="s">
        <v>34</v>
      </c>
      <c r="B16" s="473"/>
      <c r="C16" s="12" t="s">
        <v>8</v>
      </c>
    </row>
    <row r="17" spans="1:5" ht="16.5" customHeight="1" x14ac:dyDescent="0.3">
      <c r="A17" s="473" t="s">
        <v>35</v>
      </c>
      <c r="B17" s="473"/>
      <c r="C17" s="12" t="s">
        <v>10</v>
      </c>
    </row>
    <row r="18" spans="1:5" ht="16.5" customHeight="1" x14ac:dyDescent="0.3">
      <c r="A18" s="473" t="s">
        <v>36</v>
      </c>
      <c r="B18" s="473"/>
      <c r="C18" s="49" t="s">
        <v>11</v>
      </c>
    </row>
    <row r="19" spans="1:5" ht="16.5" customHeight="1" x14ac:dyDescent="0.3">
      <c r="A19" s="473" t="s">
        <v>37</v>
      </c>
      <c r="B19" s="473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68" t="s">
        <v>1</v>
      </c>
      <c r="B21" s="468"/>
      <c r="C21" s="11" t="s">
        <v>38</v>
      </c>
      <c r="D21" s="18"/>
    </row>
    <row r="22" spans="1:5" ht="15.75" customHeight="1" x14ac:dyDescent="0.3">
      <c r="A22" s="472"/>
      <c r="B22" s="472"/>
      <c r="C22" s="9"/>
      <c r="D22" s="472"/>
      <c r="E22" s="472"/>
    </row>
    <row r="23" spans="1:5" ht="33.75" customHeight="1" x14ac:dyDescent="0.3">
      <c r="C23" s="38" t="s">
        <v>39</v>
      </c>
      <c r="D23" s="37" t="s">
        <v>40</v>
      </c>
      <c r="E23" s="4"/>
    </row>
    <row r="24" spans="1:5" ht="15.75" customHeight="1" x14ac:dyDescent="0.3">
      <c r="C24" s="47">
        <v>1056.75</v>
      </c>
      <c r="D24" s="39">
        <f t="shared" ref="D24:D43" si="0">(C24-$C$46)/$C$46</f>
        <v>2.3149266513077266E-2</v>
      </c>
      <c r="E24" s="5"/>
    </row>
    <row r="25" spans="1:5" ht="15.75" customHeight="1" x14ac:dyDescent="0.3">
      <c r="C25" s="47">
        <v>1012.97</v>
      </c>
      <c r="D25" s="40">
        <f t="shared" si="0"/>
        <v>-1.923869174378812E-2</v>
      </c>
      <c r="E25" s="5"/>
    </row>
    <row r="26" spans="1:5" ht="15.75" customHeight="1" x14ac:dyDescent="0.3">
      <c r="C26" s="47">
        <v>1050.55</v>
      </c>
      <c r="D26" s="40">
        <f t="shared" si="0"/>
        <v>1.7146403534718028E-2</v>
      </c>
      <c r="E26" s="5"/>
    </row>
    <row r="27" spans="1:5" ht="15.75" customHeight="1" x14ac:dyDescent="0.3">
      <c r="C27" s="47">
        <v>1031.96</v>
      </c>
      <c r="D27" s="40">
        <f t="shared" si="0"/>
        <v>-8.5250336329760847E-4</v>
      </c>
      <c r="E27" s="5"/>
    </row>
    <row r="28" spans="1:5" ht="15.75" customHeight="1" x14ac:dyDescent="0.3">
      <c r="C28" s="47">
        <v>1044.0899999999999</v>
      </c>
      <c r="D28" s="40">
        <f t="shared" si="0"/>
        <v>1.0891807592750186E-2</v>
      </c>
      <c r="E28" s="5"/>
    </row>
    <row r="29" spans="1:5" ht="15.75" customHeight="1" x14ac:dyDescent="0.3">
      <c r="C29" s="47">
        <v>1012.72</v>
      </c>
      <c r="D29" s="40">
        <f t="shared" si="0"/>
        <v>-1.9480742670334859E-2</v>
      </c>
      <c r="E29" s="5"/>
    </row>
    <row r="30" spans="1:5" ht="15.75" customHeight="1" x14ac:dyDescent="0.3">
      <c r="C30" s="47">
        <v>1004.39</v>
      </c>
      <c r="D30" s="40">
        <f t="shared" si="0"/>
        <v>-2.7545879542872333E-2</v>
      </c>
      <c r="E30" s="5"/>
    </row>
    <row r="31" spans="1:5" ht="15.75" customHeight="1" x14ac:dyDescent="0.3">
      <c r="C31" s="47">
        <v>1035.72</v>
      </c>
      <c r="D31" s="40">
        <f t="shared" si="0"/>
        <v>2.7879425719653781E-3</v>
      </c>
      <c r="E31" s="5"/>
    </row>
    <row r="32" spans="1:5" ht="15.75" customHeight="1" x14ac:dyDescent="0.3">
      <c r="C32" s="47">
        <v>1028.44</v>
      </c>
      <c r="D32" s="40">
        <f t="shared" si="0"/>
        <v>-4.2605804090757142E-3</v>
      </c>
      <c r="E32" s="5"/>
    </row>
    <row r="33" spans="1:7" ht="15.75" customHeight="1" x14ac:dyDescent="0.3">
      <c r="C33" s="47">
        <v>1039.4100000000001</v>
      </c>
      <c r="D33" s="40">
        <f t="shared" si="0"/>
        <v>6.3606142477953386E-3</v>
      </c>
      <c r="E33" s="5"/>
    </row>
    <row r="34" spans="1:7" ht="15.75" customHeight="1" x14ac:dyDescent="0.3">
      <c r="C34" s="47">
        <v>1048.8800000000001</v>
      </c>
      <c r="D34" s="40">
        <f t="shared" si="0"/>
        <v>1.5529503345385942E-2</v>
      </c>
      <c r="E34" s="5"/>
    </row>
    <row r="35" spans="1:7" ht="15.75" customHeight="1" x14ac:dyDescent="0.3">
      <c r="C35" s="47">
        <v>1030.3399999999999</v>
      </c>
      <c r="D35" s="40">
        <f t="shared" si="0"/>
        <v>-2.4209933673206094E-3</v>
      </c>
      <c r="E35" s="5"/>
    </row>
    <row r="36" spans="1:7" ht="15.75" customHeight="1" x14ac:dyDescent="0.3">
      <c r="C36" s="47">
        <v>1023.05</v>
      </c>
      <c r="D36" s="40">
        <f t="shared" si="0"/>
        <v>-9.4791983854235623E-3</v>
      </c>
      <c r="E36" s="5"/>
    </row>
    <row r="37" spans="1:7" ht="15.75" customHeight="1" x14ac:dyDescent="0.3">
      <c r="C37" s="47">
        <v>1016.07</v>
      </c>
      <c r="D37" s="40">
        <f t="shared" si="0"/>
        <v>-1.6237260254608501E-2</v>
      </c>
      <c r="E37" s="5"/>
    </row>
    <row r="38" spans="1:7" ht="15.75" customHeight="1" x14ac:dyDescent="0.3">
      <c r="C38" s="47">
        <v>1044.28</v>
      </c>
      <c r="D38" s="40">
        <f t="shared" si="0"/>
        <v>1.1075766296925763E-2</v>
      </c>
      <c r="E38" s="5"/>
    </row>
    <row r="39" spans="1:7" ht="15.75" customHeight="1" x14ac:dyDescent="0.3">
      <c r="C39" s="47">
        <v>1040.6600000000001</v>
      </c>
      <c r="D39" s="40">
        <f t="shared" si="0"/>
        <v>7.5708688805290478E-3</v>
      </c>
      <c r="E39" s="5"/>
    </row>
    <row r="40" spans="1:7" ht="15.75" customHeight="1" x14ac:dyDescent="0.3">
      <c r="C40" s="47">
        <v>1033.3</v>
      </c>
      <c r="D40" s="40">
        <f t="shared" si="0"/>
        <v>4.4488960299284789E-4</v>
      </c>
      <c r="E40" s="5"/>
    </row>
    <row r="41" spans="1:7" ht="15.75" customHeight="1" x14ac:dyDescent="0.3">
      <c r="C41" s="47">
        <v>1044.8900000000001</v>
      </c>
      <c r="D41" s="40">
        <f t="shared" si="0"/>
        <v>1.1666370557699935E-2</v>
      </c>
      <c r="E41" s="5"/>
    </row>
    <row r="42" spans="1:7" ht="15.75" customHeight="1" x14ac:dyDescent="0.3">
      <c r="C42" s="47">
        <v>1026.24</v>
      </c>
      <c r="D42" s="40">
        <f t="shared" si="0"/>
        <v>-6.3906285626870859E-3</v>
      </c>
      <c r="E42" s="5"/>
    </row>
    <row r="43" spans="1:7" ht="16.5" customHeight="1" x14ac:dyDescent="0.3">
      <c r="C43" s="48">
        <v>1032.0999999999999</v>
      </c>
      <c r="D43" s="41">
        <f t="shared" si="0"/>
        <v>-7.1695484443155637E-4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41</v>
      </c>
      <c r="C45" s="35">
        <f>SUM(C24:C44)</f>
        <v>20656.810000000001</v>
      </c>
      <c r="D45" s="30"/>
      <c r="E45" s="6"/>
    </row>
    <row r="46" spans="1:7" ht="17.25" customHeight="1" x14ac:dyDescent="0.3">
      <c r="B46" s="34" t="s">
        <v>42</v>
      </c>
      <c r="C46" s="36">
        <f>AVERAGE(C24:C44)</f>
        <v>1032.8405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42</v>
      </c>
      <c r="C48" s="37" t="s">
        <v>43</v>
      </c>
      <c r="D48" s="32"/>
      <c r="G48" s="10"/>
    </row>
    <row r="49" spans="1:6" ht="17.25" customHeight="1" x14ac:dyDescent="0.3">
      <c r="B49" s="466">
        <f>C46</f>
        <v>1032.8405</v>
      </c>
      <c r="C49" s="45">
        <f>-IF(C46&lt;=80,10%,IF(C46&lt;250,7.5%,5%))</f>
        <v>-0.05</v>
      </c>
      <c r="D49" s="33">
        <f>IF(C46&lt;=80,C46*0.9,IF(C46&lt;250,C46*0.925,C46*0.95))</f>
        <v>981.19847499999992</v>
      </c>
    </row>
    <row r="50" spans="1:6" ht="17.25" customHeight="1" x14ac:dyDescent="0.3">
      <c r="B50" s="467"/>
      <c r="C50" s="46">
        <f>IF(C46&lt;=80, 10%, IF(C46&lt;250, 7.5%, 5%))</f>
        <v>0.05</v>
      </c>
      <c r="D50" s="33">
        <f>IF(C46&lt;=80, C46*1.1, IF(C46&lt;250, C46*1.075, C46*1.05))</f>
        <v>1084.4825250000001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25</v>
      </c>
      <c r="C52" s="19"/>
      <c r="D52" s="20" t="s">
        <v>26</v>
      </c>
      <c r="E52" s="21"/>
      <c r="F52" s="20" t="s">
        <v>27</v>
      </c>
    </row>
    <row r="53" spans="1:6" ht="34.5" customHeight="1" x14ac:dyDescent="0.3">
      <c r="A53" s="22" t="s">
        <v>28</v>
      </c>
      <c r="B53" s="23"/>
      <c r="C53" s="24"/>
      <c r="D53" s="23"/>
      <c r="E53" s="13"/>
      <c r="F53" s="25"/>
    </row>
    <row r="54" spans="1:6" ht="34.5" customHeight="1" x14ac:dyDescent="0.3">
      <c r="A54" s="22" t="s">
        <v>29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51" orientation="landscape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84" zoomScale="50" zoomScaleNormal="40" zoomScalePageLayoutView="50" workbookViewId="0">
      <selection activeCell="F108" sqref="F108:F11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4" t="s">
        <v>44</v>
      </c>
      <c r="B1" s="474"/>
      <c r="C1" s="474"/>
      <c r="D1" s="474"/>
      <c r="E1" s="474"/>
      <c r="F1" s="474"/>
      <c r="G1" s="474"/>
      <c r="H1" s="474"/>
      <c r="I1" s="474"/>
    </row>
    <row r="2" spans="1:9" ht="18.75" customHeight="1" x14ac:dyDescent="0.25">
      <c r="A2" s="474"/>
      <c r="B2" s="474"/>
      <c r="C2" s="474"/>
      <c r="D2" s="474"/>
      <c r="E2" s="474"/>
      <c r="F2" s="474"/>
      <c r="G2" s="474"/>
      <c r="H2" s="474"/>
      <c r="I2" s="474"/>
    </row>
    <row r="3" spans="1:9" ht="18.75" customHeight="1" x14ac:dyDescent="0.25">
      <c r="A3" s="474"/>
      <c r="B3" s="474"/>
      <c r="C3" s="474"/>
      <c r="D3" s="474"/>
      <c r="E3" s="474"/>
      <c r="F3" s="474"/>
      <c r="G3" s="474"/>
      <c r="H3" s="474"/>
      <c r="I3" s="474"/>
    </row>
    <row r="4" spans="1:9" ht="18.75" customHeight="1" x14ac:dyDescent="0.25">
      <c r="A4" s="474"/>
      <c r="B4" s="474"/>
      <c r="C4" s="474"/>
      <c r="D4" s="474"/>
      <c r="E4" s="474"/>
      <c r="F4" s="474"/>
      <c r="G4" s="474"/>
      <c r="H4" s="474"/>
      <c r="I4" s="474"/>
    </row>
    <row r="5" spans="1:9" ht="18.75" customHeight="1" x14ac:dyDescent="0.25">
      <c r="A5" s="474"/>
      <c r="B5" s="474"/>
      <c r="C5" s="474"/>
      <c r="D5" s="474"/>
      <c r="E5" s="474"/>
      <c r="F5" s="474"/>
      <c r="G5" s="474"/>
      <c r="H5" s="474"/>
      <c r="I5" s="474"/>
    </row>
    <row r="6" spans="1:9" ht="18.75" customHeight="1" x14ac:dyDescent="0.25">
      <c r="A6" s="474"/>
      <c r="B6" s="474"/>
      <c r="C6" s="474"/>
      <c r="D6" s="474"/>
      <c r="E6" s="474"/>
      <c r="F6" s="474"/>
      <c r="G6" s="474"/>
      <c r="H6" s="474"/>
      <c r="I6" s="474"/>
    </row>
    <row r="7" spans="1:9" ht="18.75" customHeight="1" x14ac:dyDescent="0.25">
      <c r="A7" s="474"/>
      <c r="B7" s="474"/>
      <c r="C7" s="474"/>
      <c r="D7" s="474"/>
      <c r="E7" s="474"/>
      <c r="F7" s="474"/>
      <c r="G7" s="474"/>
      <c r="H7" s="474"/>
      <c r="I7" s="474"/>
    </row>
    <row r="8" spans="1:9" x14ac:dyDescent="0.25">
      <c r="A8" s="475" t="s">
        <v>45</v>
      </c>
      <c r="B8" s="475"/>
      <c r="C8" s="475"/>
      <c r="D8" s="475"/>
      <c r="E8" s="475"/>
      <c r="F8" s="475"/>
      <c r="G8" s="475"/>
      <c r="H8" s="475"/>
      <c r="I8" s="475"/>
    </row>
    <row r="9" spans="1:9" x14ac:dyDescent="0.25">
      <c r="A9" s="475"/>
      <c r="B9" s="475"/>
      <c r="C9" s="475"/>
      <c r="D9" s="475"/>
      <c r="E9" s="475"/>
      <c r="F9" s="475"/>
      <c r="G9" s="475"/>
      <c r="H9" s="475"/>
      <c r="I9" s="475"/>
    </row>
    <row r="10" spans="1:9" x14ac:dyDescent="0.25">
      <c r="A10" s="475"/>
      <c r="B10" s="475"/>
      <c r="C10" s="475"/>
      <c r="D10" s="475"/>
      <c r="E10" s="475"/>
      <c r="F10" s="475"/>
      <c r="G10" s="475"/>
      <c r="H10" s="475"/>
      <c r="I10" s="475"/>
    </row>
    <row r="11" spans="1:9" x14ac:dyDescent="0.25">
      <c r="A11" s="475"/>
      <c r="B11" s="475"/>
      <c r="C11" s="475"/>
      <c r="D11" s="475"/>
      <c r="E11" s="475"/>
      <c r="F11" s="475"/>
      <c r="G11" s="475"/>
      <c r="H11" s="475"/>
      <c r="I11" s="475"/>
    </row>
    <row r="12" spans="1:9" x14ac:dyDescent="0.25">
      <c r="A12" s="475"/>
      <c r="B12" s="475"/>
      <c r="C12" s="475"/>
      <c r="D12" s="475"/>
      <c r="E12" s="475"/>
      <c r="F12" s="475"/>
      <c r="G12" s="475"/>
      <c r="H12" s="475"/>
      <c r="I12" s="475"/>
    </row>
    <row r="13" spans="1:9" x14ac:dyDescent="0.25">
      <c r="A13" s="475"/>
      <c r="B13" s="475"/>
      <c r="C13" s="475"/>
      <c r="D13" s="475"/>
      <c r="E13" s="475"/>
      <c r="F13" s="475"/>
      <c r="G13" s="475"/>
      <c r="H13" s="475"/>
      <c r="I13" s="475"/>
    </row>
    <row r="14" spans="1:9" x14ac:dyDescent="0.25">
      <c r="A14" s="475"/>
      <c r="B14" s="475"/>
      <c r="C14" s="475"/>
      <c r="D14" s="475"/>
      <c r="E14" s="475"/>
      <c r="F14" s="475"/>
      <c r="G14" s="475"/>
      <c r="H14" s="475"/>
      <c r="I14" s="475"/>
    </row>
    <row r="15" spans="1:9" ht="19.5" customHeight="1" x14ac:dyDescent="0.3">
      <c r="A15" s="50"/>
    </row>
    <row r="16" spans="1:9" ht="19.5" customHeight="1" x14ac:dyDescent="0.3">
      <c r="A16" s="508" t="s">
        <v>30</v>
      </c>
      <c r="B16" s="509"/>
      <c r="C16" s="509"/>
      <c r="D16" s="509"/>
      <c r="E16" s="509"/>
      <c r="F16" s="509"/>
      <c r="G16" s="509"/>
      <c r="H16" s="510"/>
    </row>
    <row r="17" spans="1:14" ht="20.25" customHeight="1" x14ac:dyDescent="0.25">
      <c r="A17" s="511" t="s">
        <v>46</v>
      </c>
      <c r="B17" s="511"/>
      <c r="C17" s="511"/>
      <c r="D17" s="511"/>
      <c r="E17" s="511"/>
      <c r="F17" s="511"/>
      <c r="G17" s="511"/>
      <c r="H17" s="511"/>
    </row>
    <row r="18" spans="1:14" ht="26.25" customHeight="1" x14ac:dyDescent="0.4">
      <c r="A18" s="52" t="s">
        <v>32</v>
      </c>
      <c r="B18" s="507" t="s">
        <v>4</v>
      </c>
      <c r="C18" s="507"/>
      <c r="D18" s="219"/>
      <c r="E18" s="53"/>
      <c r="F18" s="54"/>
      <c r="G18" s="54"/>
      <c r="H18" s="54"/>
    </row>
    <row r="19" spans="1:14" ht="26.25" customHeight="1" x14ac:dyDescent="0.4">
      <c r="A19" s="52" t="s">
        <v>33</v>
      </c>
      <c r="B19" s="55" t="s">
        <v>6</v>
      </c>
      <c r="C19" s="232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34</v>
      </c>
      <c r="B20" s="512" t="s">
        <v>8</v>
      </c>
      <c r="C20" s="512"/>
      <c r="D20" s="54"/>
      <c r="E20" s="54"/>
      <c r="F20" s="54"/>
      <c r="G20" s="54"/>
      <c r="H20" s="54"/>
    </row>
    <row r="21" spans="1:14" ht="26.25" customHeight="1" x14ac:dyDescent="0.4">
      <c r="A21" s="52" t="s">
        <v>35</v>
      </c>
      <c r="B21" s="512" t="s">
        <v>10</v>
      </c>
      <c r="C21" s="512"/>
      <c r="D21" s="512"/>
      <c r="E21" s="512"/>
      <c r="F21" s="512"/>
      <c r="G21" s="512"/>
      <c r="H21" s="512"/>
      <c r="I21" s="56"/>
    </row>
    <row r="22" spans="1:14" ht="26.25" customHeight="1" x14ac:dyDescent="0.4">
      <c r="A22" s="52" t="s">
        <v>36</v>
      </c>
      <c r="B22" s="57" t="s">
        <v>11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37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3</v>
      </c>
      <c r="B26" s="507" t="s">
        <v>124</v>
      </c>
      <c r="C26" s="507"/>
    </row>
    <row r="27" spans="1:14" ht="26.25" customHeight="1" x14ac:dyDescent="0.4">
      <c r="A27" s="61" t="s">
        <v>47</v>
      </c>
      <c r="B27" s="505"/>
      <c r="C27" s="505"/>
    </row>
    <row r="28" spans="1:14" ht="27" customHeight="1" x14ac:dyDescent="0.4">
      <c r="A28" s="61" t="s">
        <v>5</v>
      </c>
      <c r="B28" s="62">
        <v>86.6</v>
      </c>
    </row>
    <row r="29" spans="1:14" s="3" customFormat="1" ht="27" customHeight="1" x14ac:dyDescent="0.4">
      <c r="A29" s="61" t="s">
        <v>48</v>
      </c>
      <c r="B29" s="63"/>
      <c r="C29" s="482" t="s">
        <v>49</v>
      </c>
      <c r="D29" s="483"/>
      <c r="E29" s="483"/>
      <c r="F29" s="483"/>
      <c r="G29" s="484"/>
      <c r="I29" s="64"/>
      <c r="J29" s="64"/>
      <c r="K29" s="64"/>
      <c r="L29" s="64"/>
    </row>
    <row r="30" spans="1:14" s="3" customFormat="1" ht="19.5" customHeight="1" x14ac:dyDescent="0.3">
      <c r="A30" s="61" t="s">
        <v>50</v>
      </c>
      <c r="B30" s="65">
        <f>B28-B29</f>
        <v>86.6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51</v>
      </c>
      <c r="B31" s="68">
        <v>1</v>
      </c>
      <c r="C31" s="485" t="s">
        <v>52</v>
      </c>
      <c r="D31" s="486"/>
      <c r="E31" s="486"/>
      <c r="F31" s="486"/>
      <c r="G31" s="486"/>
      <c r="H31" s="487"/>
      <c r="I31" s="64"/>
      <c r="J31" s="64"/>
      <c r="K31" s="64"/>
      <c r="L31" s="64"/>
    </row>
    <row r="32" spans="1:14" s="3" customFormat="1" ht="27" customHeight="1" x14ac:dyDescent="0.4">
      <c r="A32" s="61" t="s">
        <v>53</v>
      </c>
      <c r="B32" s="68">
        <v>1</v>
      </c>
      <c r="C32" s="485" t="s">
        <v>54</v>
      </c>
      <c r="D32" s="486"/>
      <c r="E32" s="486"/>
      <c r="F32" s="486"/>
      <c r="G32" s="486"/>
      <c r="H32" s="487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55</v>
      </c>
      <c r="B34" s="73">
        <f>B31/B32</f>
        <v>1</v>
      </c>
      <c r="C34" s="51" t="s">
        <v>56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57</v>
      </c>
      <c r="B36" s="75">
        <v>20</v>
      </c>
      <c r="C36" s="51"/>
      <c r="D36" s="488" t="s">
        <v>58</v>
      </c>
      <c r="E36" s="506"/>
      <c r="F36" s="488" t="s">
        <v>59</v>
      </c>
      <c r="G36" s="489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60</v>
      </c>
      <c r="B37" s="77">
        <v>10</v>
      </c>
      <c r="C37" s="78" t="s">
        <v>61</v>
      </c>
      <c r="D37" s="79" t="s">
        <v>62</v>
      </c>
      <c r="E37" s="80" t="s">
        <v>63</v>
      </c>
      <c r="F37" s="79" t="s">
        <v>62</v>
      </c>
      <c r="G37" s="81" t="s">
        <v>63</v>
      </c>
      <c r="I37" s="82" t="s">
        <v>64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65</v>
      </c>
      <c r="B38" s="77">
        <v>25</v>
      </c>
      <c r="C38" s="83">
        <v>1</v>
      </c>
      <c r="D38" s="84">
        <v>108887864</v>
      </c>
      <c r="E38" s="85">
        <f>IF(ISBLANK(D38),"-",$D$48/$D$45*D38)</f>
        <v>120115173.39548394</v>
      </c>
      <c r="F38" s="84">
        <v>107427279</v>
      </c>
      <c r="G38" s="86">
        <f>IF(ISBLANK(F38),"-",$D$48/$F$45*F38)</f>
        <v>120577348.12458922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66</v>
      </c>
      <c r="B39" s="77">
        <v>1</v>
      </c>
      <c r="C39" s="88">
        <v>2</v>
      </c>
      <c r="D39" s="89">
        <v>109230554</v>
      </c>
      <c r="E39" s="90">
        <f>IF(ISBLANK(D39),"-",$D$48/$D$45*D39)</f>
        <v>120493197.78919323</v>
      </c>
      <c r="F39" s="89">
        <v>107183771</v>
      </c>
      <c r="G39" s="91">
        <f>IF(ISBLANK(F39),"-",$D$48/$F$45*F39)</f>
        <v>120304032.54627021</v>
      </c>
      <c r="I39" s="490">
        <f>ABS((F43/D43*D42)-F42)/D42</f>
        <v>3.2138732019548664E-3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67</v>
      </c>
      <c r="B40" s="77">
        <v>1</v>
      </c>
      <c r="C40" s="88">
        <v>3</v>
      </c>
      <c r="D40" s="89">
        <v>108947952</v>
      </c>
      <c r="E40" s="90">
        <f>IF(ISBLANK(D40),"-",$D$48/$D$45*D40)</f>
        <v>120181457.00390323</v>
      </c>
      <c r="F40" s="89">
        <v>107882478</v>
      </c>
      <c r="G40" s="91">
        <f>IF(ISBLANK(F40),"-",$D$48/$F$45*F40)</f>
        <v>121088267.59308814</v>
      </c>
      <c r="I40" s="490"/>
      <c r="L40" s="69"/>
      <c r="M40" s="69"/>
      <c r="N40" s="92"/>
    </row>
    <row r="41" spans="1:14" ht="27" customHeight="1" x14ac:dyDescent="0.4">
      <c r="A41" s="76" t="s">
        <v>68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69</v>
      </c>
      <c r="B42" s="77">
        <v>1</v>
      </c>
      <c r="C42" s="98" t="s">
        <v>70</v>
      </c>
      <c r="D42" s="99">
        <f>AVERAGE(D38:D41)</f>
        <v>109022123.33333333</v>
      </c>
      <c r="E42" s="100">
        <f>AVERAGE(E38:E41)</f>
        <v>120263276.06286013</v>
      </c>
      <c r="F42" s="99">
        <f>AVERAGE(F38:F41)</f>
        <v>107497842.66666667</v>
      </c>
      <c r="G42" s="101">
        <f>AVERAGE(G38:G41)</f>
        <v>120656549.42131585</v>
      </c>
      <c r="H42" s="102"/>
    </row>
    <row r="43" spans="1:14" ht="26.25" customHeight="1" x14ac:dyDescent="0.4">
      <c r="A43" s="76" t="s">
        <v>71</v>
      </c>
      <c r="B43" s="77">
        <v>1</v>
      </c>
      <c r="C43" s="103" t="s">
        <v>72</v>
      </c>
      <c r="D43" s="104">
        <v>26.17</v>
      </c>
      <c r="E43" s="92"/>
      <c r="F43" s="104">
        <v>25.72</v>
      </c>
      <c r="H43" s="102"/>
    </row>
    <row r="44" spans="1:14" ht="26.25" customHeight="1" x14ac:dyDescent="0.4">
      <c r="A44" s="76" t="s">
        <v>73</v>
      </c>
      <c r="B44" s="77">
        <v>1</v>
      </c>
      <c r="C44" s="105" t="s">
        <v>74</v>
      </c>
      <c r="D44" s="106">
        <f>D43*$B$34</f>
        <v>26.17</v>
      </c>
      <c r="E44" s="107"/>
      <c r="F44" s="106">
        <f>F43*$B$34</f>
        <v>25.72</v>
      </c>
      <c r="H44" s="102"/>
    </row>
    <row r="45" spans="1:14" ht="19.5" customHeight="1" x14ac:dyDescent="0.3">
      <c r="A45" s="76" t="s">
        <v>75</v>
      </c>
      <c r="B45" s="108">
        <f>(B44/B43)*(B42/B41)*(B40/B39)*(B38/B37)*B36</f>
        <v>50</v>
      </c>
      <c r="C45" s="105" t="s">
        <v>76</v>
      </c>
      <c r="D45" s="109">
        <f>D44*$B$30/100</f>
        <v>22.663220000000003</v>
      </c>
      <c r="E45" s="110"/>
      <c r="F45" s="109">
        <f>F44*$B$30/100</f>
        <v>22.273519999999998</v>
      </c>
      <c r="H45" s="102"/>
    </row>
    <row r="46" spans="1:14" ht="19.5" customHeight="1" x14ac:dyDescent="0.3">
      <c r="A46" s="476" t="s">
        <v>77</v>
      </c>
      <c r="B46" s="477"/>
      <c r="C46" s="105" t="s">
        <v>78</v>
      </c>
      <c r="D46" s="111">
        <f>D45/$B$45</f>
        <v>0.45326440000000007</v>
      </c>
      <c r="E46" s="112"/>
      <c r="F46" s="113">
        <f>F45/$B$45</f>
        <v>0.44547039999999993</v>
      </c>
      <c r="H46" s="102"/>
    </row>
    <row r="47" spans="1:14" ht="27" customHeight="1" x14ac:dyDescent="0.4">
      <c r="A47" s="478"/>
      <c r="B47" s="479"/>
      <c r="C47" s="114" t="s">
        <v>79</v>
      </c>
      <c r="D47" s="115">
        <v>0.5</v>
      </c>
      <c r="E47" s="116"/>
      <c r="F47" s="112"/>
      <c r="H47" s="102"/>
    </row>
    <row r="48" spans="1:14" ht="18.75" x14ac:dyDescent="0.3">
      <c r="C48" s="117" t="s">
        <v>80</v>
      </c>
      <c r="D48" s="109">
        <f>D47*$B$45</f>
        <v>25</v>
      </c>
      <c r="F48" s="118"/>
      <c r="H48" s="102"/>
    </row>
    <row r="49" spans="1:12" ht="19.5" customHeight="1" x14ac:dyDescent="0.3">
      <c r="C49" s="119" t="s">
        <v>81</v>
      </c>
      <c r="D49" s="120">
        <f>D48/B34</f>
        <v>25</v>
      </c>
      <c r="F49" s="118"/>
      <c r="H49" s="102"/>
    </row>
    <row r="50" spans="1:12" ht="18.75" x14ac:dyDescent="0.3">
      <c r="C50" s="74" t="s">
        <v>82</v>
      </c>
      <c r="D50" s="121">
        <f>AVERAGE(E38:E41,G38:G41)</f>
        <v>120459912.742088</v>
      </c>
      <c r="F50" s="122"/>
      <c r="H50" s="102"/>
    </row>
    <row r="51" spans="1:12" ht="18.75" x14ac:dyDescent="0.3">
      <c r="C51" s="76" t="s">
        <v>83</v>
      </c>
      <c r="D51" s="123">
        <f>STDEV(E38:E41,G38:G41)/D50</f>
        <v>2.9477054242754773E-3</v>
      </c>
      <c r="F51" s="122"/>
      <c r="H51" s="102"/>
    </row>
    <row r="52" spans="1:12" ht="19.5" customHeight="1" x14ac:dyDescent="0.3">
      <c r="C52" s="124" t="s">
        <v>19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84</v>
      </c>
    </row>
    <row r="55" spans="1:12" ht="18.75" x14ac:dyDescent="0.3">
      <c r="A55" s="51" t="s">
        <v>85</v>
      </c>
      <c r="B55" s="128" t="str">
        <f>B21</f>
        <v>Each film coated tablet contains: Amoxicillin Trihydrate USP Eq. to Amoxicillin 500mg
Clavulanate Potassium USP Eq. to Clavulanic Acid 125mg</v>
      </c>
    </row>
    <row r="56" spans="1:12" ht="26.25" customHeight="1" x14ac:dyDescent="0.4">
      <c r="A56" s="129" t="s">
        <v>86</v>
      </c>
      <c r="B56" s="130">
        <v>500</v>
      </c>
      <c r="C56" s="51" t="str">
        <f>B20</f>
        <v>Amoxicillin &amp; Clavulanic Acid</v>
      </c>
      <c r="H56" s="131"/>
    </row>
    <row r="57" spans="1:12" ht="18.75" x14ac:dyDescent="0.3">
      <c r="A57" s="128" t="s">
        <v>87</v>
      </c>
      <c r="B57" s="220">
        <f>Uniformity!C46</f>
        <v>1032.8405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88</v>
      </c>
      <c r="B59" s="75">
        <v>100</v>
      </c>
      <c r="C59" s="51"/>
      <c r="D59" s="132" t="s">
        <v>89</v>
      </c>
      <c r="E59" s="133" t="s">
        <v>61</v>
      </c>
      <c r="F59" s="133" t="s">
        <v>62</v>
      </c>
      <c r="G59" s="133" t="s">
        <v>90</v>
      </c>
      <c r="H59" s="78" t="s">
        <v>91</v>
      </c>
      <c r="L59" s="64"/>
    </row>
    <row r="60" spans="1:12" s="3" customFormat="1" ht="26.25" customHeight="1" x14ac:dyDescent="0.4">
      <c r="A60" s="76" t="s">
        <v>92</v>
      </c>
      <c r="B60" s="77">
        <v>1</v>
      </c>
      <c r="C60" s="493" t="s">
        <v>93</v>
      </c>
      <c r="D60" s="496">
        <v>163.72</v>
      </c>
      <c r="E60" s="134">
        <v>1</v>
      </c>
      <c r="F60" s="135">
        <v>200339228</v>
      </c>
      <c r="G60" s="221">
        <f>IF(ISBLANK(F60),"-",(F60/$D$50*$D$47*$B$68)*($B$57/$D$60))</f>
        <v>524.59600539960229</v>
      </c>
      <c r="H60" s="136">
        <f t="shared" ref="H60:H71" si="0">IF(ISBLANK(F60),"-",G60/$B$56)</f>
        <v>1.0491920107992045</v>
      </c>
      <c r="L60" s="64"/>
    </row>
    <row r="61" spans="1:12" s="3" customFormat="1" ht="26.25" customHeight="1" x14ac:dyDescent="0.4">
      <c r="A61" s="76" t="s">
        <v>94</v>
      </c>
      <c r="B61" s="77">
        <v>1</v>
      </c>
      <c r="C61" s="494"/>
      <c r="D61" s="497"/>
      <c r="E61" s="137">
        <v>2</v>
      </c>
      <c r="F61" s="89">
        <v>200818272</v>
      </c>
      <c r="G61" s="222">
        <f>IF(ISBLANK(F61),"-",(F61/$D$50*$D$47*$B$68)*($B$57/$D$60))</f>
        <v>525.85040061375707</v>
      </c>
      <c r="H61" s="138">
        <f t="shared" si="0"/>
        <v>1.0517008012275142</v>
      </c>
      <c r="L61" s="64"/>
    </row>
    <row r="62" spans="1:12" s="3" customFormat="1" ht="26.25" customHeight="1" x14ac:dyDescent="0.4">
      <c r="A62" s="76" t="s">
        <v>95</v>
      </c>
      <c r="B62" s="77">
        <v>1</v>
      </c>
      <c r="C62" s="494"/>
      <c r="D62" s="497"/>
      <c r="E62" s="137">
        <v>3</v>
      </c>
      <c r="F62" s="139">
        <v>200744285</v>
      </c>
      <c r="G62" s="222">
        <f>IF(ISBLANK(F62),"-",(F62/$D$50*$D$47*$B$68)*($B$57/$D$60))</f>
        <v>525.65666279696006</v>
      </c>
      <c r="H62" s="138">
        <f t="shared" si="0"/>
        <v>1.0513133255939202</v>
      </c>
      <c r="L62" s="64"/>
    </row>
    <row r="63" spans="1:12" ht="27" customHeight="1" x14ac:dyDescent="0.4">
      <c r="A63" s="76" t="s">
        <v>96</v>
      </c>
      <c r="B63" s="77">
        <v>1</v>
      </c>
      <c r="C63" s="504"/>
      <c r="D63" s="498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97</v>
      </c>
      <c r="B64" s="77">
        <v>1</v>
      </c>
      <c r="C64" s="493" t="s">
        <v>98</v>
      </c>
      <c r="D64" s="496">
        <v>136.22</v>
      </c>
      <c r="E64" s="134">
        <v>1</v>
      </c>
      <c r="F64" s="135">
        <v>168989147</v>
      </c>
      <c r="G64" s="223">
        <f>IF(ISBLANK(F64),"-",(F64/$D$50*$D$47*$B$68)*($B$57/$D$64))</f>
        <v>531.83713372120985</v>
      </c>
      <c r="H64" s="142">
        <f t="shared" si="0"/>
        <v>1.0636742674424198</v>
      </c>
    </row>
    <row r="65" spans="1:8" ht="26.25" customHeight="1" x14ac:dyDescent="0.4">
      <c r="A65" s="76" t="s">
        <v>99</v>
      </c>
      <c r="B65" s="77">
        <v>1</v>
      </c>
      <c r="C65" s="494"/>
      <c r="D65" s="497"/>
      <c r="E65" s="137">
        <v>2</v>
      </c>
      <c r="F65" s="89">
        <v>169071668</v>
      </c>
      <c r="G65" s="224">
        <f>IF(ISBLANK(F65),"-",(F65/$D$50*$D$47*$B$68)*($B$57/$D$64))</f>
        <v>532.09684112189768</v>
      </c>
      <c r="H65" s="143">
        <f t="shared" si="0"/>
        <v>1.0641936822437954</v>
      </c>
    </row>
    <row r="66" spans="1:8" ht="26.25" customHeight="1" x14ac:dyDescent="0.4">
      <c r="A66" s="76" t="s">
        <v>100</v>
      </c>
      <c r="B66" s="77">
        <v>1</v>
      </c>
      <c r="C66" s="494"/>
      <c r="D66" s="497"/>
      <c r="E66" s="137">
        <v>3</v>
      </c>
      <c r="F66" s="89">
        <v>169469645</v>
      </c>
      <c r="G66" s="224">
        <f>IF(ISBLANK(F66),"-",(F66/$D$50*$D$47*$B$68)*($B$57/$D$64))</f>
        <v>533.34934136066715</v>
      </c>
      <c r="H66" s="143">
        <f t="shared" si="0"/>
        <v>1.0666986827213343</v>
      </c>
    </row>
    <row r="67" spans="1:8" ht="27" customHeight="1" x14ac:dyDescent="0.4">
      <c r="A67" s="76" t="s">
        <v>101</v>
      </c>
      <c r="B67" s="77">
        <v>1</v>
      </c>
      <c r="C67" s="504"/>
      <c r="D67" s="498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102</v>
      </c>
      <c r="B68" s="145">
        <f>(B67/B66)*(B65/B64)*(B63/B62)*(B61/B60)*B59</f>
        <v>100</v>
      </c>
      <c r="C68" s="493" t="s">
        <v>103</v>
      </c>
      <c r="D68" s="496">
        <v>144.51</v>
      </c>
      <c r="E68" s="134">
        <v>1</v>
      </c>
      <c r="F68" s="135">
        <v>177085424</v>
      </c>
      <c r="G68" s="223">
        <f>IF(ISBLANK(F68),"-",(F68/$D$50*$D$47*$B$68)*($B$57/$D$68))</f>
        <v>525.34624686579912</v>
      </c>
      <c r="H68" s="138">
        <f t="shared" si="0"/>
        <v>1.0506924937315982</v>
      </c>
    </row>
    <row r="69" spans="1:8" ht="27" customHeight="1" x14ac:dyDescent="0.4">
      <c r="A69" s="124" t="s">
        <v>104</v>
      </c>
      <c r="B69" s="146">
        <f>(D47*B68)/B56*B57</f>
        <v>103.28405000000001</v>
      </c>
      <c r="C69" s="494"/>
      <c r="D69" s="497"/>
      <c r="E69" s="137">
        <v>2</v>
      </c>
      <c r="F69" s="89">
        <v>177215255</v>
      </c>
      <c r="G69" s="224">
        <f>IF(ISBLANK(F69),"-",(F69/$D$50*$D$47*$B$68)*($B$57/$D$68))</f>
        <v>525.73140690345895</v>
      </c>
      <c r="H69" s="138">
        <f t="shared" si="0"/>
        <v>1.051462813806918</v>
      </c>
    </row>
    <row r="70" spans="1:8" ht="26.25" customHeight="1" x14ac:dyDescent="0.4">
      <c r="A70" s="499" t="s">
        <v>77</v>
      </c>
      <c r="B70" s="500"/>
      <c r="C70" s="494"/>
      <c r="D70" s="497"/>
      <c r="E70" s="137">
        <v>3</v>
      </c>
      <c r="F70" s="89">
        <v>176507345</v>
      </c>
      <c r="G70" s="224">
        <f>IF(ISBLANK(F70),"-",(F70/$D$50*$D$47*$B$68)*($B$57/$D$68))</f>
        <v>523.63130259663137</v>
      </c>
      <c r="H70" s="138">
        <f t="shared" si="0"/>
        <v>1.0472626051932628</v>
      </c>
    </row>
    <row r="71" spans="1:8" ht="27" customHeight="1" x14ac:dyDescent="0.4">
      <c r="A71" s="501"/>
      <c r="B71" s="502"/>
      <c r="C71" s="495"/>
      <c r="D71" s="498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70</v>
      </c>
      <c r="G72" s="230">
        <f>AVERAGE(G60:G71)</f>
        <v>527.56614904222033</v>
      </c>
      <c r="H72" s="151">
        <f>AVERAGE(H60:H71)</f>
        <v>1.0551322980844409</v>
      </c>
    </row>
    <row r="73" spans="1:8" ht="26.25" customHeight="1" x14ac:dyDescent="0.4">
      <c r="C73" s="148"/>
      <c r="D73" s="148"/>
      <c r="E73" s="148"/>
      <c r="F73" s="152" t="s">
        <v>83</v>
      </c>
      <c r="G73" s="226">
        <f>STDEV(G60:G71)/G72</f>
        <v>7.0733641835398773E-3</v>
      </c>
      <c r="H73" s="226">
        <f>STDEV(H60:H71)/H72</f>
        <v>7.0733641835398755E-3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19</v>
      </c>
      <c r="G74" s="155">
        <f>COUNT(G60:G71)</f>
        <v>9</v>
      </c>
      <c r="H74" s="155">
        <f>COUNT(H60:H71)</f>
        <v>9</v>
      </c>
    </row>
    <row r="76" spans="1:8" ht="26.25" customHeight="1" x14ac:dyDescent="0.4">
      <c r="A76" s="60" t="s">
        <v>105</v>
      </c>
      <c r="B76" s="156" t="s">
        <v>106</v>
      </c>
      <c r="C76" s="480" t="str">
        <f>B20</f>
        <v>Amoxicillin &amp; Clavulanic Acid</v>
      </c>
      <c r="D76" s="480"/>
      <c r="E76" s="157" t="s">
        <v>107</v>
      </c>
      <c r="F76" s="157"/>
      <c r="G76" s="158">
        <f>H72</f>
        <v>1.0551322980844409</v>
      </c>
      <c r="H76" s="159"/>
    </row>
    <row r="77" spans="1:8" ht="18.75" x14ac:dyDescent="0.3">
      <c r="A77" s="59" t="s">
        <v>108</v>
      </c>
      <c r="B77" s="59" t="s">
        <v>109</v>
      </c>
    </row>
    <row r="78" spans="1:8" ht="18.75" x14ac:dyDescent="0.3">
      <c r="A78" s="59"/>
      <c r="B78" s="59"/>
    </row>
    <row r="79" spans="1:8" ht="26.25" customHeight="1" x14ac:dyDescent="0.4">
      <c r="A79" s="60" t="s">
        <v>3</v>
      </c>
      <c r="B79" s="503" t="str">
        <f>B26</f>
        <v>Amoxicillin</v>
      </c>
      <c r="C79" s="503"/>
    </row>
    <row r="80" spans="1:8" ht="26.25" customHeight="1" x14ac:dyDescent="0.4">
      <c r="A80" s="61" t="s">
        <v>47</v>
      </c>
      <c r="B80" s="503">
        <f>B27</f>
        <v>0</v>
      </c>
      <c r="C80" s="503"/>
    </row>
    <row r="81" spans="1:12" ht="27" customHeight="1" x14ac:dyDescent="0.4">
      <c r="A81" s="61" t="s">
        <v>5</v>
      </c>
      <c r="B81" s="160">
        <f>B28</f>
        <v>86.6</v>
      </c>
    </row>
    <row r="82" spans="1:12" s="3" customFormat="1" ht="27" customHeight="1" x14ac:dyDescent="0.4">
      <c r="A82" s="61" t="s">
        <v>48</v>
      </c>
      <c r="B82" s="63">
        <v>0</v>
      </c>
      <c r="C82" s="482" t="s">
        <v>49</v>
      </c>
      <c r="D82" s="483"/>
      <c r="E82" s="483"/>
      <c r="F82" s="483"/>
      <c r="G82" s="484"/>
      <c r="I82" s="64"/>
      <c r="J82" s="64"/>
      <c r="K82" s="64"/>
      <c r="L82" s="64"/>
    </row>
    <row r="83" spans="1:12" s="3" customFormat="1" ht="19.5" customHeight="1" x14ac:dyDescent="0.3">
      <c r="A83" s="61" t="s">
        <v>50</v>
      </c>
      <c r="B83" s="65">
        <f>B81-B82</f>
        <v>86.6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51</v>
      </c>
      <c r="B84" s="68">
        <v>1</v>
      </c>
      <c r="C84" s="485" t="s">
        <v>110</v>
      </c>
      <c r="D84" s="486"/>
      <c r="E84" s="486"/>
      <c r="F84" s="486"/>
      <c r="G84" s="486"/>
      <c r="H84" s="487"/>
      <c r="I84" s="64"/>
      <c r="J84" s="64"/>
      <c r="K84" s="64"/>
      <c r="L84" s="64"/>
    </row>
    <row r="85" spans="1:12" s="3" customFormat="1" ht="27" customHeight="1" x14ac:dyDescent="0.4">
      <c r="A85" s="61" t="s">
        <v>53</v>
      </c>
      <c r="B85" s="68">
        <v>1</v>
      </c>
      <c r="C85" s="485" t="s">
        <v>111</v>
      </c>
      <c r="D85" s="486"/>
      <c r="E85" s="486"/>
      <c r="F85" s="486"/>
      <c r="G85" s="486"/>
      <c r="H85" s="487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55</v>
      </c>
      <c r="B87" s="73">
        <f>B84/B85</f>
        <v>1</v>
      </c>
      <c r="C87" s="51" t="s">
        <v>56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57</v>
      </c>
      <c r="B89" s="75">
        <v>20</v>
      </c>
      <c r="D89" s="161" t="s">
        <v>58</v>
      </c>
      <c r="E89" s="162"/>
      <c r="F89" s="488" t="s">
        <v>59</v>
      </c>
      <c r="G89" s="489"/>
    </row>
    <row r="90" spans="1:12" ht="27" customHeight="1" x14ac:dyDescent="0.4">
      <c r="A90" s="76" t="s">
        <v>60</v>
      </c>
      <c r="B90" s="77">
        <v>10</v>
      </c>
      <c r="C90" s="163" t="s">
        <v>61</v>
      </c>
      <c r="D90" s="79" t="s">
        <v>62</v>
      </c>
      <c r="E90" s="80" t="s">
        <v>63</v>
      </c>
      <c r="F90" s="79" t="s">
        <v>62</v>
      </c>
      <c r="G90" s="164" t="s">
        <v>63</v>
      </c>
      <c r="I90" s="82" t="s">
        <v>64</v>
      </c>
    </row>
    <row r="91" spans="1:12" ht="26.25" customHeight="1" x14ac:dyDescent="0.4">
      <c r="A91" s="76" t="s">
        <v>65</v>
      </c>
      <c r="B91" s="77">
        <v>20</v>
      </c>
      <c r="C91" s="165">
        <v>1</v>
      </c>
      <c r="D91" s="84">
        <v>107471443</v>
      </c>
      <c r="E91" s="85">
        <f>IF(ISBLANK(D91),"-",$D$101/$D$98*D91)</f>
        <v>138235559.38859209</v>
      </c>
      <c r="F91" s="84">
        <v>115754307</v>
      </c>
      <c r="G91" s="86">
        <f>IF(ISBLANK(F91),"-",$D$101/$F$98*F91)</f>
        <v>138930965.10160008</v>
      </c>
      <c r="I91" s="87"/>
    </row>
    <row r="92" spans="1:12" ht="26.25" customHeight="1" x14ac:dyDescent="0.4">
      <c r="A92" s="76" t="s">
        <v>66</v>
      </c>
      <c r="B92" s="77">
        <v>1</v>
      </c>
      <c r="C92" s="149">
        <v>2</v>
      </c>
      <c r="D92" s="89">
        <v>107590987</v>
      </c>
      <c r="E92" s="90">
        <f>IF(ISBLANK(D92),"-",$D$101/$D$98*D92)</f>
        <v>138389323.32113323</v>
      </c>
      <c r="F92" s="89">
        <v>116074592</v>
      </c>
      <c r="G92" s="91">
        <f>IF(ISBLANK(F92),"-",$D$101/$F$98*F92)</f>
        <v>139315378.47947609</v>
      </c>
      <c r="I92" s="490">
        <f>ABS((F96/D96*D95)-F95)/D95</f>
        <v>8.2773569619064152E-3</v>
      </c>
    </row>
    <row r="93" spans="1:12" ht="26.25" customHeight="1" x14ac:dyDescent="0.4">
      <c r="A93" s="76" t="s">
        <v>67</v>
      </c>
      <c r="B93" s="77">
        <v>1</v>
      </c>
      <c r="C93" s="149">
        <v>3</v>
      </c>
      <c r="D93" s="89">
        <v>107437883</v>
      </c>
      <c r="E93" s="90">
        <f>IF(ISBLANK(D93),"-",$D$101/$D$98*D93)</f>
        <v>138192392.70874131</v>
      </c>
      <c r="F93" s="89">
        <v>116457428</v>
      </c>
      <c r="G93" s="91">
        <f>IF(ISBLANK(F93),"-",$D$101/$F$98*F93)</f>
        <v>139774866.99730408</v>
      </c>
      <c r="I93" s="490"/>
    </row>
    <row r="94" spans="1:12" ht="27" customHeight="1" x14ac:dyDescent="0.4">
      <c r="A94" s="76" t="s">
        <v>68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69</v>
      </c>
      <c r="B95" s="77">
        <v>1</v>
      </c>
      <c r="C95" s="168" t="s">
        <v>70</v>
      </c>
      <c r="D95" s="169">
        <f>AVERAGE(D91:D94)</f>
        <v>107500104.33333333</v>
      </c>
      <c r="E95" s="100">
        <f>AVERAGE(E91:E94)</f>
        <v>138272425.13948888</v>
      </c>
      <c r="F95" s="170">
        <f>AVERAGE(F91:F94)</f>
        <v>116095442.33333333</v>
      </c>
      <c r="G95" s="171">
        <f>AVERAGE(G91:G94)</f>
        <v>139340403.52612674</v>
      </c>
    </row>
    <row r="96" spans="1:12" ht="26.25" customHeight="1" x14ac:dyDescent="0.4">
      <c r="A96" s="76" t="s">
        <v>71</v>
      </c>
      <c r="B96" s="62">
        <v>1</v>
      </c>
      <c r="C96" s="172" t="s">
        <v>112</v>
      </c>
      <c r="D96" s="173">
        <v>19.95</v>
      </c>
      <c r="E96" s="92"/>
      <c r="F96" s="104">
        <v>21.38</v>
      </c>
    </row>
    <row r="97" spans="1:10" ht="26.25" customHeight="1" x14ac:dyDescent="0.4">
      <c r="A97" s="76" t="s">
        <v>73</v>
      </c>
      <c r="B97" s="62">
        <v>1</v>
      </c>
      <c r="C97" s="174" t="s">
        <v>113</v>
      </c>
      <c r="D97" s="175">
        <f>D96*$B$87</f>
        <v>19.95</v>
      </c>
      <c r="E97" s="107"/>
      <c r="F97" s="106">
        <f>F96*$B$87</f>
        <v>21.38</v>
      </c>
    </row>
    <row r="98" spans="1:10" ht="19.5" customHeight="1" x14ac:dyDescent="0.3">
      <c r="A98" s="76" t="s">
        <v>75</v>
      </c>
      <c r="B98" s="176">
        <f>(B97/B96)*(B95/B94)*(B93/B92)*(B91/B90)*B89</f>
        <v>40</v>
      </c>
      <c r="C98" s="174" t="s">
        <v>114</v>
      </c>
      <c r="D98" s="177">
        <f>D97*$B$83/100</f>
        <v>17.276699999999998</v>
      </c>
      <c r="E98" s="110"/>
      <c r="F98" s="109">
        <f>F97*$B$83/100</f>
        <v>18.515079999999998</v>
      </c>
    </row>
    <row r="99" spans="1:10" ht="19.5" customHeight="1" x14ac:dyDescent="0.3">
      <c r="A99" s="476" t="s">
        <v>77</v>
      </c>
      <c r="B99" s="491"/>
      <c r="C99" s="174" t="s">
        <v>115</v>
      </c>
      <c r="D99" s="178">
        <f>D98/$B$98</f>
        <v>0.43191749999999995</v>
      </c>
      <c r="E99" s="110"/>
      <c r="F99" s="113">
        <f>F98/$B$98</f>
        <v>0.46287699999999993</v>
      </c>
      <c r="G99" s="179"/>
      <c r="H99" s="102"/>
    </row>
    <row r="100" spans="1:10" ht="19.5" customHeight="1" x14ac:dyDescent="0.3">
      <c r="A100" s="478"/>
      <c r="B100" s="492"/>
      <c r="C100" s="174" t="s">
        <v>79</v>
      </c>
      <c r="D100" s="180">
        <f>$B$56/$B$116</f>
        <v>0.55555555555555558</v>
      </c>
      <c r="F100" s="118"/>
      <c r="G100" s="181"/>
      <c r="H100" s="102"/>
    </row>
    <row r="101" spans="1:10" ht="18.75" x14ac:dyDescent="0.3">
      <c r="C101" s="174" t="s">
        <v>80</v>
      </c>
      <c r="D101" s="175">
        <f>D100*$B$98</f>
        <v>22.222222222222221</v>
      </c>
      <c r="F101" s="118"/>
      <c r="G101" s="179"/>
      <c r="H101" s="102"/>
    </row>
    <row r="102" spans="1:10" ht="19.5" customHeight="1" x14ac:dyDescent="0.3">
      <c r="C102" s="182" t="s">
        <v>81</v>
      </c>
      <c r="D102" s="183">
        <f>D101/B34</f>
        <v>22.222222222222221</v>
      </c>
      <c r="F102" s="122"/>
      <c r="G102" s="179"/>
      <c r="H102" s="102"/>
      <c r="J102" s="184"/>
    </row>
    <row r="103" spans="1:10" ht="18.75" x14ac:dyDescent="0.3">
      <c r="C103" s="185" t="s">
        <v>116</v>
      </c>
      <c r="D103" s="186">
        <f>AVERAGE(E91:E94,G91:G94)</f>
        <v>138806414.33280781</v>
      </c>
      <c r="F103" s="122"/>
      <c r="G103" s="187"/>
      <c r="H103" s="102"/>
      <c r="J103" s="188"/>
    </row>
    <row r="104" spans="1:10" ht="18.75" x14ac:dyDescent="0.3">
      <c r="C104" s="152" t="s">
        <v>83</v>
      </c>
      <c r="D104" s="189">
        <f>STDEV(E91:E94,G91:G94)/D103</f>
        <v>4.6570191688513939E-3</v>
      </c>
      <c r="F104" s="122"/>
      <c r="G104" s="179"/>
      <c r="H104" s="102"/>
      <c r="J104" s="188"/>
    </row>
    <row r="105" spans="1:10" ht="19.5" customHeight="1" x14ac:dyDescent="0.3">
      <c r="C105" s="154" t="s">
        <v>19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117</v>
      </c>
      <c r="B107" s="75">
        <v>900</v>
      </c>
      <c r="C107" s="191" t="s">
        <v>118</v>
      </c>
      <c r="D107" s="192" t="s">
        <v>62</v>
      </c>
      <c r="E107" s="193" t="s">
        <v>119</v>
      </c>
      <c r="F107" s="194" t="s">
        <v>120</v>
      </c>
    </row>
    <row r="108" spans="1:10" ht="26.25" customHeight="1" x14ac:dyDescent="0.4">
      <c r="A108" s="76" t="s">
        <v>121</v>
      </c>
      <c r="B108" s="77">
        <v>1</v>
      </c>
      <c r="C108" s="195">
        <v>1</v>
      </c>
      <c r="D108" s="196">
        <v>131535736</v>
      </c>
      <c r="E108" s="227">
        <f t="shared" ref="E108:E113" si="1">IF(ISBLANK(D108),"-",D108/$D$103*$D$100*$B$116)</f>
        <v>473.81000594333005</v>
      </c>
      <c r="F108" s="197">
        <f t="shared" ref="F108:F113" si="2">IF(ISBLANK(D108), "-", E108/$B$56)</f>
        <v>0.94762001188666012</v>
      </c>
    </row>
    <row r="109" spans="1:10" ht="26.25" customHeight="1" x14ac:dyDescent="0.4">
      <c r="A109" s="76" t="s">
        <v>94</v>
      </c>
      <c r="B109" s="77">
        <v>1</v>
      </c>
      <c r="C109" s="195">
        <v>2</v>
      </c>
      <c r="D109" s="196">
        <v>130818486</v>
      </c>
      <c r="E109" s="228">
        <f t="shared" si="1"/>
        <v>471.22637173792401</v>
      </c>
      <c r="F109" s="198">
        <f t="shared" si="2"/>
        <v>0.94245274347584806</v>
      </c>
    </row>
    <row r="110" spans="1:10" ht="26.25" customHeight="1" x14ac:dyDescent="0.4">
      <c r="A110" s="76" t="s">
        <v>95</v>
      </c>
      <c r="B110" s="77">
        <v>1</v>
      </c>
      <c r="C110" s="195">
        <v>3</v>
      </c>
      <c r="D110" s="196">
        <v>129700842</v>
      </c>
      <c r="E110" s="228">
        <f t="shared" si="1"/>
        <v>467.20046268547821</v>
      </c>
      <c r="F110" s="198">
        <f t="shared" si="2"/>
        <v>0.93440092537095643</v>
      </c>
    </row>
    <row r="111" spans="1:10" ht="26.25" customHeight="1" x14ac:dyDescent="0.4">
      <c r="A111" s="76" t="s">
        <v>96</v>
      </c>
      <c r="B111" s="77">
        <v>1</v>
      </c>
      <c r="C111" s="195">
        <v>4</v>
      </c>
      <c r="D111" s="196">
        <v>131671808</v>
      </c>
      <c r="E111" s="228">
        <f t="shared" si="1"/>
        <v>474.3001562027905</v>
      </c>
      <c r="F111" s="198">
        <f t="shared" si="2"/>
        <v>0.94860031240558096</v>
      </c>
    </row>
    <row r="112" spans="1:10" ht="26.25" customHeight="1" x14ac:dyDescent="0.4">
      <c r="A112" s="76" t="s">
        <v>97</v>
      </c>
      <c r="B112" s="77">
        <v>1</v>
      </c>
      <c r="C112" s="195">
        <v>5</v>
      </c>
      <c r="D112" s="196">
        <v>130247282</v>
      </c>
      <c r="E112" s="228">
        <f t="shared" si="1"/>
        <v>469.16881552647095</v>
      </c>
      <c r="F112" s="198">
        <f t="shared" si="2"/>
        <v>0.93833763105294188</v>
      </c>
    </row>
    <row r="113" spans="1:10" ht="26.25" customHeight="1" x14ac:dyDescent="0.4">
      <c r="A113" s="76" t="s">
        <v>99</v>
      </c>
      <c r="B113" s="77">
        <v>1</v>
      </c>
      <c r="C113" s="199">
        <v>6</v>
      </c>
      <c r="D113" s="200">
        <v>131419759</v>
      </c>
      <c r="E113" s="229">
        <f t="shared" si="1"/>
        <v>473.39224066728906</v>
      </c>
      <c r="F113" s="201">
        <f t="shared" si="2"/>
        <v>0.94678448133457815</v>
      </c>
    </row>
    <row r="114" spans="1:10" ht="26.25" customHeight="1" x14ac:dyDescent="0.4">
      <c r="A114" s="76" t="s">
        <v>100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101</v>
      </c>
      <c r="B115" s="77">
        <v>1</v>
      </c>
      <c r="C115" s="195"/>
      <c r="D115" s="203" t="s">
        <v>70</v>
      </c>
      <c r="E115" s="231">
        <f>AVERAGE(E108:E113)</f>
        <v>471.51634212721382</v>
      </c>
      <c r="F115" s="204">
        <f>AVERAGE(F108:F113)</f>
        <v>0.94303268425442754</v>
      </c>
    </row>
    <row r="116" spans="1:10" ht="27" customHeight="1" x14ac:dyDescent="0.4">
      <c r="A116" s="76" t="s">
        <v>102</v>
      </c>
      <c r="B116" s="108">
        <f>(B115/B114)*(B113/B112)*(B111/B110)*(B109/B108)*B107</f>
        <v>900</v>
      </c>
      <c r="C116" s="205"/>
      <c r="D116" s="168" t="s">
        <v>83</v>
      </c>
      <c r="E116" s="206">
        <f>STDEV(E108:E113)/E115</f>
        <v>6.0546483478442475E-3</v>
      </c>
      <c r="F116" s="206">
        <f>STDEV(F108:F113)/F115</f>
        <v>6.0546483478442475E-3</v>
      </c>
      <c r="I116" s="50"/>
    </row>
    <row r="117" spans="1:10" ht="27" customHeight="1" x14ac:dyDescent="0.4">
      <c r="A117" s="476" t="s">
        <v>77</v>
      </c>
      <c r="B117" s="477"/>
      <c r="C117" s="207"/>
      <c r="D117" s="208" t="s">
        <v>19</v>
      </c>
      <c r="E117" s="209">
        <f>COUNT(E108:E113)</f>
        <v>6</v>
      </c>
      <c r="F117" s="209">
        <f>COUNT(F108:F113)</f>
        <v>6</v>
      </c>
      <c r="I117" s="50"/>
      <c r="J117" s="188"/>
    </row>
    <row r="118" spans="1:10" ht="19.5" customHeight="1" x14ac:dyDescent="0.3">
      <c r="A118" s="478"/>
      <c r="B118" s="479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18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105</v>
      </c>
      <c r="B120" s="156" t="s">
        <v>122</v>
      </c>
      <c r="C120" s="480" t="str">
        <f>B20</f>
        <v>Amoxicillin &amp; Clavulanic Acid</v>
      </c>
      <c r="D120" s="480"/>
      <c r="E120" s="157" t="s">
        <v>123</v>
      </c>
      <c r="F120" s="157"/>
      <c r="G120" s="158">
        <f>F115</f>
        <v>0.94303268425442754</v>
      </c>
      <c r="H120" s="50"/>
      <c r="I120" s="50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481" t="s">
        <v>25</v>
      </c>
      <c r="C122" s="481"/>
      <c r="E122" s="163" t="s">
        <v>26</v>
      </c>
      <c r="F122" s="212"/>
      <c r="G122" s="481" t="s">
        <v>27</v>
      </c>
      <c r="H122" s="481"/>
    </row>
    <row r="123" spans="1:10" ht="69.95" customHeight="1" x14ac:dyDescent="0.3">
      <c r="A123" s="213" t="s">
        <v>28</v>
      </c>
      <c r="B123" s="214"/>
      <c r="C123" s="214"/>
      <c r="E123" s="214"/>
      <c r="F123" s="50"/>
      <c r="G123" s="215"/>
      <c r="H123" s="215"/>
    </row>
    <row r="124" spans="1:10" ht="69.95" customHeight="1" x14ac:dyDescent="0.3">
      <c r="A124" s="213" t="s">
        <v>29</v>
      </c>
      <c r="B124" s="216"/>
      <c r="C124" s="216"/>
      <c r="E124" s="216"/>
      <c r="F124" s="50"/>
      <c r="G124" s="217"/>
      <c r="H124" s="217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85" zoomScale="50" zoomScaleNormal="40" zoomScalePageLayoutView="50" workbookViewId="0">
      <selection activeCell="F108" sqref="F108:F11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4" t="s">
        <v>44</v>
      </c>
      <c r="B1" s="474"/>
      <c r="C1" s="474"/>
      <c r="D1" s="474"/>
      <c r="E1" s="474"/>
      <c r="F1" s="474"/>
      <c r="G1" s="474"/>
      <c r="H1" s="474"/>
      <c r="I1" s="474"/>
    </row>
    <row r="2" spans="1:9" ht="18.75" customHeight="1" x14ac:dyDescent="0.25">
      <c r="A2" s="474"/>
      <c r="B2" s="474"/>
      <c r="C2" s="474"/>
      <c r="D2" s="474"/>
      <c r="E2" s="474"/>
      <c r="F2" s="474"/>
      <c r="G2" s="474"/>
      <c r="H2" s="474"/>
      <c r="I2" s="474"/>
    </row>
    <row r="3" spans="1:9" ht="18.75" customHeight="1" x14ac:dyDescent="0.25">
      <c r="A3" s="474"/>
      <c r="B3" s="474"/>
      <c r="C3" s="474"/>
      <c r="D3" s="474"/>
      <c r="E3" s="474"/>
      <c r="F3" s="474"/>
      <c r="G3" s="474"/>
      <c r="H3" s="474"/>
      <c r="I3" s="474"/>
    </row>
    <row r="4" spans="1:9" ht="18.75" customHeight="1" x14ac:dyDescent="0.25">
      <c r="A4" s="474"/>
      <c r="B4" s="474"/>
      <c r="C4" s="474"/>
      <c r="D4" s="474"/>
      <c r="E4" s="474"/>
      <c r="F4" s="474"/>
      <c r="G4" s="474"/>
      <c r="H4" s="474"/>
      <c r="I4" s="474"/>
    </row>
    <row r="5" spans="1:9" ht="18.75" customHeight="1" x14ac:dyDescent="0.25">
      <c r="A5" s="474"/>
      <c r="B5" s="474"/>
      <c r="C5" s="474"/>
      <c r="D5" s="474"/>
      <c r="E5" s="474"/>
      <c r="F5" s="474"/>
      <c r="G5" s="474"/>
      <c r="H5" s="474"/>
      <c r="I5" s="474"/>
    </row>
    <row r="6" spans="1:9" ht="18.75" customHeight="1" x14ac:dyDescent="0.25">
      <c r="A6" s="474"/>
      <c r="B6" s="474"/>
      <c r="C6" s="474"/>
      <c r="D6" s="474"/>
      <c r="E6" s="474"/>
      <c r="F6" s="474"/>
      <c r="G6" s="474"/>
      <c r="H6" s="474"/>
      <c r="I6" s="474"/>
    </row>
    <row r="7" spans="1:9" ht="18.75" customHeight="1" x14ac:dyDescent="0.25">
      <c r="A7" s="474"/>
      <c r="B7" s="474"/>
      <c r="C7" s="474"/>
      <c r="D7" s="474"/>
      <c r="E7" s="474"/>
      <c r="F7" s="474"/>
      <c r="G7" s="474"/>
      <c r="H7" s="474"/>
      <c r="I7" s="474"/>
    </row>
    <row r="8" spans="1:9" x14ac:dyDescent="0.25">
      <c r="A8" s="475" t="s">
        <v>45</v>
      </c>
      <c r="B8" s="475"/>
      <c r="C8" s="475"/>
      <c r="D8" s="475"/>
      <c r="E8" s="475"/>
      <c r="F8" s="475"/>
      <c r="G8" s="475"/>
      <c r="H8" s="475"/>
      <c r="I8" s="475"/>
    </row>
    <row r="9" spans="1:9" x14ac:dyDescent="0.25">
      <c r="A9" s="475"/>
      <c r="B9" s="475"/>
      <c r="C9" s="475"/>
      <c r="D9" s="475"/>
      <c r="E9" s="475"/>
      <c r="F9" s="475"/>
      <c r="G9" s="475"/>
      <c r="H9" s="475"/>
      <c r="I9" s="475"/>
    </row>
    <row r="10" spans="1:9" x14ac:dyDescent="0.25">
      <c r="A10" s="475"/>
      <c r="B10" s="475"/>
      <c r="C10" s="475"/>
      <c r="D10" s="475"/>
      <c r="E10" s="475"/>
      <c r="F10" s="475"/>
      <c r="G10" s="475"/>
      <c r="H10" s="475"/>
      <c r="I10" s="475"/>
    </row>
    <row r="11" spans="1:9" x14ac:dyDescent="0.25">
      <c r="A11" s="475"/>
      <c r="B11" s="475"/>
      <c r="C11" s="475"/>
      <c r="D11" s="475"/>
      <c r="E11" s="475"/>
      <c r="F11" s="475"/>
      <c r="G11" s="475"/>
      <c r="H11" s="475"/>
      <c r="I11" s="475"/>
    </row>
    <row r="12" spans="1:9" x14ac:dyDescent="0.25">
      <c r="A12" s="475"/>
      <c r="B12" s="475"/>
      <c r="C12" s="475"/>
      <c r="D12" s="475"/>
      <c r="E12" s="475"/>
      <c r="F12" s="475"/>
      <c r="G12" s="475"/>
      <c r="H12" s="475"/>
      <c r="I12" s="475"/>
    </row>
    <row r="13" spans="1:9" x14ac:dyDescent="0.25">
      <c r="A13" s="475"/>
      <c r="B13" s="475"/>
      <c r="C13" s="475"/>
      <c r="D13" s="475"/>
      <c r="E13" s="475"/>
      <c r="F13" s="475"/>
      <c r="G13" s="475"/>
      <c r="H13" s="475"/>
      <c r="I13" s="475"/>
    </row>
    <row r="14" spans="1:9" x14ac:dyDescent="0.25">
      <c r="A14" s="475"/>
      <c r="B14" s="475"/>
      <c r="C14" s="475"/>
      <c r="D14" s="475"/>
      <c r="E14" s="475"/>
      <c r="F14" s="475"/>
      <c r="G14" s="475"/>
      <c r="H14" s="475"/>
      <c r="I14" s="475"/>
    </row>
    <row r="15" spans="1:9" ht="19.5" customHeight="1" x14ac:dyDescent="0.3">
      <c r="A15" s="233"/>
    </row>
    <row r="16" spans="1:9" ht="19.5" customHeight="1" x14ac:dyDescent="0.3">
      <c r="A16" s="508" t="s">
        <v>30</v>
      </c>
      <c r="B16" s="509"/>
      <c r="C16" s="509"/>
      <c r="D16" s="509"/>
      <c r="E16" s="509"/>
      <c r="F16" s="509"/>
      <c r="G16" s="509"/>
      <c r="H16" s="510"/>
    </row>
    <row r="17" spans="1:14" ht="20.25" customHeight="1" x14ac:dyDescent="0.25">
      <c r="A17" s="511" t="s">
        <v>46</v>
      </c>
      <c r="B17" s="511"/>
      <c r="C17" s="511"/>
      <c r="D17" s="511"/>
      <c r="E17" s="511"/>
      <c r="F17" s="511"/>
      <c r="G17" s="511"/>
      <c r="H17" s="511"/>
    </row>
    <row r="18" spans="1:14" ht="26.25" customHeight="1" x14ac:dyDescent="0.4">
      <c r="A18" s="235" t="s">
        <v>32</v>
      </c>
      <c r="B18" s="507" t="s">
        <v>4</v>
      </c>
      <c r="C18" s="507"/>
      <c r="D18" s="402"/>
      <c r="E18" s="236"/>
      <c r="F18" s="237"/>
      <c r="G18" s="237"/>
      <c r="H18" s="237"/>
    </row>
    <row r="19" spans="1:14" ht="26.25" customHeight="1" x14ac:dyDescent="0.4">
      <c r="A19" s="235" t="s">
        <v>33</v>
      </c>
      <c r="B19" s="238" t="s">
        <v>6</v>
      </c>
      <c r="C19" s="415">
        <v>29</v>
      </c>
      <c r="D19" s="237"/>
      <c r="E19" s="237"/>
      <c r="F19" s="237"/>
      <c r="G19" s="237"/>
      <c r="H19" s="237"/>
    </row>
    <row r="20" spans="1:14" ht="26.25" customHeight="1" x14ac:dyDescent="0.4">
      <c r="A20" s="235" t="s">
        <v>34</v>
      </c>
      <c r="B20" s="512" t="s">
        <v>8</v>
      </c>
      <c r="C20" s="512"/>
      <c r="D20" s="237"/>
      <c r="E20" s="237"/>
      <c r="F20" s="237"/>
      <c r="G20" s="237"/>
      <c r="H20" s="237"/>
    </row>
    <row r="21" spans="1:14" ht="26.25" customHeight="1" x14ac:dyDescent="0.4">
      <c r="A21" s="235" t="s">
        <v>35</v>
      </c>
      <c r="B21" s="512" t="s">
        <v>10</v>
      </c>
      <c r="C21" s="512"/>
      <c r="D21" s="512"/>
      <c r="E21" s="512"/>
      <c r="F21" s="512"/>
      <c r="G21" s="512"/>
      <c r="H21" s="512"/>
      <c r="I21" s="239"/>
    </row>
    <row r="22" spans="1:14" ht="26.25" customHeight="1" x14ac:dyDescent="0.4">
      <c r="A22" s="235" t="s">
        <v>36</v>
      </c>
      <c r="B22" s="240" t="s">
        <v>11</v>
      </c>
      <c r="C22" s="237"/>
      <c r="D22" s="237"/>
      <c r="E22" s="237"/>
      <c r="F22" s="237"/>
      <c r="G22" s="237"/>
      <c r="H22" s="237"/>
    </row>
    <row r="23" spans="1:14" ht="26.25" customHeight="1" x14ac:dyDescent="0.4">
      <c r="A23" s="235" t="s">
        <v>37</v>
      </c>
      <c r="B23" s="240"/>
      <c r="C23" s="237"/>
      <c r="D23" s="237"/>
      <c r="E23" s="237"/>
      <c r="F23" s="237"/>
      <c r="G23" s="237"/>
      <c r="H23" s="237"/>
    </row>
    <row r="24" spans="1:14" ht="18.75" x14ac:dyDescent="0.3">
      <c r="A24" s="235"/>
      <c r="B24" s="241"/>
    </row>
    <row r="25" spans="1:14" ht="18.75" x14ac:dyDescent="0.3">
      <c r="A25" s="242" t="s">
        <v>1</v>
      </c>
      <c r="B25" s="241"/>
    </row>
    <row r="26" spans="1:14" ht="26.25" customHeight="1" x14ac:dyDescent="0.4">
      <c r="A26" s="243" t="s">
        <v>3</v>
      </c>
      <c r="B26" s="507" t="s">
        <v>125</v>
      </c>
      <c r="C26" s="507"/>
    </row>
    <row r="27" spans="1:14" ht="26.25" customHeight="1" x14ac:dyDescent="0.4">
      <c r="A27" s="244" t="s">
        <v>47</v>
      </c>
      <c r="B27" s="505"/>
      <c r="C27" s="505"/>
    </row>
    <row r="28" spans="1:14" ht="27" customHeight="1" x14ac:dyDescent="0.4">
      <c r="A28" s="244" t="s">
        <v>5</v>
      </c>
      <c r="B28" s="245">
        <v>96.4</v>
      </c>
    </row>
    <row r="29" spans="1:14" s="3" customFormat="1" ht="27" customHeight="1" x14ac:dyDescent="0.4">
      <c r="A29" s="244" t="s">
        <v>48</v>
      </c>
      <c r="B29" s="246"/>
      <c r="C29" s="482" t="s">
        <v>49</v>
      </c>
      <c r="D29" s="483"/>
      <c r="E29" s="483"/>
      <c r="F29" s="483"/>
      <c r="G29" s="484"/>
      <c r="I29" s="247"/>
      <c r="J29" s="247"/>
      <c r="K29" s="247"/>
      <c r="L29" s="247"/>
    </row>
    <row r="30" spans="1:14" s="3" customFormat="1" ht="19.5" customHeight="1" x14ac:dyDescent="0.3">
      <c r="A30" s="244" t="s">
        <v>50</v>
      </c>
      <c r="B30" s="248">
        <f>B28-B29</f>
        <v>96.4</v>
      </c>
      <c r="C30" s="249"/>
      <c r="D30" s="249"/>
      <c r="E30" s="249"/>
      <c r="F30" s="249"/>
      <c r="G30" s="250"/>
      <c r="I30" s="247"/>
      <c r="J30" s="247"/>
      <c r="K30" s="247"/>
      <c r="L30" s="247"/>
    </row>
    <row r="31" spans="1:14" s="3" customFormat="1" ht="27" customHeight="1" x14ac:dyDescent="0.4">
      <c r="A31" s="244" t="s">
        <v>51</v>
      </c>
      <c r="B31" s="251">
        <v>1</v>
      </c>
      <c r="C31" s="485" t="s">
        <v>52</v>
      </c>
      <c r="D31" s="486"/>
      <c r="E31" s="486"/>
      <c r="F31" s="486"/>
      <c r="G31" s="486"/>
      <c r="H31" s="487"/>
      <c r="I31" s="247"/>
      <c r="J31" s="247"/>
      <c r="K31" s="247"/>
      <c r="L31" s="247"/>
    </row>
    <row r="32" spans="1:14" s="3" customFormat="1" ht="27" customHeight="1" x14ac:dyDescent="0.4">
      <c r="A32" s="244" t="s">
        <v>53</v>
      </c>
      <c r="B32" s="251">
        <v>1</v>
      </c>
      <c r="C32" s="485" t="s">
        <v>54</v>
      </c>
      <c r="D32" s="486"/>
      <c r="E32" s="486"/>
      <c r="F32" s="486"/>
      <c r="G32" s="486"/>
      <c r="H32" s="487"/>
      <c r="I32" s="247"/>
      <c r="J32" s="247"/>
      <c r="K32" s="247"/>
      <c r="L32" s="252"/>
      <c r="M32" s="252"/>
      <c r="N32" s="253"/>
    </row>
    <row r="33" spans="1:14" s="3" customFormat="1" ht="17.25" customHeight="1" x14ac:dyDescent="0.3">
      <c r="A33" s="244"/>
      <c r="B33" s="254"/>
      <c r="C33" s="255"/>
      <c r="D33" s="255"/>
      <c r="E33" s="255"/>
      <c r="F33" s="255"/>
      <c r="G33" s="255"/>
      <c r="H33" s="255"/>
      <c r="I33" s="247"/>
      <c r="J33" s="247"/>
      <c r="K33" s="247"/>
      <c r="L33" s="252"/>
      <c r="M33" s="252"/>
      <c r="N33" s="253"/>
    </row>
    <row r="34" spans="1:14" s="3" customFormat="1" ht="18.75" x14ac:dyDescent="0.3">
      <c r="A34" s="244" t="s">
        <v>55</v>
      </c>
      <c r="B34" s="256">
        <f>B31/B32</f>
        <v>1</v>
      </c>
      <c r="C34" s="234" t="s">
        <v>56</v>
      </c>
      <c r="D34" s="234"/>
      <c r="E34" s="234"/>
      <c r="F34" s="234"/>
      <c r="G34" s="234"/>
      <c r="I34" s="247"/>
      <c r="J34" s="247"/>
      <c r="K34" s="247"/>
      <c r="L34" s="252"/>
      <c r="M34" s="252"/>
      <c r="N34" s="253"/>
    </row>
    <row r="35" spans="1:14" s="3" customFormat="1" ht="19.5" customHeight="1" x14ac:dyDescent="0.3">
      <c r="A35" s="244"/>
      <c r="B35" s="248"/>
      <c r="G35" s="234"/>
      <c r="I35" s="247"/>
      <c r="J35" s="247"/>
      <c r="K35" s="247"/>
      <c r="L35" s="252"/>
      <c r="M35" s="252"/>
      <c r="N35" s="253"/>
    </row>
    <row r="36" spans="1:14" s="3" customFormat="1" ht="27" customHeight="1" x14ac:dyDescent="0.4">
      <c r="A36" s="257" t="s">
        <v>57</v>
      </c>
      <c r="B36" s="258">
        <v>20</v>
      </c>
      <c r="C36" s="234"/>
      <c r="D36" s="488" t="s">
        <v>58</v>
      </c>
      <c r="E36" s="506"/>
      <c r="F36" s="488" t="s">
        <v>59</v>
      </c>
      <c r="G36" s="489"/>
      <c r="J36" s="247"/>
      <c r="K36" s="247"/>
      <c r="L36" s="252"/>
      <c r="M36" s="252"/>
      <c r="N36" s="253"/>
    </row>
    <row r="37" spans="1:14" s="3" customFormat="1" ht="27" customHeight="1" x14ac:dyDescent="0.4">
      <c r="A37" s="259" t="s">
        <v>60</v>
      </c>
      <c r="B37" s="260">
        <v>3</v>
      </c>
      <c r="C37" s="261" t="s">
        <v>61</v>
      </c>
      <c r="D37" s="262" t="s">
        <v>62</v>
      </c>
      <c r="E37" s="263" t="s">
        <v>63</v>
      </c>
      <c r="F37" s="262" t="s">
        <v>62</v>
      </c>
      <c r="G37" s="264" t="s">
        <v>63</v>
      </c>
      <c r="I37" s="265" t="s">
        <v>64</v>
      </c>
      <c r="J37" s="247"/>
      <c r="K37" s="247"/>
      <c r="L37" s="252"/>
      <c r="M37" s="252"/>
      <c r="N37" s="253"/>
    </row>
    <row r="38" spans="1:14" s="3" customFormat="1" ht="26.25" customHeight="1" x14ac:dyDescent="0.4">
      <c r="A38" s="259" t="s">
        <v>65</v>
      </c>
      <c r="B38" s="260">
        <v>25</v>
      </c>
      <c r="C38" s="266">
        <v>1</v>
      </c>
      <c r="D38" s="267">
        <v>37038839</v>
      </c>
      <c r="E38" s="268">
        <f>IF(ISBLANK(D38),"-",$D$48/$D$45*D38)</f>
        <v>38372914.826698177</v>
      </c>
      <c r="F38" s="267">
        <v>38374352</v>
      </c>
      <c r="G38" s="269">
        <f>IF(ISBLANK(F38),"-",$D$48/$F$45*F38)</f>
        <v>37696419.590091787</v>
      </c>
      <c r="I38" s="270"/>
      <c r="J38" s="247"/>
      <c r="K38" s="247"/>
      <c r="L38" s="252"/>
      <c r="M38" s="252"/>
      <c r="N38" s="253"/>
    </row>
    <row r="39" spans="1:14" s="3" customFormat="1" ht="26.25" customHeight="1" x14ac:dyDescent="0.4">
      <c r="A39" s="259" t="s">
        <v>66</v>
      </c>
      <c r="B39" s="260">
        <v>1</v>
      </c>
      <c r="C39" s="271">
        <v>2</v>
      </c>
      <c r="D39" s="272">
        <v>37124313</v>
      </c>
      <c r="E39" s="273">
        <f>IF(ISBLANK(D39),"-",$D$48/$D$45*D39)</f>
        <v>38461467.454438403</v>
      </c>
      <c r="F39" s="272">
        <v>38295752</v>
      </c>
      <c r="G39" s="274">
        <f>IF(ISBLANK(F39),"-",$D$48/$F$45*F39)</f>
        <v>37619208.160442598</v>
      </c>
      <c r="I39" s="490">
        <f>ABS((F43/D43*D42)-F42)/D42</f>
        <v>1.8505302031887851E-2</v>
      </c>
      <c r="J39" s="247"/>
      <c r="K39" s="247"/>
      <c r="L39" s="252"/>
      <c r="M39" s="252"/>
      <c r="N39" s="253"/>
    </row>
    <row r="40" spans="1:14" ht="26.25" customHeight="1" x14ac:dyDescent="0.4">
      <c r="A40" s="259" t="s">
        <v>67</v>
      </c>
      <c r="B40" s="260">
        <v>1</v>
      </c>
      <c r="C40" s="271">
        <v>3</v>
      </c>
      <c r="D40" s="272">
        <v>37049720</v>
      </c>
      <c r="E40" s="273">
        <f>IF(ISBLANK(D40),"-",$D$48/$D$45*D40)</f>
        <v>38384187.741765231</v>
      </c>
      <c r="F40" s="272">
        <v>38562529</v>
      </c>
      <c r="G40" s="274">
        <f>IF(ISBLANK(F40),"-",$D$48/$F$45*F40)</f>
        <v>37881272.200741857</v>
      </c>
      <c r="I40" s="490"/>
      <c r="L40" s="252"/>
      <c r="M40" s="252"/>
      <c r="N40" s="275"/>
    </row>
    <row r="41" spans="1:14" ht="27" customHeight="1" x14ac:dyDescent="0.4">
      <c r="A41" s="259" t="s">
        <v>68</v>
      </c>
      <c r="B41" s="260">
        <v>1</v>
      </c>
      <c r="C41" s="276">
        <v>4</v>
      </c>
      <c r="D41" s="277"/>
      <c r="E41" s="278" t="str">
        <f>IF(ISBLANK(D41),"-",$D$48/$D$45*D41)</f>
        <v>-</v>
      </c>
      <c r="F41" s="277"/>
      <c r="G41" s="279" t="str">
        <f>IF(ISBLANK(F41),"-",$D$48/$F$45*F41)</f>
        <v>-</v>
      </c>
      <c r="I41" s="280"/>
      <c r="L41" s="252"/>
      <c r="M41" s="252"/>
      <c r="N41" s="275"/>
    </row>
    <row r="42" spans="1:14" ht="27" customHeight="1" x14ac:dyDescent="0.4">
      <c r="A42" s="259" t="s">
        <v>69</v>
      </c>
      <c r="B42" s="260">
        <v>1</v>
      </c>
      <c r="C42" s="281" t="s">
        <v>70</v>
      </c>
      <c r="D42" s="282">
        <f>AVERAGE(D38:D41)</f>
        <v>37070957.333333336</v>
      </c>
      <c r="E42" s="283">
        <f>AVERAGE(E38:E41)</f>
        <v>38406190.007633932</v>
      </c>
      <c r="F42" s="282">
        <f>AVERAGE(F38:F41)</f>
        <v>38410877.666666664</v>
      </c>
      <c r="G42" s="284">
        <f>AVERAGE(G38:G41)</f>
        <v>37732299.983758748</v>
      </c>
      <c r="H42" s="285"/>
    </row>
    <row r="43" spans="1:14" ht="26.25" customHeight="1" x14ac:dyDescent="0.4">
      <c r="A43" s="259" t="s">
        <v>71</v>
      </c>
      <c r="B43" s="260">
        <v>1</v>
      </c>
      <c r="C43" s="286" t="s">
        <v>72</v>
      </c>
      <c r="D43" s="287">
        <v>20.86</v>
      </c>
      <c r="E43" s="275"/>
      <c r="F43" s="287">
        <v>22</v>
      </c>
      <c r="H43" s="285"/>
    </row>
    <row r="44" spans="1:14" ht="26.25" customHeight="1" x14ac:dyDescent="0.4">
      <c r="A44" s="259" t="s">
        <v>73</v>
      </c>
      <c r="B44" s="260">
        <v>1</v>
      </c>
      <c r="C44" s="288" t="s">
        <v>74</v>
      </c>
      <c r="D44" s="289">
        <f>D43*$B$34</f>
        <v>20.86</v>
      </c>
      <c r="E44" s="290"/>
      <c r="F44" s="289">
        <f>F43*$B$34</f>
        <v>22</v>
      </c>
      <c r="H44" s="285"/>
    </row>
    <row r="45" spans="1:14" ht="19.5" customHeight="1" x14ac:dyDescent="0.3">
      <c r="A45" s="259" t="s">
        <v>75</v>
      </c>
      <c r="B45" s="291">
        <f>(B44/B43)*(B42/B41)*(B40/B39)*(B38/B37)*B36</f>
        <v>166.66666666666669</v>
      </c>
      <c r="C45" s="288" t="s">
        <v>76</v>
      </c>
      <c r="D45" s="292">
        <f>D44*$B$30/100</f>
        <v>20.10904</v>
      </c>
      <c r="E45" s="293"/>
      <c r="F45" s="292">
        <f>F44*$B$30/100</f>
        <v>21.208000000000002</v>
      </c>
      <c r="H45" s="285"/>
    </row>
    <row r="46" spans="1:14" ht="19.5" customHeight="1" x14ac:dyDescent="0.3">
      <c r="A46" s="476" t="s">
        <v>77</v>
      </c>
      <c r="B46" s="477"/>
      <c r="C46" s="288" t="s">
        <v>78</v>
      </c>
      <c r="D46" s="294">
        <f>D45/$B$45</f>
        <v>0.12065423999999998</v>
      </c>
      <c r="E46" s="295"/>
      <c r="F46" s="296">
        <f>F45/$B$45</f>
        <v>0.127248</v>
      </c>
      <c r="H46" s="285"/>
    </row>
    <row r="47" spans="1:14" ht="27" customHeight="1" x14ac:dyDescent="0.4">
      <c r="A47" s="478"/>
      <c r="B47" s="479"/>
      <c r="C47" s="297" t="s">
        <v>79</v>
      </c>
      <c r="D47" s="298">
        <v>0.125</v>
      </c>
      <c r="E47" s="299"/>
      <c r="F47" s="295"/>
      <c r="H47" s="285"/>
    </row>
    <row r="48" spans="1:14" ht="18.75" x14ac:dyDescent="0.3">
      <c r="C48" s="300" t="s">
        <v>80</v>
      </c>
      <c r="D48" s="292">
        <f>D47*$B$45</f>
        <v>20.833333333333336</v>
      </c>
      <c r="F48" s="301"/>
      <c r="H48" s="285"/>
    </row>
    <row r="49" spans="1:12" ht="19.5" customHeight="1" x14ac:dyDescent="0.3">
      <c r="C49" s="302" t="s">
        <v>81</v>
      </c>
      <c r="D49" s="303">
        <f>D48/B34</f>
        <v>20.833333333333336</v>
      </c>
      <c r="F49" s="301"/>
      <c r="H49" s="285"/>
    </row>
    <row r="50" spans="1:12" ht="18.75" x14ac:dyDescent="0.3">
      <c r="C50" s="257" t="s">
        <v>82</v>
      </c>
      <c r="D50" s="304">
        <f>AVERAGE(E38:E41,G38:G41)</f>
        <v>38069244.995696343</v>
      </c>
      <c r="F50" s="305"/>
      <c r="H50" s="285"/>
    </row>
    <row r="51" spans="1:12" ht="18.75" x14ac:dyDescent="0.3">
      <c r="C51" s="259" t="s">
        <v>83</v>
      </c>
      <c r="D51" s="306">
        <f>STDEV(E38:E41,G38:G41)/D50</f>
        <v>9.9825605225296373E-3</v>
      </c>
      <c r="F51" s="305"/>
      <c r="H51" s="285"/>
    </row>
    <row r="52" spans="1:12" ht="19.5" customHeight="1" x14ac:dyDescent="0.3">
      <c r="C52" s="307" t="s">
        <v>19</v>
      </c>
      <c r="D52" s="308">
        <f>COUNT(E38:E41,G38:G41)</f>
        <v>6</v>
      </c>
      <c r="F52" s="305"/>
    </row>
    <row r="54" spans="1:12" ht="18.75" x14ac:dyDescent="0.3">
      <c r="A54" s="309" t="s">
        <v>1</v>
      </c>
      <c r="B54" s="310" t="s">
        <v>84</v>
      </c>
    </row>
    <row r="55" spans="1:12" ht="18.75" x14ac:dyDescent="0.3">
      <c r="A55" s="234" t="s">
        <v>85</v>
      </c>
      <c r="B55" s="311" t="str">
        <f>B21</f>
        <v>Each film coated tablet contains: Amoxicillin Trihydrate USP Eq. to Amoxicillin 500mg
Clavulanate Potassium USP Eq. to Clavulanic Acid 125mg</v>
      </c>
    </row>
    <row r="56" spans="1:12" ht="26.25" customHeight="1" x14ac:dyDescent="0.4">
      <c r="A56" s="312" t="s">
        <v>86</v>
      </c>
      <c r="B56" s="313">
        <v>125</v>
      </c>
      <c r="C56" s="234" t="str">
        <f>B20</f>
        <v>Amoxicillin &amp; Clavulanic Acid</v>
      </c>
      <c r="H56" s="314"/>
    </row>
    <row r="57" spans="1:12" ht="18.75" x14ac:dyDescent="0.3">
      <c r="A57" s="311" t="s">
        <v>87</v>
      </c>
      <c r="B57" s="403">
        <f>Uniformity!C46</f>
        <v>1032.8405</v>
      </c>
      <c r="H57" s="314"/>
    </row>
    <row r="58" spans="1:12" ht="19.5" customHeight="1" x14ac:dyDescent="0.3">
      <c r="H58" s="314"/>
    </row>
    <row r="59" spans="1:12" s="3" customFormat="1" ht="27" customHeight="1" x14ac:dyDescent="0.4">
      <c r="A59" s="257" t="s">
        <v>88</v>
      </c>
      <c r="B59" s="258">
        <v>100</v>
      </c>
      <c r="C59" s="234"/>
      <c r="D59" s="315" t="s">
        <v>89</v>
      </c>
      <c r="E59" s="316" t="s">
        <v>61</v>
      </c>
      <c r="F59" s="316" t="s">
        <v>62</v>
      </c>
      <c r="G59" s="316" t="s">
        <v>90</v>
      </c>
      <c r="H59" s="261" t="s">
        <v>91</v>
      </c>
      <c r="L59" s="247"/>
    </row>
    <row r="60" spans="1:12" s="3" customFormat="1" ht="26.25" customHeight="1" x14ac:dyDescent="0.4">
      <c r="A60" s="259" t="s">
        <v>92</v>
      </c>
      <c r="B60" s="260">
        <v>1</v>
      </c>
      <c r="C60" s="493" t="s">
        <v>93</v>
      </c>
      <c r="D60" s="496">
        <v>163.72</v>
      </c>
      <c r="E60" s="317">
        <v>1</v>
      </c>
      <c r="F60" s="318">
        <v>55929698</v>
      </c>
      <c r="G60" s="404">
        <f>IF(ISBLANK(F60),"-",(F60/$D$50*$D$47*$B$68)*($B$57/$D$60))</f>
        <v>115.85365690620212</v>
      </c>
      <c r="H60" s="319">
        <f t="shared" ref="H60:H71" si="0">IF(ISBLANK(F60),"-",G60/$B$56)</f>
        <v>0.9268292552496169</v>
      </c>
      <c r="L60" s="247"/>
    </row>
    <row r="61" spans="1:12" s="3" customFormat="1" ht="26.25" customHeight="1" x14ac:dyDescent="0.4">
      <c r="A61" s="259" t="s">
        <v>94</v>
      </c>
      <c r="B61" s="260">
        <v>1</v>
      </c>
      <c r="C61" s="494"/>
      <c r="D61" s="497"/>
      <c r="E61" s="320">
        <v>2</v>
      </c>
      <c r="F61" s="272">
        <v>55858827</v>
      </c>
      <c r="G61" s="405">
        <f>IF(ISBLANK(F61),"-",(F61/$D$50*$D$47*$B$68)*($B$57/$D$60))</f>
        <v>115.70685360112081</v>
      </c>
      <c r="H61" s="321">
        <f t="shared" si="0"/>
        <v>0.92565482880896655</v>
      </c>
      <c r="L61" s="247"/>
    </row>
    <row r="62" spans="1:12" s="3" customFormat="1" ht="26.25" customHeight="1" x14ac:dyDescent="0.4">
      <c r="A62" s="259" t="s">
        <v>95</v>
      </c>
      <c r="B62" s="260">
        <v>1</v>
      </c>
      <c r="C62" s="494"/>
      <c r="D62" s="497"/>
      <c r="E62" s="320">
        <v>3</v>
      </c>
      <c r="F62" s="322">
        <v>55762214</v>
      </c>
      <c r="G62" s="405">
        <f>IF(ISBLANK(F62),"-",(F62/$D$50*$D$47*$B$68)*($B$57/$D$60))</f>
        <v>115.50672791199803</v>
      </c>
      <c r="H62" s="321">
        <f t="shared" si="0"/>
        <v>0.92405382329598418</v>
      </c>
      <c r="L62" s="247"/>
    </row>
    <row r="63" spans="1:12" ht="27" customHeight="1" x14ac:dyDescent="0.4">
      <c r="A63" s="259" t="s">
        <v>96</v>
      </c>
      <c r="B63" s="260">
        <v>1</v>
      </c>
      <c r="C63" s="504"/>
      <c r="D63" s="498"/>
      <c r="E63" s="323">
        <v>4</v>
      </c>
      <c r="F63" s="324"/>
      <c r="G63" s="405" t="str">
        <f>IF(ISBLANK(F63),"-",(F63/$D$50*$D$47*$B$68)*($B$57/$D$60))</f>
        <v>-</v>
      </c>
      <c r="H63" s="321" t="str">
        <f t="shared" si="0"/>
        <v>-</v>
      </c>
    </row>
    <row r="64" spans="1:12" ht="26.25" customHeight="1" x14ac:dyDescent="0.4">
      <c r="A64" s="259" t="s">
        <v>97</v>
      </c>
      <c r="B64" s="260">
        <v>1</v>
      </c>
      <c r="C64" s="493" t="s">
        <v>98</v>
      </c>
      <c r="D64" s="496">
        <v>136.22</v>
      </c>
      <c r="E64" s="317">
        <v>1</v>
      </c>
      <c r="F64" s="318">
        <v>49068607</v>
      </c>
      <c r="G64" s="406"/>
      <c r="H64" s="325"/>
    </row>
    <row r="65" spans="1:8" ht="26.25" customHeight="1" x14ac:dyDescent="0.4">
      <c r="A65" s="259" t="s">
        <v>99</v>
      </c>
      <c r="B65" s="260">
        <v>1</v>
      </c>
      <c r="C65" s="494"/>
      <c r="D65" s="497"/>
      <c r="E65" s="320">
        <v>2</v>
      </c>
      <c r="F65" s="272">
        <v>49103378</v>
      </c>
      <c r="G65" s="407"/>
      <c r="H65" s="326"/>
    </row>
    <row r="66" spans="1:8" ht="26.25" customHeight="1" x14ac:dyDescent="0.4">
      <c r="A66" s="259" t="s">
        <v>100</v>
      </c>
      <c r="B66" s="260">
        <v>1</v>
      </c>
      <c r="C66" s="494"/>
      <c r="D66" s="497"/>
      <c r="E66" s="320">
        <v>3</v>
      </c>
      <c r="F66" s="272">
        <v>49225410</v>
      </c>
      <c r="G66" s="407"/>
      <c r="H66" s="326"/>
    </row>
    <row r="67" spans="1:8" ht="27" customHeight="1" x14ac:dyDescent="0.4">
      <c r="A67" s="259" t="s">
        <v>101</v>
      </c>
      <c r="B67" s="260">
        <v>1</v>
      </c>
      <c r="C67" s="504"/>
      <c r="D67" s="498"/>
      <c r="E67" s="323">
        <v>4</v>
      </c>
      <c r="F67" s="324"/>
      <c r="G67" s="408"/>
      <c r="H67" s="327"/>
    </row>
    <row r="68" spans="1:8" ht="26.25" customHeight="1" x14ac:dyDescent="0.4">
      <c r="A68" s="259" t="s">
        <v>102</v>
      </c>
      <c r="B68" s="328">
        <f>(B67/B66)*(B65/B64)*(B63/B62)*(B61/B60)*B59</f>
        <v>100</v>
      </c>
      <c r="C68" s="493" t="s">
        <v>103</v>
      </c>
      <c r="D68" s="496">
        <v>144.51</v>
      </c>
      <c r="E68" s="317">
        <v>1</v>
      </c>
      <c r="F68" s="318">
        <v>50506171</v>
      </c>
      <c r="G68" s="406">
        <f>IF(ISBLANK(F68),"-",(F68/$D$50*$D$47*$B$68)*($B$57/$D$68))</f>
        <v>118.52652511847502</v>
      </c>
      <c r="H68" s="321">
        <f t="shared" si="0"/>
        <v>0.94821220094780012</v>
      </c>
    </row>
    <row r="69" spans="1:8" ht="27" customHeight="1" x14ac:dyDescent="0.4">
      <c r="A69" s="307" t="s">
        <v>104</v>
      </c>
      <c r="B69" s="329">
        <f>(D47*B68)/B56*B57</f>
        <v>103.28405000000001</v>
      </c>
      <c r="C69" s="494"/>
      <c r="D69" s="497"/>
      <c r="E69" s="320">
        <v>2</v>
      </c>
      <c r="F69" s="272">
        <v>50448994</v>
      </c>
      <c r="G69" s="407">
        <f>IF(ISBLANK(F69),"-",(F69/$D$50*$D$47*$B$68)*($B$57/$D$68))</f>
        <v>118.39234367108912</v>
      </c>
      <c r="H69" s="321">
        <f t="shared" si="0"/>
        <v>0.94713874936871301</v>
      </c>
    </row>
    <row r="70" spans="1:8" ht="26.25" customHeight="1" x14ac:dyDescent="0.4">
      <c r="A70" s="499" t="s">
        <v>77</v>
      </c>
      <c r="B70" s="500"/>
      <c r="C70" s="494"/>
      <c r="D70" s="497"/>
      <c r="E70" s="320">
        <v>3</v>
      </c>
      <c r="F70" s="272">
        <v>50134181</v>
      </c>
      <c r="G70" s="407">
        <f>IF(ISBLANK(F70),"-",(F70/$D$50*$D$47*$B$68)*($B$57/$D$68))</f>
        <v>117.65354898098833</v>
      </c>
      <c r="H70" s="321">
        <f t="shared" si="0"/>
        <v>0.94122839184790663</v>
      </c>
    </row>
    <row r="71" spans="1:8" ht="27" customHeight="1" x14ac:dyDescent="0.4">
      <c r="A71" s="501"/>
      <c r="B71" s="502"/>
      <c r="C71" s="495"/>
      <c r="D71" s="498"/>
      <c r="E71" s="323">
        <v>4</v>
      </c>
      <c r="F71" s="324"/>
      <c r="G71" s="408" t="str">
        <f>IF(ISBLANK(F71),"-",(F71/$D$50*$D$47*$B$68)*($B$57/$D$68))</f>
        <v>-</v>
      </c>
      <c r="H71" s="330" t="str">
        <f t="shared" si="0"/>
        <v>-</v>
      </c>
    </row>
    <row r="72" spans="1:8" ht="26.25" customHeight="1" x14ac:dyDescent="0.4">
      <c r="A72" s="331"/>
      <c r="B72" s="331"/>
      <c r="C72" s="331"/>
      <c r="D72" s="331"/>
      <c r="E72" s="331"/>
      <c r="F72" s="333" t="s">
        <v>70</v>
      </c>
      <c r="G72" s="413">
        <f>AVERAGE(G60:G71)</f>
        <v>116.93994269831227</v>
      </c>
      <c r="H72" s="334">
        <f>AVERAGE(H60:H71)</f>
        <v>0.93551954158649797</v>
      </c>
    </row>
    <row r="73" spans="1:8" ht="26.25" customHeight="1" x14ac:dyDescent="0.4">
      <c r="C73" s="331"/>
      <c r="D73" s="331"/>
      <c r="E73" s="331"/>
      <c r="F73" s="335" t="s">
        <v>83</v>
      </c>
      <c r="G73" s="409">
        <f>STDEV(G60:G71)/G72</f>
        <v>1.2027155426347023E-2</v>
      </c>
      <c r="H73" s="409">
        <f>STDEV(H60:H71)/H72</f>
        <v>1.2027155426347023E-2</v>
      </c>
    </row>
    <row r="74" spans="1:8" ht="27" customHeight="1" x14ac:dyDescent="0.4">
      <c r="A74" s="331"/>
      <c r="B74" s="331"/>
      <c r="C74" s="332"/>
      <c r="D74" s="332"/>
      <c r="E74" s="336"/>
      <c r="F74" s="337" t="s">
        <v>19</v>
      </c>
      <c r="G74" s="338">
        <f>COUNT(G60:G71)</f>
        <v>6</v>
      </c>
      <c r="H74" s="338">
        <f>COUNT(H60:H71)</f>
        <v>6</v>
      </c>
    </row>
    <row r="76" spans="1:8" ht="26.25" customHeight="1" x14ac:dyDescent="0.4">
      <c r="A76" s="243" t="s">
        <v>105</v>
      </c>
      <c r="B76" s="339" t="s">
        <v>106</v>
      </c>
      <c r="C76" s="480" t="str">
        <f>B20</f>
        <v>Amoxicillin &amp; Clavulanic Acid</v>
      </c>
      <c r="D76" s="480"/>
      <c r="E76" s="340" t="s">
        <v>107</v>
      </c>
      <c r="F76" s="340"/>
      <c r="G76" s="341">
        <f>H72</f>
        <v>0.93551954158649797</v>
      </c>
      <c r="H76" s="342"/>
    </row>
    <row r="77" spans="1:8" ht="18.75" x14ac:dyDescent="0.3">
      <c r="A77" s="242" t="s">
        <v>108</v>
      </c>
      <c r="B77" s="242" t="s">
        <v>109</v>
      </c>
    </row>
    <row r="78" spans="1:8" ht="18.75" x14ac:dyDescent="0.3">
      <c r="A78" s="242"/>
      <c r="B78" s="242"/>
    </row>
    <row r="79" spans="1:8" ht="26.25" customHeight="1" x14ac:dyDescent="0.4">
      <c r="A79" s="243" t="s">
        <v>3</v>
      </c>
      <c r="B79" s="503" t="str">
        <f>B26</f>
        <v>Clavulanic acid</v>
      </c>
      <c r="C79" s="503"/>
    </row>
    <row r="80" spans="1:8" ht="26.25" customHeight="1" x14ac:dyDescent="0.4">
      <c r="A80" s="244" t="s">
        <v>47</v>
      </c>
      <c r="B80" s="503">
        <f>B27</f>
        <v>0</v>
      </c>
      <c r="C80" s="503"/>
    </row>
    <row r="81" spans="1:12" ht="27" customHeight="1" x14ac:dyDescent="0.4">
      <c r="A81" s="244" t="s">
        <v>5</v>
      </c>
      <c r="B81" s="343">
        <f>B28</f>
        <v>96.4</v>
      </c>
    </row>
    <row r="82" spans="1:12" s="3" customFormat="1" ht="27" customHeight="1" x14ac:dyDescent="0.4">
      <c r="A82" s="244" t="s">
        <v>48</v>
      </c>
      <c r="B82" s="246">
        <v>0</v>
      </c>
      <c r="C82" s="482" t="s">
        <v>49</v>
      </c>
      <c r="D82" s="483"/>
      <c r="E82" s="483"/>
      <c r="F82" s="483"/>
      <c r="G82" s="484"/>
      <c r="I82" s="247"/>
      <c r="J82" s="247"/>
      <c r="K82" s="247"/>
      <c r="L82" s="247"/>
    </row>
    <row r="83" spans="1:12" s="3" customFormat="1" ht="19.5" customHeight="1" x14ac:dyDescent="0.3">
      <c r="A83" s="244" t="s">
        <v>50</v>
      </c>
      <c r="B83" s="248">
        <f>B81-B82</f>
        <v>96.4</v>
      </c>
      <c r="C83" s="249"/>
      <c r="D83" s="249"/>
      <c r="E83" s="249"/>
      <c r="F83" s="249"/>
      <c r="G83" s="250"/>
      <c r="I83" s="247"/>
      <c r="J83" s="247"/>
      <c r="K83" s="247"/>
      <c r="L83" s="247"/>
    </row>
    <row r="84" spans="1:12" s="3" customFormat="1" ht="27" customHeight="1" x14ac:dyDescent="0.4">
      <c r="A84" s="244" t="s">
        <v>51</v>
      </c>
      <c r="B84" s="251">
        <v>1</v>
      </c>
      <c r="C84" s="485" t="s">
        <v>110</v>
      </c>
      <c r="D84" s="486"/>
      <c r="E84" s="486"/>
      <c r="F84" s="486"/>
      <c r="G84" s="486"/>
      <c r="H84" s="487"/>
      <c r="I84" s="247"/>
      <c r="J84" s="247"/>
      <c r="K84" s="247"/>
      <c r="L84" s="247"/>
    </row>
    <row r="85" spans="1:12" s="3" customFormat="1" ht="27" customHeight="1" x14ac:dyDescent="0.4">
      <c r="A85" s="244" t="s">
        <v>53</v>
      </c>
      <c r="B85" s="251">
        <v>1</v>
      </c>
      <c r="C85" s="485" t="s">
        <v>111</v>
      </c>
      <c r="D85" s="486"/>
      <c r="E85" s="486"/>
      <c r="F85" s="486"/>
      <c r="G85" s="486"/>
      <c r="H85" s="487"/>
      <c r="I85" s="247"/>
      <c r="J85" s="247"/>
      <c r="K85" s="247"/>
      <c r="L85" s="247"/>
    </row>
    <row r="86" spans="1:12" s="3" customFormat="1" ht="18.75" x14ac:dyDescent="0.3">
      <c r="A86" s="244"/>
      <c r="B86" s="254"/>
      <c r="C86" s="255"/>
      <c r="D86" s="255"/>
      <c r="E86" s="255"/>
      <c r="F86" s="255"/>
      <c r="G86" s="255"/>
      <c r="H86" s="255"/>
      <c r="I86" s="247"/>
      <c r="J86" s="247"/>
      <c r="K86" s="247"/>
      <c r="L86" s="247"/>
    </row>
    <row r="87" spans="1:12" s="3" customFormat="1" ht="18.75" x14ac:dyDescent="0.3">
      <c r="A87" s="244" t="s">
        <v>55</v>
      </c>
      <c r="B87" s="256">
        <f>B84/B85</f>
        <v>1</v>
      </c>
      <c r="C87" s="234" t="s">
        <v>56</v>
      </c>
      <c r="D87" s="234"/>
      <c r="E87" s="234"/>
      <c r="F87" s="234"/>
      <c r="G87" s="234"/>
      <c r="I87" s="247"/>
      <c r="J87" s="247"/>
      <c r="K87" s="247"/>
      <c r="L87" s="247"/>
    </row>
    <row r="88" spans="1:12" ht="19.5" customHeight="1" x14ac:dyDescent="0.3">
      <c r="A88" s="242"/>
      <c r="B88" s="242"/>
    </row>
    <row r="89" spans="1:12" ht="27" customHeight="1" x14ac:dyDescent="0.4">
      <c r="A89" s="257" t="s">
        <v>57</v>
      </c>
      <c r="B89" s="258">
        <v>10</v>
      </c>
      <c r="D89" s="344" t="s">
        <v>58</v>
      </c>
      <c r="E89" s="345"/>
      <c r="F89" s="488" t="s">
        <v>59</v>
      </c>
      <c r="G89" s="489"/>
    </row>
    <row r="90" spans="1:12" ht="27" customHeight="1" x14ac:dyDescent="0.4">
      <c r="A90" s="259" t="s">
        <v>60</v>
      </c>
      <c r="B90" s="260">
        <v>3</v>
      </c>
      <c r="C90" s="346" t="s">
        <v>61</v>
      </c>
      <c r="D90" s="262" t="s">
        <v>62</v>
      </c>
      <c r="E90" s="263" t="s">
        <v>63</v>
      </c>
      <c r="F90" s="262" t="s">
        <v>62</v>
      </c>
      <c r="G90" s="347" t="s">
        <v>63</v>
      </c>
      <c r="I90" s="265" t="s">
        <v>64</v>
      </c>
    </row>
    <row r="91" spans="1:12" ht="26.25" customHeight="1" x14ac:dyDescent="0.4">
      <c r="A91" s="259" t="s">
        <v>65</v>
      </c>
      <c r="B91" s="260">
        <v>20</v>
      </c>
      <c r="C91" s="348">
        <v>1</v>
      </c>
      <c r="D91" s="267">
        <v>43817558</v>
      </c>
      <c r="E91" s="268">
        <f>IF(ISBLANK(D91),"-",$D$101/$D$98*D91)</f>
        <v>40940605.941282034</v>
      </c>
      <c r="F91" s="267">
        <v>52879820</v>
      </c>
      <c r="G91" s="269">
        <f>IF(ISBLANK(F91),"-",$D$101/$F$98*F91)</f>
        <v>41260180.718958288</v>
      </c>
      <c r="I91" s="270"/>
    </row>
    <row r="92" spans="1:12" ht="26.25" customHeight="1" x14ac:dyDescent="0.4">
      <c r="A92" s="259" t="s">
        <v>66</v>
      </c>
      <c r="B92" s="260">
        <v>1</v>
      </c>
      <c r="C92" s="332">
        <v>2</v>
      </c>
      <c r="D92" s="272">
        <v>43839853</v>
      </c>
      <c r="E92" s="273">
        <f>IF(ISBLANK(D92),"-",$D$101/$D$98*D92)</f>
        <v>40961437.106940806</v>
      </c>
      <c r="F92" s="272">
        <v>52992982</v>
      </c>
      <c r="G92" s="274">
        <f>IF(ISBLANK(F92),"-",$D$101/$F$98*F92)</f>
        <v>41348476.869938351</v>
      </c>
      <c r="I92" s="490">
        <f>ABS((F96/D96*D95)-F95)/D95</f>
        <v>1.2575925159297051E-2</v>
      </c>
    </row>
    <row r="93" spans="1:12" ht="26.25" customHeight="1" x14ac:dyDescent="0.4">
      <c r="A93" s="259" t="s">
        <v>67</v>
      </c>
      <c r="B93" s="260">
        <v>1</v>
      </c>
      <c r="C93" s="332">
        <v>3</v>
      </c>
      <c r="D93" s="272">
        <v>43772635</v>
      </c>
      <c r="E93" s="273">
        <f>IF(ISBLANK(D93),"-",$D$101/$D$98*D93)</f>
        <v>40898632.473917648</v>
      </c>
      <c r="F93" s="272">
        <v>53163697</v>
      </c>
      <c r="G93" s="274">
        <f>IF(ISBLANK(F93),"-",$D$101/$F$98*F93)</f>
        <v>41481679.512296759</v>
      </c>
      <c r="I93" s="490"/>
    </row>
    <row r="94" spans="1:12" ht="27" customHeight="1" x14ac:dyDescent="0.4">
      <c r="A94" s="259" t="s">
        <v>68</v>
      </c>
      <c r="B94" s="260">
        <v>1</v>
      </c>
      <c r="C94" s="349">
        <v>4</v>
      </c>
      <c r="D94" s="277"/>
      <c r="E94" s="278" t="str">
        <f>IF(ISBLANK(D94),"-",$D$101/$D$98*D94)</f>
        <v>-</v>
      </c>
      <c r="F94" s="350"/>
      <c r="G94" s="279" t="str">
        <f>IF(ISBLANK(F94),"-",$D$101/$F$98*F94)</f>
        <v>-</v>
      </c>
      <c r="I94" s="280"/>
    </row>
    <row r="95" spans="1:12" ht="27" customHeight="1" x14ac:dyDescent="0.4">
      <c r="A95" s="259" t="s">
        <v>69</v>
      </c>
      <c r="B95" s="260">
        <v>1</v>
      </c>
      <c r="C95" s="351" t="s">
        <v>70</v>
      </c>
      <c r="D95" s="352">
        <f>AVERAGE(D91:D94)</f>
        <v>43810015.333333336</v>
      </c>
      <c r="E95" s="283">
        <f>AVERAGE(E91:E94)</f>
        <v>40933558.507380165</v>
      </c>
      <c r="F95" s="353">
        <f>AVERAGE(F91:F94)</f>
        <v>53012166.333333336</v>
      </c>
      <c r="G95" s="354">
        <f>AVERAGE(G91:G94)</f>
        <v>41363445.700397797</v>
      </c>
    </row>
    <row r="96" spans="1:12" ht="26.25" customHeight="1" x14ac:dyDescent="0.4">
      <c r="A96" s="259" t="s">
        <v>71</v>
      </c>
      <c r="B96" s="245">
        <v>1</v>
      </c>
      <c r="C96" s="355" t="s">
        <v>112</v>
      </c>
      <c r="D96" s="356">
        <v>10.28</v>
      </c>
      <c r="E96" s="275"/>
      <c r="F96" s="287">
        <v>12.31</v>
      </c>
    </row>
    <row r="97" spans="1:10" ht="26.25" customHeight="1" x14ac:dyDescent="0.4">
      <c r="A97" s="259" t="s">
        <v>73</v>
      </c>
      <c r="B97" s="245">
        <v>1</v>
      </c>
      <c r="C97" s="357" t="s">
        <v>113</v>
      </c>
      <c r="D97" s="358">
        <f>D96*$B$87</f>
        <v>10.28</v>
      </c>
      <c r="E97" s="290"/>
      <c r="F97" s="289">
        <f>F96*$B$87</f>
        <v>12.31</v>
      </c>
    </row>
    <row r="98" spans="1:10" ht="19.5" customHeight="1" x14ac:dyDescent="0.3">
      <c r="A98" s="259" t="s">
        <v>75</v>
      </c>
      <c r="B98" s="359">
        <f>(B97/B96)*(B95/B94)*(B93/B92)*(B91/B90)*B89</f>
        <v>66.666666666666671</v>
      </c>
      <c r="C98" s="357" t="s">
        <v>114</v>
      </c>
      <c r="D98" s="360">
        <f>D97*$B$83/100</f>
        <v>9.9099199999999996</v>
      </c>
      <c r="E98" s="293"/>
      <c r="F98" s="292">
        <f>F97*$B$83/100</f>
        <v>11.866840000000002</v>
      </c>
    </row>
    <row r="99" spans="1:10" ht="19.5" customHeight="1" x14ac:dyDescent="0.3">
      <c r="A99" s="476" t="s">
        <v>77</v>
      </c>
      <c r="B99" s="491"/>
      <c r="C99" s="357" t="s">
        <v>115</v>
      </c>
      <c r="D99" s="361">
        <f>D98/$B$98</f>
        <v>0.14864879999999997</v>
      </c>
      <c r="E99" s="293"/>
      <c r="F99" s="296">
        <f>F98/$B$98</f>
        <v>0.17800260000000001</v>
      </c>
      <c r="G99" s="362"/>
      <c r="H99" s="285"/>
    </row>
    <row r="100" spans="1:10" ht="19.5" customHeight="1" x14ac:dyDescent="0.3">
      <c r="A100" s="478"/>
      <c r="B100" s="492"/>
      <c r="C100" s="357" t="s">
        <v>79</v>
      </c>
      <c r="D100" s="363">
        <f>$B$56/$B$116</f>
        <v>0.1388888888888889</v>
      </c>
      <c r="F100" s="301"/>
      <c r="G100" s="364"/>
      <c r="H100" s="285"/>
    </row>
    <row r="101" spans="1:10" ht="18.75" x14ac:dyDescent="0.3">
      <c r="C101" s="357" t="s">
        <v>80</v>
      </c>
      <c r="D101" s="358">
        <f>D100*$B$98</f>
        <v>9.2592592592592595</v>
      </c>
      <c r="F101" s="301"/>
      <c r="G101" s="362"/>
      <c r="H101" s="285"/>
    </row>
    <row r="102" spans="1:10" ht="19.5" customHeight="1" x14ac:dyDescent="0.3">
      <c r="C102" s="365" t="s">
        <v>81</v>
      </c>
      <c r="D102" s="366">
        <f>D101/B34</f>
        <v>9.2592592592592595</v>
      </c>
      <c r="F102" s="305"/>
      <c r="G102" s="362"/>
      <c r="H102" s="285"/>
      <c r="J102" s="367"/>
    </row>
    <row r="103" spans="1:10" ht="18.75" x14ac:dyDescent="0.3">
      <c r="C103" s="368" t="s">
        <v>116</v>
      </c>
      <c r="D103" s="369">
        <f>AVERAGE(E91:E94,G91:G94)</f>
        <v>41148502.103888981</v>
      </c>
      <c r="F103" s="305"/>
      <c r="G103" s="370"/>
      <c r="H103" s="285"/>
      <c r="J103" s="371"/>
    </row>
    <row r="104" spans="1:10" ht="18.75" x14ac:dyDescent="0.3">
      <c r="C104" s="335" t="s">
        <v>83</v>
      </c>
      <c r="D104" s="372">
        <f>STDEV(E91:E94,G91:G94)/D103</f>
        <v>5.9935226101404376E-3</v>
      </c>
      <c r="F104" s="305"/>
      <c r="G104" s="362"/>
      <c r="H104" s="285"/>
      <c r="J104" s="371"/>
    </row>
    <row r="105" spans="1:10" ht="19.5" customHeight="1" x14ac:dyDescent="0.3">
      <c r="C105" s="337" t="s">
        <v>19</v>
      </c>
      <c r="D105" s="373">
        <f>COUNT(E91:E94,G91:G94)</f>
        <v>6</v>
      </c>
      <c r="F105" s="305"/>
      <c r="G105" s="362"/>
      <c r="H105" s="285"/>
      <c r="J105" s="371"/>
    </row>
    <row r="106" spans="1:10" ht="19.5" customHeight="1" x14ac:dyDescent="0.3">
      <c r="A106" s="309"/>
      <c r="B106" s="309"/>
      <c r="C106" s="309"/>
      <c r="D106" s="309"/>
      <c r="E106" s="309"/>
    </row>
    <row r="107" spans="1:10" ht="26.25" customHeight="1" x14ac:dyDescent="0.4">
      <c r="A107" s="257" t="s">
        <v>117</v>
      </c>
      <c r="B107" s="258">
        <v>900</v>
      </c>
      <c r="C107" s="374" t="s">
        <v>118</v>
      </c>
      <c r="D107" s="375" t="s">
        <v>62</v>
      </c>
      <c r="E107" s="376" t="s">
        <v>119</v>
      </c>
      <c r="F107" s="377" t="s">
        <v>120</v>
      </c>
    </row>
    <row r="108" spans="1:10" ht="26.25" customHeight="1" x14ac:dyDescent="0.4">
      <c r="A108" s="259" t="s">
        <v>121</v>
      </c>
      <c r="B108" s="260">
        <v>1</v>
      </c>
      <c r="C108" s="378">
        <v>1</v>
      </c>
      <c r="D108" s="379">
        <v>41785630</v>
      </c>
      <c r="E108" s="410">
        <f t="shared" ref="E108:E113" si="1">IF(ISBLANK(D108),"-",D108/$D$103*$D$100*$B$116)</f>
        <v>126.93545288265429</v>
      </c>
      <c r="F108" s="380">
        <f t="shared" ref="F108:F113" si="2">IF(ISBLANK(D108), "-", E108/$B$56)</f>
        <v>1.0154836230612343</v>
      </c>
    </row>
    <row r="109" spans="1:10" ht="26.25" customHeight="1" x14ac:dyDescent="0.4">
      <c r="A109" s="259" t="s">
        <v>94</v>
      </c>
      <c r="B109" s="260">
        <v>1</v>
      </c>
      <c r="C109" s="378">
        <v>2</v>
      </c>
      <c r="D109" s="379">
        <v>42881405</v>
      </c>
      <c r="E109" s="411">
        <f t="shared" si="1"/>
        <v>130.2641736864926</v>
      </c>
      <c r="F109" s="381">
        <f t="shared" si="2"/>
        <v>1.0421133894919408</v>
      </c>
    </row>
    <row r="110" spans="1:10" ht="26.25" customHeight="1" x14ac:dyDescent="0.4">
      <c r="A110" s="259" t="s">
        <v>95</v>
      </c>
      <c r="B110" s="260">
        <v>1</v>
      </c>
      <c r="C110" s="378">
        <v>3</v>
      </c>
      <c r="D110" s="379">
        <v>40872374</v>
      </c>
      <c r="E110" s="411">
        <f t="shared" si="1"/>
        <v>124.16118421761796</v>
      </c>
      <c r="F110" s="381">
        <f t="shared" si="2"/>
        <v>0.99328947374094367</v>
      </c>
    </row>
    <row r="111" spans="1:10" ht="26.25" customHeight="1" x14ac:dyDescent="0.4">
      <c r="A111" s="259" t="s">
        <v>96</v>
      </c>
      <c r="B111" s="260">
        <v>1</v>
      </c>
      <c r="C111" s="378">
        <v>4</v>
      </c>
      <c r="D111" s="379">
        <v>41875622</v>
      </c>
      <c r="E111" s="411">
        <f t="shared" si="1"/>
        <v>127.20882856888458</v>
      </c>
      <c r="F111" s="381">
        <f t="shared" si="2"/>
        <v>1.0176706285510766</v>
      </c>
    </row>
    <row r="112" spans="1:10" ht="26.25" customHeight="1" x14ac:dyDescent="0.4">
      <c r="A112" s="259" t="s">
        <v>97</v>
      </c>
      <c r="B112" s="260">
        <v>1</v>
      </c>
      <c r="C112" s="378">
        <v>5</v>
      </c>
      <c r="D112" s="379">
        <v>41758050</v>
      </c>
      <c r="E112" s="411">
        <f t="shared" si="1"/>
        <v>126.85167097508214</v>
      </c>
      <c r="F112" s="381">
        <f t="shared" si="2"/>
        <v>1.0148133678006572</v>
      </c>
    </row>
    <row r="113" spans="1:10" ht="26.25" customHeight="1" x14ac:dyDescent="0.4">
      <c r="A113" s="259" t="s">
        <v>99</v>
      </c>
      <c r="B113" s="260">
        <v>1</v>
      </c>
      <c r="C113" s="382">
        <v>6</v>
      </c>
      <c r="D113" s="383">
        <v>42287354</v>
      </c>
      <c r="E113" s="412">
        <f t="shared" si="1"/>
        <v>128.45957883605251</v>
      </c>
      <c r="F113" s="384">
        <f t="shared" si="2"/>
        <v>1.0276766306884202</v>
      </c>
    </row>
    <row r="114" spans="1:10" ht="26.25" customHeight="1" x14ac:dyDescent="0.4">
      <c r="A114" s="259" t="s">
        <v>100</v>
      </c>
      <c r="B114" s="260">
        <v>1</v>
      </c>
      <c r="C114" s="378"/>
      <c r="D114" s="332"/>
      <c r="E114" s="233"/>
      <c r="F114" s="385"/>
    </row>
    <row r="115" spans="1:10" ht="26.25" customHeight="1" x14ac:dyDescent="0.4">
      <c r="A115" s="259" t="s">
        <v>101</v>
      </c>
      <c r="B115" s="260">
        <v>1</v>
      </c>
      <c r="C115" s="378"/>
      <c r="D115" s="386" t="s">
        <v>70</v>
      </c>
      <c r="E115" s="414">
        <f>AVERAGE(E108:E113)</f>
        <v>127.31348152779735</v>
      </c>
      <c r="F115" s="387">
        <f>AVERAGE(F108:F113)</f>
        <v>1.0185078522223787</v>
      </c>
    </row>
    <row r="116" spans="1:10" ht="27" customHeight="1" x14ac:dyDescent="0.4">
      <c r="A116" s="259" t="s">
        <v>102</v>
      </c>
      <c r="B116" s="291">
        <f>(B115/B114)*(B113/B112)*(B111/B110)*(B109/B108)*B107</f>
        <v>900</v>
      </c>
      <c r="C116" s="388"/>
      <c r="D116" s="351" t="s">
        <v>83</v>
      </c>
      <c r="E116" s="389">
        <f>STDEV(E108:E113)/E115</f>
        <v>1.5836078191226888E-2</v>
      </c>
      <c r="F116" s="389">
        <f>STDEV(F108:F113)/F115</f>
        <v>1.5836078191226888E-2</v>
      </c>
      <c r="I116" s="233"/>
    </row>
    <row r="117" spans="1:10" ht="27" customHeight="1" x14ac:dyDescent="0.4">
      <c r="A117" s="476" t="s">
        <v>77</v>
      </c>
      <c r="B117" s="477"/>
      <c r="C117" s="390"/>
      <c r="D117" s="391" t="s">
        <v>19</v>
      </c>
      <c r="E117" s="392">
        <f>COUNT(E108:E113)</f>
        <v>6</v>
      </c>
      <c r="F117" s="392">
        <f>COUNT(F108:F113)</f>
        <v>6</v>
      </c>
      <c r="I117" s="233"/>
      <c r="J117" s="371"/>
    </row>
    <row r="118" spans="1:10" ht="19.5" customHeight="1" x14ac:dyDescent="0.3">
      <c r="A118" s="478"/>
      <c r="B118" s="479"/>
      <c r="C118" s="233"/>
      <c r="D118" s="233"/>
      <c r="E118" s="233"/>
      <c r="F118" s="332"/>
      <c r="G118" s="233"/>
      <c r="H118" s="233"/>
      <c r="I118" s="233"/>
    </row>
    <row r="119" spans="1:10" ht="18.75" x14ac:dyDescent="0.3">
      <c r="A119" s="401"/>
      <c r="B119" s="255"/>
      <c r="C119" s="233"/>
      <c r="D119" s="233"/>
      <c r="E119" s="233"/>
      <c r="F119" s="332"/>
      <c r="G119" s="233"/>
      <c r="H119" s="233"/>
      <c r="I119" s="233"/>
    </row>
    <row r="120" spans="1:10" ht="26.25" customHeight="1" x14ac:dyDescent="0.4">
      <c r="A120" s="243" t="s">
        <v>105</v>
      </c>
      <c r="B120" s="339" t="s">
        <v>122</v>
      </c>
      <c r="C120" s="480" t="str">
        <f>B20</f>
        <v>Amoxicillin &amp; Clavulanic Acid</v>
      </c>
      <c r="D120" s="480"/>
      <c r="E120" s="340" t="s">
        <v>123</v>
      </c>
      <c r="F120" s="340"/>
      <c r="G120" s="341">
        <f>F115</f>
        <v>1.0185078522223787</v>
      </c>
      <c r="H120" s="233"/>
      <c r="I120" s="233"/>
    </row>
    <row r="121" spans="1:10" ht="19.5" customHeight="1" x14ac:dyDescent="0.3">
      <c r="A121" s="393"/>
      <c r="B121" s="393"/>
      <c r="C121" s="394"/>
      <c r="D121" s="394"/>
      <c r="E121" s="394"/>
      <c r="F121" s="394"/>
      <c r="G121" s="394"/>
      <c r="H121" s="394"/>
    </row>
    <row r="122" spans="1:10" ht="18.75" x14ac:dyDescent="0.3">
      <c r="B122" s="481" t="s">
        <v>25</v>
      </c>
      <c r="C122" s="481"/>
      <c r="E122" s="346" t="s">
        <v>26</v>
      </c>
      <c r="F122" s="395"/>
      <c r="G122" s="481" t="s">
        <v>27</v>
      </c>
      <c r="H122" s="481"/>
    </row>
    <row r="123" spans="1:10" ht="69.95" customHeight="1" x14ac:dyDescent="0.3">
      <c r="A123" s="396" t="s">
        <v>28</v>
      </c>
      <c r="B123" s="397"/>
      <c r="C123" s="397"/>
      <c r="E123" s="397"/>
      <c r="F123" s="233"/>
      <c r="G123" s="398"/>
      <c r="H123" s="398"/>
    </row>
    <row r="124" spans="1:10" ht="69.95" customHeight="1" x14ac:dyDescent="0.3">
      <c r="A124" s="396" t="s">
        <v>29</v>
      </c>
      <c r="B124" s="399"/>
      <c r="C124" s="399"/>
      <c r="E124" s="399"/>
      <c r="F124" s="233"/>
      <c r="G124" s="400"/>
      <c r="H124" s="400"/>
    </row>
    <row r="125" spans="1:10" ht="18.75" x14ac:dyDescent="0.3">
      <c r="A125" s="331"/>
      <c r="B125" s="331"/>
      <c r="C125" s="332"/>
      <c r="D125" s="332"/>
      <c r="E125" s="332"/>
      <c r="F125" s="336"/>
      <c r="G125" s="332"/>
      <c r="H125" s="332"/>
      <c r="I125" s="233"/>
    </row>
    <row r="126" spans="1:10" ht="18.75" x14ac:dyDescent="0.3">
      <c r="A126" s="331"/>
      <c r="B126" s="331"/>
      <c r="C126" s="332"/>
      <c r="D126" s="332"/>
      <c r="E126" s="332"/>
      <c r="F126" s="336"/>
      <c r="G126" s="332"/>
      <c r="H126" s="332"/>
      <c r="I126" s="233"/>
    </row>
    <row r="127" spans="1:10" ht="18.75" x14ac:dyDescent="0.3">
      <c r="A127" s="331"/>
      <c r="B127" s="331"/>
      <c r="C127" s="332"/>
      <c r="D127" s="332"/>
      <c r="E127" s="332"/>
      <c r="F127" s="336"/>
      <c r="G127" s="332"/>
      <c r="H127" s="332"/>
      <c r="I127" s="233"/>
    </row>
    <row r="128" spans="1:10" ht="18.75" x14ac:dyDescent="0.3">
      <c r="A128" s="331"/>
      <c r="B128" s="331"/>
      <c r="C128" s="332"/>
      <c r="D128" s="332"/>
      <c r="E128" s="332"/>
      <c r="F128" s="336"/>
      <c r="G128" s="332"/>
      <c r="H128" s="332"/>
      <c r="I128" s="233"/>
    </row>
    <row r="129" spans="1:9" ht="18.75" x14ac:dyDescent="0.3">
      <c r="A129" s="331"/>
      <c r="B129" s="331"/>
      <c r="C129" s="332"/>
      <c r="D129" s="332"/>
      <c r="E129" s="332"/>
      <c r="F129" s="336"/>
      <c r="G129" s="332"/>
      <c r="H129" s="332"/>
      <c r="I129" s="233"/>
    </row>
    <row r="130" spans="1:9" ht="18.75" x14ac:dyDescent="0.3">
      <c r="A130" s="331"/>
      <c r="B130" s="331"/>
      <c r="C130" s="332"/>
      <c r="D130" s="332"/>
      <c r="E130" s="332"/>
      <c r="F130" s="336"/>
      <c r="G130" s="332"/>
      <c r="H130" s="332"/>
      <c r="I130" s="233"/>
    </row>
    <row r="131" spans="1:9" ht="18.75" x14ac:dyDescent="0.3">
      <c r="A131" s="331"/>
      <c r="B131" s="331"/>
      <c r="C131" s="332"/>
      <c r="D131" s="332"/>
      <c r="E131" s="332"/>
      <c r="F131" s="336"/>
      <c r="G131" s="332"/>
      <c r="H131" s="332"/>
      <c r="I131" s="233"/>
    </row>
    <row r="132" spans="1:9" ht="18.75" x14ac:dyDescent="0.3">
      <c r="A132" s="331"/>
      <c r="B132" s="331"/>
      <c r="C132" s="332"/>
      <c r="D132" s="332"/>
      <c r="E132" s="332"/>
      <c r="F132" s="336"/>
      <c r="G132" s="332"/>
      <c r="H132" s="332"/>
      <c r="I132" s="233"/>
    </row>
    <row r="133" spans="1:9" ht="18.75" x14ac:dyDescent="0.3">
      <c r="A133" s="331"/>
      <c r="B133" s="331"/>
      <c r="C133" s="332"/>
      <c r="D133" s="332"/>
      <c r="E133" s="332"/>
      <c r="F133" s="336"/>
      <c r="G133" s="332"/>
      <c r="H133" s="332"/>
      <c r="I133" s="233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4"/>
  <sheetViews>
    <sheetView tabSelected="1" workbookViewId="0">
      <selection sqref="A1:G17"/>
    </sheetView>
  </sheetViews>
  <sheetFormatPr defaultRowHeight="12.75" x14ac:dyDescent="0.2"/>
  <sheetData>
    <row r="1" spans="1:5" x14ac:dyDescent="0.2">
      <c r="A1" s="526" t="s">
        <v>130</v>
      </c>
      <c r="B1" s="513" t="s">
        <v>131</v>
      </c>
      <c r="C1" s="515"/>
      <c r="D1" s="514" t="s">
        <v>132</v>
      </c>
      <c r="E1" s="515"/>
    </row>
    <row r="2" spans="1:5" x14ac:dyDescent="0.2">
      <c r="B2" s="516">
        <v>0.98089999999999999</v>
      </c>
      <c r="C2" s="518"/>
      <c r="D2" s="517">
        <v>0.88800000000000001</v>
      </c>
      <c r="E2" s="518"/>
    </row>
    <row r="3" spans="1:5" x14ac:dyDescent="0.2">
      <c r="B3" s="516">
        <v>1.0017</v>
      </c>
      <c r="C3" s="518"/>
      <c r="D3" s="517">
        <v>0.93189999999999995</v>
      </c>
      <c r="E3" s="518"/>
    </row>
    <row r="4" spans="1:5" x14ac:dyDescent="0.2">
      <c r="B4" s="516">
        <v>1.0446</v>
      </c>
      <c r="C4" s="518"/>
      <c r="D4" s="517">
        <v>0.90500000000000003</v>
      </c>
      <c r="E4" s="518"/>
    </row>
    <row r="5" spans="1:5" x14ac:dyDescent="0.2">
      <c r="B5" s="516">
        <v>1.0245</v>
      </c>
      <c r="C5" s="518"/>
      <c r="D5" s="517">
        <v>0.92720000000000002</v>
      </c>
      <c r="E5" s="518"/>
    </row>
    <row r="6" spans="1:5" x14ac:dyDescent="0.2">
      <c r="B6" s="516">
        <v>0.96450000000000002</v>
      </c>
      <c r="C6" s="518"/>
      <c r="D6" s="517">
        <v>0.88329999999999997</v>
      </c>
      <c r="E6" s="518"/>
    </row>
    <row r="7" spans="1:5" x14ac:dyDescent="0.2">
      <c r="B7" s="516">
        <v>0.94762001188666012</v>
      </c>
      <c r="C7" s="518"/>
      <c r="D7" s="517">
        <v>1.0154836230612343</v>
      </c>
      <c r="E7" s="518"/>
    </row>
    <row r="8" spans="1:5" x14ac:dyDescent="0.2">
      <c r="B8" s="516">
        <v>0.94245274347584806</v>
      </c>
      <c r="C8" s="518"/>
      <c r="D8" s="517">
        <v>1.0421133894919408</v>
      </c>
      <c r="E8" s="518"/>
    </row>
    <row r="9" spans="1:5" x14ac:dyDescent="0.2">
      <c r="B9" s="516">
        <v>0.93440092537095643</v>
      </c>
      <c r="C9" s="518"/>
      <c r="D9" s="517">
        <v>0.99328947374094367</v>
      </c>
      <c r="E9" s="518"/>
    </row>
    <row r="10" spans="1:5" x14ac:dyDescent="0.2">
      <c r="B10" s="516">
        <v>0.94860031240558096</v>
      </c>
      <c r="C10" s="518"/>
      <c r="D10" s="517">
        <v>1.0176706285510766</v>
      </c>
      <c r="E10" s="518"/>
    </row>
    <row r="11" spans="1:5" x14ac:dyDescent="0.2">
      <c r="B11" s="516">
        <v>0.93833763105294188</v>
      </c>
      <c r="C11" s="518"/>
      <c r="D11" s="517">
        <v>1.0148133678006572</v>
      </c>
      <c r="E11" s="518"/>
    </row>
    <row r="12" spans="1:5" x14ac:dyDescent="0.2">
      <c r="B12" s="516">
        <v>0.94678448133457815</v>
      </c>
      <c r="C12" s="518"/>
      <c r="D12" s="517">
        <v>1.0276766306884202</v>
      </c>
      <c r="E12" s="518"/>
    </row>
    <row r="13" spans="1:5" x14ac:dyDescent="0.2">
      <c r="B13" s="519"/>
      <c r="C13" s="520"/>
      <c r="D13" s="521"/>
      <c r="E13" s="522"/>
    </row>
    <row r="14" spans="1:5" x14ac:dyDescent="0.2">
      <c r="B14" s="523">
        <f>AVERAGE(B2:B12)</f>
        <v>0.9703996459569606</v>
      </c>
      <c r="C14" s="524"/>
      <c r="D14" s="525">
        <f>AVERAGE(D2:D12)</f>
        <v>0.96785882848493399</v>
      </c>
      <c r="E14" s="5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SST (ASSAY) </vt:lpstr>
      <vt:lpstr>SST (DISS) (2)</vt:lpstr>
      <vt:lpstr>Uniformity</vt:lpstr>
      <vt:lpstr>amoxicillin Trihydrate</vt:lpstr>
      <vt:lpstr>Clavulanic acid</vt:lpstr>
      <vt:lpstr>Sheet1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cp:lastPrinted>2016-06-10T14:18:36Z</cp:lastPrinted>
  <dcterms:created xsi:type="dcterms:W3CDTF">2005-07-05T10:19:27Z</dcterms:created>
  <dcterms:modified xsi:type="dcterms:W3CDTF">2016-06-10T14:18:46Z</dcterms:modified>
  <cp:category/>
</cp:coreProperties>
</file>