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(assay)" sheetId="5" r:id="rId1"/>
    <sheet name="SST(diss)" sheetId="1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Uniformity!$A$1:$O$54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6" i="2"/>
  <c r="B57" i="3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B69" i="3"/>
  <c r="I39" i="3"/>
  <c r="F45" i="3"/>
  <c r="F46" i="3" s="1"/>
  <c r="I92" i="4"/>
  <c r="D101" i="4"/>
  <c r="D102" i="4" s="1"/>
  <c r="D97" i="4"/>
  <c r="D98" i="4" s="1"/>
  <c r="I39" i="4"/>
  <c r="D45" i="4"/>
  <c r="D46" i="4" s="1"/>
  <c r="F98" i="4"/>
  <c r="F99" i="4" s="1"/>
  <c r="D49" i="4"/>
  <c r="E41" i="4"/>
  <c r="D49" i="3"/>
  <c r="G38" i="3"/>
  <c r="G41" i="3"/>
  <c r="F98" i="3"/>
  <c r="F99" i="3" s="1"/>
  <c r="F44" i="4"/>
  <c r="F45" i="4" s="1"/>
  <c r="F46" i="4" s="1"/>
  <c r="C50" i="2"/>
  <c r="D97" i="3"/>
  <c r="D98" i="3" s="1"/>
  <c r="D99" i="3" s="1"/>
  <c r="D26" i="2"/>
  <c r="D30" i="2"/>
  <c r="D34" i="2"/>
  <c r="D38" i="2"/>
  <c r="D42" i="2"/>
  <c r="B49" i="2"/>
  <c r="D50" i="2"/>
  <c r="D44" i="3"/>
  <c r="D45" i="3" s="1"/>
  <c r="D46" i="3" s="1"/>
  <c r="D27" i="2"/>
  <c r="D31" i="2"/>
  <c r="D35" i="2"/>
  <c r="D39" i="2"/>
  <c r="D43" i="2"/>
  <c r="C49" i="2"/>
  <c r="B57" i="4"/>
  <c r="B69" i="4" s="1"/>
  <c r="G93" i="4" l="1"/>
  <c r="G92" i="4"/>
  <c r="E91" i="4"/>
  <c r="G39" i="3"/>
  <c r="G40" i="3"/>
  <c r="E38" i="4"/>
  <c r="E40" i="4"/>
  <c r="E39" i="4"/>
  <c r="G42" i="3"/>
  <c r="G94" i="4"/>
  <c r="G91" i="4"/>
  <c r="E92" i="4"/>
  <c r="E94" i="4"/>
  <c r="G39" i="4"/>
  <c r="E39" i="3"/>
  <c r="G38" i="4"/>
  <c r="G94" i="3"/>
  <c r="G93" i="3"/>
  <c r="G91" i="3"/>
  <c r="E41" i="3"/>
  <c r="E40" i="3"/>
  <c r="E93" i="3"/>
  <c r="G92" i="3"/>
  <c r="D99" i="4"/>
  <c r="E93" i="4"/>
  <c r="E38" i="3"/>
  <c r="G40" i="4"/>
  <c r="G41" i="4"/>
  <c r="E91" i="3"/>
  <c r="E92" i="3"/>
  <c r="E94" i="3"/>
  <c r="E42" i="4" l="1"/>
  <c r="E95" i="3"/>
  <c r="D52" i="4"/>
  <c r="G95" i="3"/>
  <c r="G95" i="4"/>
  <c r="D105" i="4"/>
  <c r="D103" i="4"/>
  <c r="E113" i="4" s="1"/>
  <c r="F113" i="4" s="1"/>
  <c r="D50" i="4"/>
  <c r="G68" i="4" s="1"/>
  <c r="H68" i="4" s="1"/>
  <c r="E95" i="4"/>
  <c r="G42" i="4"/>
  <c r="G63" i="4"/>
  <c r="H63" i="4" s="1"/>
  <c r="D103" i="3"/>
  <c r="D105" i="3"/>
  <c r="D50" i="3"/>
  <c r="E42" i="3"/>
  <c r="D52" i="3"/>
  <c r="D104" i="4" l="1"/>
  <c r="D51" i="4"/>
  <c r="E109" i="4"/>
  <c r="F109" i="4" s="1"/>
  <c r="E112" i="4"/>
  <c r="F112" i="4" s="1"/>
  <c r="E108" i="4"/>
  <c r="E110" i="4"/>
  <c r="F110" i="4" s="1"/>
  <c r="E111" i="4"/>
  <c r="F111" i="4" s="1"/>
  <c r="G65" i="4"/>
  <c r="H65" i="4" s="1"/>
  <c r="G60" i="4"/>
  <c r="H60" i="4" s="1"/>
  <c r="G66" i="4"/>
  <c r="H66" i="4" s="1"/>
  <c r="G64" i="4"/>
  <c r="H64" i="4" s="1"/>
  <c r="G70" i="4"/>
  <c r="H70" i="4" s="1"/>
  <c r="G61" i="4"/>
  <c r="H61" i="4" s="1"/>
  <c r="G71" i="4"/>
  <c r="H71" i="4" s="1"/>
  <c r="G67" i="4"/>
  <c r="H67" i="4" s="1"/>
  <c r="G69" i="4"/>
  <c r="H69" i="4" s="1"/>
  <c r="G62" i="4"/>
  <c r="H62" i="4" s="1"/>
  <c r="E112" i="3"/>
  <c r="F112" i="3" s="1"/>
  <c r="E113" i="3"/>
  <c r="F113" i="3" s="1"/>
  <c r="E110" i="3"/>
  <c r="F110" i="3" s="1"/>
  <c r="E108" i="3"/>
  <c r="E111" i="3"/>
  <c r="F111" i="3" s="1"/>
  <c r="E109" i="3"/>
  <c r="F109" i="3" s="1"/>
  <c r="D104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H72" i="4" l="1"/>
  <c r="G76" i="4" s="1"/>
  <c r="G72" i="3"/>
  <c r="G73" i="3" s="1"/>
  <c r="E115" i="4"/>
  <c r="E116" i="4" s="1"/>
  <c r="F108" i="4"/>
  <c r="F115" i="4" s="1"/>
  <c r="G120" i="4" s="1"/>
  <c r="E117" i="4"/>
  <c r="G72" i="4"/>
  <c r="G73" i="4" s="1"/>
  <c r="G74" i="4"/>
  <c r="E115" i="3"/>
  <c r="E116" i="3" s="1"/>
  <c r="F108" i="3"/>
  <c r="F115" i="3" s="1"/>
  <c r="E117" i="3"/>
  <c r="G74" i="3"/>
  <c r="H60" i="3"/>
  <c r="H72" i="3" s="1"/>
  <c r="H74" i="4"/>
  <c r="F117" i="4" l="1"/>
  <c r="H74" i="3"/>
  <c r="G76" i="3"/>
  <c r="H73" i="4"/>
  <c r="F117" i="3"/>
  <c r="F116" i="4"/>
  <c r="G120" i="3" l="1"/>
  <c r="F116" i="3"/>
  <c r="H73" i="3"/>
</calcChain>
</file>

<file path=xl/sharedStrings.xml><?xml version="1.0" encoding="utf-8"?>
<sst xmlns="http://schemas.openxmlformats.org/spreadsheetml/2006/main" count="436" uniqueCount="127">
  <si>
    <t>HPLC System Suitability Report</t>
  </si>
  <si>
    <t>Analysis Data</t>
  </si>
  <si>
    <t>Sample(s)</t>
  </si>
  <si>
    <t>Reference Substance:</t>
  </si>
  <si>
    <t>ZYCLAVE 625</t>
  </si>
  <si>
    <t>% age Purity:</t>
  </si>
  <si>
    <t>NDQA201509364</t>
  </si>
  <si>
    <t>Weight (mg):</t>
  </si>
  <si>
    <t>Amoxicillin &amp; Clavulanic Acid</t>
  </si>
  <si>
    <t>Standard Conc (mg/mL):</t>
  </si>
  <si>
    <t>Each film coated tablet contains: Amoxicillin Trihydrate USP Eq. to Amoxicillin 500mg
Clavulanate Potassium USP Eq. to Clavulanic Acid 125mg</t>
  </si>
  <si>
    <t>2015-10-02 08:21:01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</si>
  <si>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</si>
  <si>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</si>
  <si>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</si>
  <si>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</si>
  <si>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</si>
  <si>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</si>
  <si>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</si>
  <si>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</si>
  <si>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</si>
  <si>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</si>
  <si>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</si>
  <si>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</si>
  <si>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</si>
  <si>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</si>
  <si>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</si>
  <si>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</si>
  <si>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</si>
  <si>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</si>
  <si>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</si>
  <si>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</si>
  <si>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</si>
  <si>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</si>
  <si>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</si>
  <si>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</si>
  <si>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</si>
  <si>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</si>
  <si>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</si>
  <si>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</si>
  <si>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</si>
  <si>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</si>
  <si>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</si>
  <si>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</si>
  <si>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</si>
  <si>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</si>
  <si>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</si>
  <si>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</si>
  <si>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</si>
  <si>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</si>
  <si>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</si>
  <si>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</si>
  <si>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</si>
  <si>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</si>
  <si>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</si>
  <si>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</si>
  <si>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</si>
  <si>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</si>
  <si>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</si>
  <si>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</si>
  <si>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</si>
  <si>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</si>
  <si>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</si>
  <si>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</si>
  <si>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</si>
  <si>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</si>
  <si>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</si>
  <si>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</si>
  <si>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</si>
  <si>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</si>
  <si>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</si>
  <si>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</si>
  <si>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</si>
  <si>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</si>
  <si>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</si>
  <si>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</si>
  <si>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</si>
  <si>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</si>
  <si>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</si>
  <si>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</si>
  <si>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</si>
  <si>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</si>
  <si>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</si>
  <si>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</si>
  <si>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</si>
  <si>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</si>
  <si>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</si>
  <si>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</si>
  <si>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</si>
  <si>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</si>
  <si>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</si>
  <si>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</si>
  <si>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</si>
  <si>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</si>
  <si>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</si>
  <si>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</si>
  <si>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</si>
  <si>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</si>
  <si>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</si>
  <si>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</si>
  <si>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</si>
  <si>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</si>
  <si>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</si>
  <si>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</si>
  <si>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</si>
  <si>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</si>
  <si>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</si>
  <si>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</si>
  <si>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</si>
  <si>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</si>
  <si>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</si>
  <si>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</si>
  <si>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</si>
  <si>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</si>
  <si>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</si>
  <si>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</si>
  <si>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</si>
  <si>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</si>
  <si>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</si>
  <si>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</si>
  <si>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</si>
  <si>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</si>
  <si>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</si>
  <si>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</si>
  <si>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</si>
  <si>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DISSOLUTION</t>
  </si>
  <si>
    <t>HPLC System Suitability Report/assay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</si>
</sst>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126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123</v>
      </c>
    </row>
    <row r="17" spans="1:5" ht="16.5" customHeight="1" x14ac:dyDescent="0.3">
      <c r="A17" s="8" t="s">
        <v>2</v>
      </c>
      <c r="B17" s="8" t="s">
        <v>4</v>
      </c>
      <c r="D17" s="9"/>
      <c r="E17" s="72"/>
    </row>
    <row r="18" spans="1:5" ht="16.5" customHeight="1" x14ac:dyDescent="0.3">
      <c r="A18" s="75" t="s">
        <v>3</v>
      </c>
      <c r="B18" s="8" t="s">
        <v>123</v>
      </c>
      <c r="C18" s="72"/>
      <c r="D18" s="72"/>
      <c r="E18" s="72"/>
    </row>
    <row r="19" spans="1:5" ht="16.5" customHeight="1" x14ac:dyDescent="0.3">
      <c r="A19" s="75" t="s">
        <v>5</v>
      </c>
      <c r="B19" s="12">
        <v>86.6</v>
      </c>
      <c r="C19" s="72"/>
      <c r="D19" s="72"/>
      <c r="E19" s="72"/>
    </row>
    <row r="20" spans="1:5" ht="16.5" customHeight="1" x14ac:dyDescent="0.3">
      <c r="A20" s="8" t="s">
        <v>7</v>
      </c>
      <c r="B20" s="12">
        <v>28.39</v>
      </c>
      <c r="C20" s="72"/>
      <c r="D20" s="72"/>
      <c r="E20" s="72"/>
    </row>
    <row r="21" spans="1:5" ht="16.5" customHeight="1" x14ac:dyDescent="0.3">
      <c r="A21" s="8" t="s">
        <v>9</v>
      </c>
      <c r="B21" s="13">
        <v>0.5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122071912</v>
      </c>
      <c r="C24" s="18">
        <v>7167.1</v>
      </c>
      <c r="D24" s="19">
        <v>1.1000000000000001</v>
      </c>
      <c r="E24" s="20">
        <v>5.3</v>
      </c>
    </row>
    <row r="25" spans="1:5" ht="16.5" customHeight="1" x14ac:dyDescent="0.3">
      <c r="A25" s="17">
        <v>2</v>
      </c>
      <c r="B25" s="18">
        <v>122314291</v>
      </c>
      <c r="C25" s="18">
        <v>7182.3</v>
      </c>
      <c r="D25" s="19">
        <v>1</v>
      </c>
      <c r="E25" s="19">
        <v>5.3</v>
      </c>
    </row>
    <row r="26" spans="1:5" ht="16.5" customHeight="1" x14ac:dyDescent="0.3">
      <c r="A26" s="17">
        <v>3</v>
      </c>
      <c r="B26" s="18">
        <v>122420674</v>
      </c>
      <c r="C26" s="18">
        <v>7162.6</v>
      </c>
      <c r="D26" s="19">
        <v>1.1000000000000001</v>
      </c>
      <c r="E26" s="19">
        <v>5.2</v>
      </c>
    </row>
    <row r="27" spans="1:5" ht="16.5" customHeight="1" x14ac:dyDescent="0.3">
      <c r="A27" s="17">
        <v>4</v>
      </c>
      <c r="B27" s="18">
        <v>121968417</v>
      </c>
      <c r="C27" s="18">
        <v>7201.7</v>
      </c>
      <c r="D27" s="19">
        <v>1.1000000000000001</v>
      </c>
      <c r="E27" s="19">
        <v>5.2</v>
      </c>
    </row>
    <row r="28" spans="1:5" ht="16.5" customHeight="1" x14ac:dyDescent="0.3">
      <c r="A28" s="17">
        <v>5</v>
      </c>
      <c r="B28" s="18">
        <v>122791982</v>
      </c>
      <c r="C28" s="18">
        <v>7215</v>
      </c>
      <c r="D28" s="19">
        <v>1.1000000000000001</v>
      </c>
      <c r="E28" s="19">
        <v>5.2</v>
      </c>
    </row>
    <row r="29" spans="1:5" ht="16.5" customHeight="1" x14ac:dyDescent="0.3">
      <c r="A29" s="17">
        <v>6</v>
      </c>
      <c r="B29" s="21">
        <v>122533821</v>
      </c>
      <c r="C29" s="21">
        <v>7242.6</v>
      </c>
      <c r="D29" s="22">
        <v>1</v>
      </c>
      <c r="E29" s="22">
        <v>5.2</v>
      </c>
    </row>
    <row r="30" spans="1:5" ht="16.5" customHeight="1" x14ac:dyDescent="0.3">
      <c r="A30" s="23" t="s">
        <v>17</v>
      </c>
      <c r="B30" s="24">
        <f>AVERAGE(B24:B29)</f>
        <v>122350182.83333333</v>
      </c>
      <c r="C30" s="25">
        <f>AVERAGE(C24:C29)</f>
        <v>7195.2166666666662</v>
      </c>
      <c r="D30" s="26">
        <f>AVERAGE(D24:D29)</f>
        <v>1.0666666666666667</v>
      </c>
      <c r="E30" s="26">
        <f>AVERAGE(E24:E29)</f>
        <v>5.2333333333333334</v>
      </c>
    </row>
    <row r="31" spans="1:5" ht="16.5" customHeight="1" x14ac:dyDescent="0.3">
      <c r="A31" s="27" t="s">
        <v>18</v>
      </c>
      <c r="B31" s="28">
        <f>(STDEV(B24:B29)/B30)</f>
        <v>2.4746132991900812E-3</v>
      </c>
      <c r="C31" s="29"/>
      <c r="D31" s="29"/>
      <c r="E31" s="30"/>
    </row>
    <row r="32" spans="1:5" s="410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3</v>
      </c>
      <c r="B39" s="8" t="s">
        <v>124</v>
      </c>
      <c r="C39" s="72"/>
      <c r="D39" s="72"/>
      <c r="E39" s="72"/>
    </row>
    <row r="40" spans="1:5" ht="16.5" customHeight="1" x14ac:dyDescent="0.3">
      <c r="A40" s="75" t="s">
        <v>5</v>
      </c>
      <c r="B40" s="12">
        <v>96.4</v>
      </c>
      <c r="C40" s="72"/>
      <c r="D40" s="72"/>
      <c r="E40" s="72"/>
    </row>
    <row r="41" spans="1:5" ht="16.5" customHeight="1" x14ac:dyDescent="0.3">
      <c r="A41" s="8" t="s">
        <v>7</v>
      </c>
      <c r="B41" s="12">
        <v>20.329999999999998</v>
      </c>
      <c r="C41" s="72"/>
      <c r="D41" s="72"/>
      <c r="E41" s="72"/>
    </row>
    <row r="42" spans="1:5" ht="16.5" customHeight="1" x14ac:dyDescent="0.3">
      <c r="A42" s="8" t="s">
        <v>9</v>
      </c>
      <c r="B42" s="13">
        <v>0.14860000000000001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39331054</v>
      </c>
      <c r="C45" s="18">
        <v>11990.74</v>
      </c>
      <c r="D45" s="19">
        <v>1.19</v>
      </c>
      <c r="E45" s="20">
        <v>5.04</v>
      </c>
    </row>
    <row r="46" spans="1:5" ht="16.5" customHeight="1" x14ac:dyDescent="0.3">
      <c r="A46" s="17">
        <v>2</v>
      </c>
      <c r="B46" s="18">
        <v>39187212</v>
      </c>
      <c r="C46" s="18">
        <v>11852.69</v>
      </c>
      <c r="D46" s="19">
        <v>1.18</v>
      </c>
      <c r="E46" s="19">
        <v>5.07</v>
      </c>
    </row>
    <row r="47" spans="1:5" ht="16.5" customHeight="1" x14ac:dyDescent="0.3">
      <c r="A47" s="17">
        <v>3</v>
      </c>
      <c r="B47" s="18">
        <v>39165231</v>
      </c>
      <c r="C47" s="18">
        <v>11798.91</v>
      </c>
      <c r="D47" s="19">
        <v>1.17</v>
      </c>
      <c r="E47" s="19">
        <v>5.09</v>
      </c>
    </row>
    <row r="48" spans="1:5" ht="16.5" customHeight="1" x14ac:dyDescent="0.3">
      <c r="A48" s="17">
        <v>4</v>
      </c>
      <c r="B48" s="18">
        <v>39221936</v>
      </c>
      <c r="C48" s="18">
        <v>11883.45</v>
      </c>
      <c r="D48" s="19">
        <v>1.18</v>
      </c>
      <c r="E48" s="19">
        <v>5.09</v>
      </c>
    </row>
    <row r="49" spans="1:7" ht="16.5" customHeight="1" x14ac:dyDescent="0.3">
      <c r="A49" s="17">
        <v>5</v>
      </c>
      <c r="B49" s="18">
        <v>38952159</v>
      </c>
      <c r="C49" s="18">
        <v>11907.67</v>
      </c>
      <c r="D49" s="19">
        <v>1.19</v>
      </c>
      <c r="E49" s="19">
        <v>5.0999999999999996</v>
      </c>
    </row>
    <row r="50" spans="1:7" ht="16.5" customHeight="1" x14ac:dyDescent="0.3">
      <c r="A50" s="17">
        <v>6</v>
      </c>
      <c r="B50" s="21">
        <v>38985268</v>
      </c>
      <c r="C50" s="21">
        <v>11824.08</v>
      </c>
      <c r="D50" s="22">
        <v>1.1399999999999999</v>
      </c>
      <c r="E50" s="22">
        <v>5.1100000000000003</v>
      </c>
    </row>
    <row r="51" spans="1:7" ht="16.5" customHeight="1" x14ac:dyDescent="0.3">
      <c r="A51" s="23" t="s">
        <v>17</v>
      </c>
      <c r="B51" s="24">
        <f>AVERAGE(B45:B50)</f>
        <v>39140476.666666664</v>
      </c>
      <c r="C51" s="25">
        <f>AVERAGE(C45:C50)</f>
        <v>11876.256666666666</v>
      </c>
      <c r="D51" s="26">
        <f>AVERAGE(D45:D50)</f>
        <v>1.175</v>
      </c>
      <c r="E51" s="26">
        <f>AVERAGE(E45:E50)</f>
        <v>5.083333333333333</v>
      </c>
    </row>
    <row r="52" spans="1:7" ht="16.5" customHeight="1" x14ac:dyDescent="0.3">
      <c r="A52" s="27" t="s">
        <v>18</v>
      </c>
      <c r="B52" s="28">
        <f>(STDEV(B45:B50)/B51)</f>
        <v>3.7077854029088459E-3</v>
      </c>
      <c r="C52" s="29"/>
      <c r="D52" s="29"/>
      <c r="E52" s="30"/>
    </row>
    <row r="53" spans="1:7" s="410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24</v>
      </c>
      <c r="C59" s="466"/>
      <c r="E59" s="464" t="s">
        <v>25</v>
      </c>
      <c r="F59" s="46"/>
      <c r="G59" s="46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125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123</v>
      </c>
      <c r="C18" s="10"/>
      <c r="D18" s="10"/>
      <c r="E18" s="10"/>
    </row>
    <row r="19" spans="1:6" ht="16.5" customHeight="1" x14ac:dyDescent="0.3">
      <c r="A19" s="11" t="s">
        <v>5</v>
      </c>
      <c r="B19" s="12">
        <v>86.6</v>
      </c>
      <c r="C19" s="10"/>
      <c r="D19" s="10"/>
      <c r="E19" s="10"/>
    </row>
    <row r="20" spans="1:6" ht="16.5" customHeight="1" x14ac:dyDescent="0.3">
      <c r="A20" s="7" t="s">
        <v>7</v>
      </c>
      <c r="B20" s="12">
        <v>19.95</v>
      </c>
      <c r="C20" s="10"/>
      <c r="D20" s="10"/>
      <c r="E20" s="10"/>
    </row>
    <row r="21" spans="1:6" ht="16.5" customHeight="1" x14ac:dyDescent="0.3">
      <c r="A21" s="7" t="s">
        <v>9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211539151</v>
      </c>
      <c r="C24" s="18">
        <v>8950.5</v>
      </c>
      <c r="D24" s="19">
        <v>0.8</v>
      </c>
      <c r="E24" s="20">
        <v>8.6999999999999993</v>
      </c>
    </row>
    <row r="25" spans="1:6" ht="16.5" customHeight="1" x14ac:dyDescent="0.3">
      <c r="A25" s="17">
        <v>2</v>
      </c>
      <c r="B25" s="18">
        <v>211063548</v>
      </c>
      <c r="C25" s="18">
        <v>8396.2000000000007</v>
      </c>
      <c r="D25" s="19">
        <v>0.9</v>
      </c>
      <c r="E25" s="19">
        <v>8.5</v>
      </c>
    </row>
    <row r="26" spans="1:6" ht="16.5" customHeight="1" x14ac:dyDescent="0.3">
      <c r="A26" s="17">
        <v>3</v>
      </c>
      <c r="B26" s="18">
        <v>211150334</v>
      </c>
      <c r="C26" s="18">
        <v>8472</v>
      </c>
      <c r="D26" s="19">
        <v>0.9</v>
      </c>
      <c r="E26" s="19">
        <v>8.5</v>
      </c>
    </row>
    <row r="27" spans="1:6" ht="16.5" customHeight="1" x14ac:dyDescent="0.3">
      <c r="A27" s="17">
        <v>4</v>
      </c>
      <c r="B27" s="18">
        <v>211357268</v>
      </c>
      <c r="C27" s="18">
        <v>8381.1</v>
      </c>
      <c r="D27" s="19">
        <v>0.9</v>
      </c>
      <c r="E27" s="19">
        <v>8.5</v>
      </c>
    </row>
    <row r="28" spans="1:6" ht="16.5" customHeight="1" x14ac:dyDescent="0.3">
      <c r="A28" s="17">
        <v>5</v>
      </c>
      <c r="B28" s="18">
        <v>211300880</v>
      </c>
      <c r="C28" s="18">
        <v>8471.5</v>
      </c>
      <c r="D28" s="19">
        <v>0.8</v>
      </c>
      <c r="E28" s="19">
        <v>8.5</v>
      </c>
    </row>
    <row r="29" spans="1:6" ht="16.5" customHeight="1" x14ac:dyDescent="0.3">
      <c r="A29" s="17">
        <v>6</v>
      </c>
      <c r="B29" s="21">
        <v>211368957</v>
      </c>
      <c r="C29" s="21">
        <v>8452.4</v>
      </c>
      <c r="D29" s="22">
        <v>0.9</v>
      </c>
      <c r="E29" s="22">
        <v>8.5</v>
      </c>
    </row>
    <row r="30" spans="1:6" ht="16.5" customHeight="1" x14ac:dyDescent="0.3">
      <c r="A30" s="23" t="s">
        <v>17</v>
      </c>
      <c r="B30" s="24">
        <f>AVERAGE(B24:B29)</f>
        <v>211296689.66666666</v>
      </c>
      <c r="C30" s="25">
        <f>AVERAGE(C24:C29)</f>
        <v>8520.6166666666668</v>
      </c>
      <c r="D30" s="26">
        <f>AVERAGE(D24:D29)</f>
        <v>0.8666666666666667</v>
      </c>
      <c r="E30" s="26">
        <f>AVERAGE(E24:E29)</f>
        <v>8.5333333333333332</v>
      </c>
    </row>
    <row r="31" spans="1:6" ht="16.5" customHeight="1" x14ac:dyDescent="0.3">
      <c r="A31" s="27" t="s">
        <v>18</v>
      </c>
      <c r="B31" s="28">
        <f>(STDEV(B24:B29)/B30)</f>
        <v>8.0168997223353973E-4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3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5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7</v>
      </c>
      <c r="B41" s="12">
        <v>10.28</v>
      </c>
      <c r="C41" s="10"/>
      <c r="D41" s="10"/>
      <c r="E41" s="10"/>
    </row>
    <row r="42" spans="1:6" ht="16.5" customHeight="1" x14ac:dyDescent="0.3">
      <c r="A42" s="7" t="s">
        <v>9</v>
      </c>
      <c r="B42" s="13">
        <v>0.14860000000000001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82469442</v>
      </c>
      <c r="C45" s="18">
        <v>10111.1</v>
      </c>
      <c r="D45" s="19">
        <v>1.1000000000000001</v>
      </c>
      <c r="E45" s="20">
        <v>5.4</v>
      </c>
    </row>
    <row r="46" spans="1:6" ht="16.5" customHeight="1" x14ac:dyDescent="0.3">
      <c r="A46" s="17">
        <v>2</v>
      </c>
      <c r="B46" s="18">
        <v>82127333</v>
      </c>
      <c r="C46" s="18">
        <v>8939</v>
      </c>
      <c r="D46" s="19">
        <v>1.2</v>
      </c>
      <c r="E46" s="19">
        <v>5.2</v>
      </c>
    </row>
    <row r="47" spans="1:6" ht="16.5" customHeight="1" x14ac:dyDescent="0.3">
      <c r="A47" s="17">
        <v>3</v>
      </c>
      <c r="B47" s="18">
        <v>82256330</v>
      </c>
      <c r="C47" s="18">
        <v>8956.4</v>
      </c>
      <c r="D47" s="19">
        <v>1.2</v>
      </c>
      <c r="E47" s="19">
        <v>5.2</v>
      </c>
    </row>
    <row r="48" spans="1:6" ht="16.5" customHeight="1" x14ac:dyDescent="0.3">
      <c r="A48" s="17">
        <v>4</v>
      </c>
      <c r="B48" s="18">
        <v>82348695</v>
      </c>
      <c r="C48" s="18">
        <v>8923</v>
      </c>
      <c r="D48" s="19">
        <v>1.2</v>
      </c>
      <c r="E48" s="19">
        <v>5.2</v>
      </c>
    </row>
    <row r="49" spans="1:7" ht="16.5" customHeight="1" x14ac:dyDescent="0.3">
      <c r="A49" s="17">
        <v>5</v>
      </c>
      <c r="B49" s="18">
        <v>82367724</v>
      </c>
      <c r="C49" s="18">
        <v>8905.1</v>
      </c>
      <c r="D49" s="19">
        <v>1.2</v>
      </c>
      <c r="E49" s="19">
        <v>5.2</v>
      </c>
    </row>
    <row r="50" spans="1:7" ht="16.5" customHeight="1" x14ac:dyDescent="0.3">
      <c r="A50" s="17">
        <v>6</v>
      </c>
      <c r="B50" s="21">
        <v>82436853</v>
      </c>
      <c r="C50" s="21">
        <v>8906</v>
      </c>
      <c r="D50" s="22">
        <v>1.2</v>
      </c>
      <c r="E50" s="22">
        <v>5.2</v>
      </c>
    </row>
    <row r="51" spans="1:7" ht="16.5" customHeight="1" x14ac:dyDescent="0.3">
      <c r="A51" s="23" t="s">
        <v>17</v>
      </c>
      <c r="B51" s="24">
        <f>AVERAGE(B45:B50)</f>
        <v>82334396.166666672</v>
      </c>
      <c r="C51" s="25">
        <f>AVERAGE(C45:C50)</f>
        <v>9123.4333333333325</v>
      </c>
      <c r="D51" s="26">
        <f>AVERAGE(D45:D50)</f>
        <v>1.1833333333333333</v>
      </c>
      <c r="E51" s="26">
        <f>AVERAGE(E45:E50)</f>
        <v>5.2333333333333334</v>
      </c>
    </row>
    <row r="52" spans="1:7" ht="16.5" customHeight="1" x14ac:dyDescent="0.3">
      <c r="A52" s="27" t="s">
        <v>18</v>
      </c>
      <c r="B52" s="28">
        <f>(STDEV(B45:B50)/B51)</f>
        <v>1.5268653096854421E-3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24</v>
      </c>
      <c r="C59" s="46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1" sqref="A11:O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29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30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31</v>
      </c>
      <c r="B14" s="474"/>
      <c r="C14" s="60" t="s">
        <v>4</v>
      </c>
    </row>
    <row r="15" spans="1:7" ht="16.5" customHeight="1" x14ac:dyDescent="0.3">
      <c r="A15" s="474" t="s">
        <v>32</v>
      </c>
      <c r="B15" s="474"/>
      <c r="C15" s="60" t="s">
        <v>6</v>
      </c>
    </row>
    <row r="16" spans="1:7" ht="16.5" customHeight="1" x14ac:dyDescent="0.3">
      <c r="A16" s="474" t="s">
        <v>33</v>
      </c>
      <c r="B16" s="474"/>
      <c r="C16" s="60" t="s">
        <v>8</v>
      </c>
    </row>
    <row r="17" spans="1:5" ht="16.5" customHeight="1" x14ac:dyDescent="0.3">
      <c r="A17" s="474" t="s">
        <v>34</v>
      </c>
      <c r="B17" s="474"/>
      <c r="C17" s="60" t="s">
        <v>10</v>
      </c>
    </row>
    <row r="18" spans="1:5" ht="16.5" customHeight="1" x14ac:dyDescent="0.3">
      <c r="A18" s="474" t="s">
        <v>35</v>
      </c>
      <c r="B18" s="474"/>
      <c r="C18" s="97" t="s">
        <v>11</v>
      </c>
    </row>
    <row r="19" spans="1:5" ht="16.5" customHeight="1" x14ac:dyDescent="0.3">
      <c r="A19" s="474" t="s">
        <v>36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37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992.34</v>
      </c>
      <c r="D24" s="87">
        <f t="shared" ref="D24:D43" si="0">(C24-$C$46)/$C$46</f>
        <v>-2.2923883098239343E-2</v>
      </c>
      <c r="E24" s="53"/>
    </row>
    <row r="25" spans="1:5" ht="15.75" customHeight="1" x14ac:dyDescent="0.3">
      <c r="C25" s="95">
        <v>1018.59</v>
      </c>
      <c r="D25" s="88">
        <f t="shared" si="0"/>
        <v>2.9223470937021459E-3</v>
      </c>
      <c r="E25" s="53"/>
    </row>
    <row r="26" spans="1:5" ht="15.75" customHeight="1" x14ac:dyDescent="0.3">
      <c r="C26" s="95">
        <v>1040.75</v>
      </c>
      <c r="D26" s="88">
        <f t="shared" si="0"/>
        <v>2.4741488467165861E-2</v>
      </c>
      <c r="E26" s="53"/>
    </row>
    <row r="27" spans="1:5" ht="15.75" customHeight="1" x14ac:dyDescent="0.3">
      <c r="C27" s="95">
        <v>1022.91</v>
      </c>
      <c r="D27" s="88">
        <f t="shared" si="0"/>
        <v>7.1758981195758822E-3</v>
      </c>
      <c r="E27" s="53"/>
    </row>
    <row r="28" spans="1:5" ht="15.75" customHeight="1" x14ac:dyDescent="0.3">
      <c r="C28" s="95">
        <v>992.64</v>
      </c>
      <c r="D28" s="88">
        <f t="shared" si="0"/>
        <v>-2.2628497610331484E-2</v>
      </c>
      <c r="E28" s="53"/>
    </row>
    <row r="29" spans="1:5" ht="15.75" customHeight="1" x14ac:dyDescent="0.3">
      <c r="C29" s="95">
        <v>999.34</v>
      </c>
      <c r="D29" s="88">
        <f t="shared" si="0"/>
        <v>-1.6031555047054946E-2</v>
      </c>
      <c r="E29" s="53"/>
    </row>
    <row r="30" spans="1:5" ht="15.75" customHeight="1" x14ac:dyDescent="0.3">
      <c r="C30" s="95">
        <v>994.23</v>
      </c>
      <c r="D30" s="88">
        <f t="shared" si="0"/>
        <v>-2.1062954524419569E-2</v>
      </c>
      <c r="E30" s="53"/>
    </row>
    <row r="31" spans="1:5" ht="15.75" customHeight="1" x14ac:dyDescent="0.3">
      <c r="C31" s="95">
        <v>1027.4000000000001</v>
      </c>
      <c r="D31" s="88">
        <f t="shared" si="0"/>
        <v>1.1596834255264281E-2</v>
      </c>
      <c r="E31" s="53"/>
    </row>
    <row r="32" spans="1:5" ht="15.75" customHeight="1" x14ac:dyDescent="0.3">
      <c r="C32" s="95">
        <v>1021.6</v>
      </c>
      <c r="D32" s="88">
        <f t="shared" si="0"/>
        <v>5.8860481557114278E-3</v>
      </c>
      <c r="E32" s="53"/>
    </row>
    <row r="33" spans="1:7" ht="15.75" customHeight="1" x14ac:dyDescent="0.3">
      <c r="C33" s="95">
        <v>1040.75</v>
      </c>
      <c r="D33" s="88">
        <f t="shared" si="0"/>
        <v>2.4741488467165861E-2</v>
      </c>
      <c r="E33" s="53"/>
    </row>
    <row r="34" spans="1:7" ht="15.75" customHeight="1" x14ac:dyDescent="0.3">
      <c r="C34" s="95">
        <v>1027.58</v>
      </c>
      <c r="D34" s="88">
        <f t="shared" si="0"/>
        <v>1.1774065548008861E-2</v>
      </c>
      <c r="E34" s="53"/>
    </row>
    <row r="35" spans="1:7" ht="15.75" customHeight="1" x14ac:dyDescent="0.3">
      <c r="C35" s="95">
        <v>1038.78</v>
      </c>
      <c r="D35" s="88">
        <f t="shared" si="0"/>
        <v>2.2801790429903941E-2</v>
      </c>
      <c r="E35" s="53"/>
    </row>
    <row r="36" spans="1:7" ht="15.75" customHeight="1" x14ac:dyDescent="0.3">
      <c r="C36" s="95">
        <v>1024.58</v>
      </c>
      <c r="D36" s="88">
        <f t="shared" si="0"/>
        <v>8.8202106689298336E-3</v>
      </c>
      <c r="E36" s="53"/>
    </row>
    <row r="37" spans="1:7" ht="15.75" customHeight="1" x14ac:dyDescent="0.3">
      <c r="C37" s="95">
        <v>1005.56</v>
      </c>
      <c r="D37" s="88">
        <f t="shared" si="0"/>
        <v>-9.9072292644311801E-3</v>
      </c>
      <c r="E37" s="53"/>
    </row>
    <row r="38" spans="1:7" ht="15.75" customHeight="1" x14ac:dyDescent="0.3">
      <c r="C38" s="95">
        <v>998.62</v>
      </c>
      <c r="D38" s="88">
        <f t="shared" si="0"/>
        <v>-1.674048021803394E-2</v>
      </c>
      <c r="E38" s="53"/>
    </row>
    <row r="39" spans="1:7" ht="15.75" customHeight="1" x14ac:dyDescent="0.3">
      <c r="C39" s="95">
        <v>1023.5</v>
      </c>
      <c r="D39" s="88">
        <f t="shared" si="0"/>
        <v>7.7568229124614554E-3</v>
      </c>
      <c r="E39" s="53"/>
    </row>
    <row r="40" spans="1:7" ht="15.75" customHeight="1" x14ac:dyDescent="0.3">
      <c r="C40" s="95">
        <v>1000.15</v>
      </c>
      <c r="D40" s="88">
        <f t="shared" si="0"/>
        <v>-1.5234014229703661E-2</v>
      </c>
      <c r="E40" s="53"/>
    </row>
    <row r="41" spans="1:7" ht="15.75" customHeight="1" x14ac:dyDescent="0.3">
      <c r="C41" s="95">
        <v>1025.98</v>
      </c>
      <c r="D41" s="88">
        <f t="shared" si="0"/>
        <v>1.0198676279166803E-2</v>
      </c>
      <c r="E41" s="53"/>
    </row>
    <row r="42" spans="1:7" ht="15.75" customHeight="1" x14ac:dyDescent="0.3">
      <c r="C42" s="95">
        <v>1006.82</v>
      </c>
      <c r="D42" s="88">
        <f t="shared" si="0"/>
        <v>-8.6666102152178869E-3</v>
      </c>
      <c r="E42" s="53"/>
    </row>
    <row r="43" spans="1:7" ht="16.5" customHeight="1" x14ac:dyDescent="0.3">
      <c r="C43" s="96">
        <v>1010.32</v>
      </c>
      <c r="D43" s="89">
        <f t="shared" si="0"/>
        <v>-5.2204461896256877E-3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20312.440000000002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1015.6220000000001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467">
        <f>C46</f>
        <v>1015.6220000000001</v>
      </c>
      <c r="C49" s="93">
        <f>-IF(C46&lt;=80,10%,IF(C46&lt;250,7.5%,5%))</f>
        <v>-0.05</v>
      </c>
      <c r="D49" s="81">
        <f>IF(C46&lt;=80,C46*0.9,IF(C46&lt;250,C46*0.925,C46*0.95))</f>
        <v>964.84090000000003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1066.4031000000002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7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43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44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8"/>
    </row>
    <row r="16" spans="1:9" ht="19.5" customHeight="1" x14ac:dyDescent="0.3">
      <c r="A16" s="476" t="s">
        <v>29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45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100" t="s">
        <v>31</v>
      </c>
      <c r="B18" s="475" t="s">
        <v>4</v>
      </c>
      <c r="C18" s="475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6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480" t="s">
        <v>8</v>
      </c>
      <c r="C20" s="480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480" t="s">
        <v>10</v>
      </c>
      <c r="C21" s="480"/>
      <c r="D21" s="480"/>
      <c r="E21" s="480"/>
      <c r="F21" s="480"/>
      <c r="G21" s="480"/>
      <c r="H21" s="480"/>
      <c r="I21" s="104"/>
    </row>
    <row r="22" spans="1:14" ht="26.25" customHeight="1" x14ac:dyDescent="0.4">
      <c r="A22" s="100" t="s">
        <v>35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3</v>
      </c>
      <c r="B26" s="475" t="s">
        <v>123</v>
      </c>
      <c r="C26" s="475"/>
    </row>
    <row r="27" spans="1:14" ht="26.25" customHeight="1" x14ac:dyDescent="0.4">
      <c r="A27" s="109" t="s">
        <v>46</v>
      </c>
      <c r="B27" s="481"/>
      <c r="C27" s="481"/>
    </row>
    <row r="28" spans="1:14" ht="27" customHeight="1" x14ac:dyDescent="0.4">
      <c r="A28" s="109" t="s">
        <v>5</v>
      </c>
      <c r="B28" s="110">
        <v>86.6</v>
      </c>
    </row>
    <row r="29" spans="1:14" s="14" customFormat="1" ht="27" customHeight="1" x14ac:dyDescent="0.4">
      <c r="A29" s="109" t="s">
        <v>47</v>
      </c>
      <c r="B29" s="111"/>
      <c r="C29" s="482" t="s">
        <v>48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86.6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485" t="s">
        <v>51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485" t="s">
        <v>53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20</v>
      </c>
      <c r="C36" s="99"/>
      <c r="D36" s="488" t="s">
        <v>57</v>
      </c>
      <c r="E36" s="489"/>
      <c r="F36" s="488" t="s">
        <v>58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10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25</v>
      </c>
      <c r="C38" s="131">
        <v>1</v>
      </c>
      <c r="D38" s="132">
        <v>119486716</v>
      </c>
      <c r="E38" s="133">
        <f>IF(ISBLANK(D38),"-",$D$48/$D$45*D38)</f>
        <v>121500019.93025225</v>
      </c>
      <c r="F38" s="13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118884487</v>
      </c>
      <c r="E39" s="138">
        <f>IF(ISBLANK(D39),"-",$D$48/$D$45*D39)</f>
        <v>120887643.60966967</v>
      </c>
      <c r="F39" s="137">
        <v>115693147</v>
      </c>
      <c r="G39" s="139">
        <f>IF(ISBLANK(F39),"-",$D$48/$F$45*F39)</f>
        <v>120529464.06321496</v>
      </c>
      <c r="I39" s="492">
        <f>ABS((F43/D43*D42)-F42)/D42</f>
        <v>2.8726851879071185E-3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119086769</v>
      </c>
      <c r="E40" s="138">
        <f>IF(ISBLANK(D40),"-",$D$48/$D$45*D40)</f>
        <v>121093333.98140548</v>
      </c>
      <c r="F40" s="137">
        <v>115954926</v>
      </c>
      <c r="G40" s="139">
        <f>IF(ISBLANK(F40),"-",$D$48/$F$45*F40)</f>
        <v>120802186.20269488</v>
      </c>
      <c r="I40" s="492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>
        <v>119988697</v>
      </c>
      <c r="E41" s="143">
        <f>IF(ISBLANK(D41),"-",$D$48/$D$45*D41)</f>
        <v>122010459.11166391</v>
      </c>
      <c r="F41" s="142">
        <v>116831377</v>
      </c>
      <c r="G41" s="144">
        <f>IF(ISBLANK(F41),"-",$D$48/$F$45*F41)</f>
        <v>121715275.4568723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119361667.25</v>
      </c>
      <c r="E42" s="148">
        <f>AVERAGE(E38:E41)</f>
        <v>121372864.15824783</v>
      </c>
      <c r="F42" s="147">
        <f>AVERAGE(F38:F41)</f>
        <v>116159816.66666667</v>
      </c>
      <c r="G42" s="149">
        <f>AVERAGE(G38:G41)</f>
        <v>121015641.90759404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28.39</v>
      </c>
      <c r="E43" s="140"/>
      <c r="F43" s="152">
        <v>27.71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28.39</v>
      </c>
      <c r="E44" s="155"/>
      <c r="F44" s="154">
        <f>F43*$B$34</f>
        <v>27.71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50</v>
      </c>
      <c r="C45" s="153" t="s">
        <v>75</v>
      </c>
      <c r="D45" s="157">
        <f>D44*$B$30/100</f>
        <v>24.585740000000001</v>
      </c>
      <c r="E45" s="158"/>
      <c r="F45" s="157">
        <f>F44*$B$30/100</f>
        <v>23.996859999999998</v>
      </c>
      <c r="H45" s="150"/>
    </row>
    <row r="46" spans="1:14" ht="19.5" customHeight="1" x14ac:dyDescent="0.3">
      <c r="A46" s="493" t="s">
        <v>76</v>
      </c>
      <c r="B46" s="494"/>
      <c r="C46" s="153" t="s">
        <v>77</v>
      </c>
      <c r="D46" s="159">
        <f>D45/$B$45</f>
        <v>0.49171480000000001</v>
      </c>
      <c r="E46" s="160"/>
      <c r="F46" s="161">
        <f>F45/$B$45</f>
        <v>0.47993719999999995</v>
      </c>
      <c r="H46" s="150"/>
    </row>
    <row r="47" spans="1:14" ht="27" customHeight="1" x14ac:dyDescent="0.4">
      <c r="A47" s="495"/>
      <c r="B47" s="496"/>
      <c r="C47" s="162" t="s">
        <v>78</v>
      </c>
      <c r="D47" s="163">
        <v>0.5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25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121219768.90796766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4.4251460378198406E-3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7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 coated tablet contains: Amoxicillin Trihydrate USP Eq. to Amoxicillin 500mg
Clavulanate Potassium USP Eq. to Clavulanic Acid 125mg</v>
      </c>
    </row>
    <row r="56" spans="1:12" ht="26.25" customHeight="1" x14ac:dyDescent="0.4">
      <c r="A56" s="177" t="s">
        <v>85</v>
      </c>
      <c r="B56" s="178">
        <v>500</v>
      </c>
      <c r="C56" s="99" t="str">
        <f>B20</f>
        <v>Amoxicillin &amp; Clavulanic Acid</v>
      </c>
      <c r="H56" s="179"/>
    </row>
    <row r="57" spans="1:12" ht="18.75" x14ac:dyDescent="0.3">
      <c r="A57" s="176" t="s">
        <v>86</v>
      </c>
      <c r="B57" s="268">
        <f>Uniformity!C46</f>
        <v>1015.6220000000001</v>
      </c>
      <c r="H57" s="179"/>
    </row>
    <row r="58" spans="1:12" ht="19.5" customHeight="1" x14ac:dyDescent="0.3">
      <c r="H58" s="179"/>
    </row>
    <row r="59" spans="1:12" s="14" customFormat="1" ht="27" customHeight="1" thickBot="1" x14ac:dyDescent="0.45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1</v>
      </c>
      <c r="C60" s="497" t="s">
        <v>92</v>
      </c>
      <c r="D60" s="500">
        <v>152.03</v>
      </c>
      <c r="E60" s="182">
        <v>1</v>
      </c>
      <c r="F60" s="183">
        <v>178995496</v>
      </c>
      <c r="G60" s="269">
        <f>IF(ISBLANK(F60),"-",(F60/$D$50*$D$47*$B$68)*($B$57/$D$60))</f>
        <v>493.2208871613459</v>
      </c>
      <c r="H60" s="184">
        <f t="shared" ref="H60:H71" si="0">IF(ISBLANK(F60),"-",G60/$B$56)</f>
        <v>0.98644177432269176</v>
      </c>
      <c r="L60" s="112"/>
    </row>
    <row r="61" spans="1:12" s="14" customFormat="1" ht="26.25" customHeight="1" x14ac:dyDescent="0.4">
      <c r="A61" s="124" t="s">
        <v>93</v>
      </c>
      <c r="B61" s="125">
        <v>1</v>
      </c>
      <c r="C61" s="498"/>
      <c r="D61" s="501"/>
      <c r="E61" s="185">
        <v>2</v>
      </c>
      <c r="F61" s="137">
        <v>179281926</v>
      </c>
      <c r="G61" s="270">
        <f>IF(ISBLANK(F61),"-",(F61/$D$50*$D$47*$B$68)*($B$57/$D$60))</f>
        <v>494.0101431027893</v>
      </c>
      <c r="H61" s="186">
        <f t="shared" si="0"/>
        <v>0.98802028620557858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498"/>
      <c r="D62" s="501"/>
      <c r="E62" s="185">
        <v>3</v>
      </c>
      <c r="F62" s="187">
        <v>179085423</v>
      </c>
      <c r="G62" s="270">
        <f>IF(ISBLANK(F62),"-",(F62/$D$50*$D$47*$B$68)*($B$57/$D$60))</f>
        <v>493.46868040592983</v>
      </c>
      <c r="H62" s="186">
        <f t="shared" si="0"/>
        <v>0.98693736081185968</v>
      </c>
      <c r="L62" s="112"/>
    </row>
    <row r="63" spans="1:12" ht="27" customHeight="1" thickBot="1" x14ac:dyDescent="0.45">
      <c r="A63" s="124" t="s">
        <v>95</v>
      </c>
      <c r="B63" s="125">
        <v>1</v>
      </c>
      <c r="C63" s="499"/>
      <c r="D63" s="50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497" t="s">
        <v>97</v>
      </c>
      <c r="D64" s="500">
        <v>125.9</v>
      </c>
      <c r="E64" s="182">
        <v>1</v>
      </c>
      <c r="F64" s="183">
        <v>144690155</v>
      </c>
      <c r="G64" s="271">
        <f>IF(ISBLANK(F64),"-",(F64/$D$50*$D$47*$B$68)*($B$57/$D$64))</f>
        <v>481.43970489274272</v>
      </c>
      <c r="H64" s="190">
        <f t="shared" si="0"/>
        <v>0.96287940978548547</v>
      </c>
    </row>
    <row r="65" spans="1:8" ht="26.25" customHeight="1" x14ac:dyDescent="0.4">
      <c r="A65" s="124" t="s">
        <v>98</v>
      </c>
      <c r="B65" s="125">
        <v>1</v>
      </c>
      <c r="C65" s="498"/>
      <c r="D65" s="501"/>
      <c r="E65" s="185">
        <v>2</v>
      </c>
      <c r="F65" s="137">
        <v>144562296</v>
      </c>
      <c r="G65" s="272">
        <f>IF(ISBLANK(F65),"-",(F65/$D$50*$D$47*$B$68)*($B$57/$D$64))</f>
        <v>481.01426890348773</v>
      </c>
      <c r="H65" s="191">
        <f t="shared" si="0"/>
        <v>0.9620285378069755</v>
      </c>
    </row>
    <row r="66" spans="1:8" ht="26.25" customHeight="1" x14ac:dyDescent="0.4">
      <c r="A66" s="124" t="s">
        <v>99</v>
      </c>
      <c r="B66" s="125">
        <v>1</v>
      </c>
      <c r="C66" s="498"/>
      <c r="D66" s="501"/>
      <c r="E66" s="185">
        <v>3</v>
      </c>
      <c r="F66" s="137">
        <v>144185761</v>
      </c>
      <c r="G66" s="272">
        <f>IF(ISBLANK(F66),"-",(F66/$D$50*$D$47*$B$68)*($B$57/$D$64))</f>
        <v>479.76139237376265</v>
      </c>
      <c r="H66" s="191">
        <f t="shared" si="0"/>
        <v>0.95952278474752528</v>
      </c>
    </row>
    <row r="67" spans="1:8" ht="27" customHeight="1" thickBot="1" x14ac:dyDescent="0.45">
      <c r="A67" s="124" t="s">
        <v>100</v>
      </c>
      <c r="B67" s="125">
        <v>1</v>
      </c>
      <c r="C67" s="499"/>
      <c r="D67" s="50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</v>
      </c>
      <c r="C68" s="497" t="s">
        <v>102</v>
      </c>
      <c r="D68" s="500">
        <v>120.7</v>
      </c>
      <c r="E68" s="182">
        <v>1</v>
      </c>
      <c r="F68" s="183">
        <v>140813323</v>
      </c>
      <c r="G68" s="271">
        <f>IF(ISBLANK(F68),"-",(F68/$D$50*$D$47*$B$68)*($B$57/$D$68))</f>
        <v>488.72564638178437</v>
      </c>
      <c r="H68" s="186">
        <f t="shared" si="0"/>
        <v>0.97745129276356879</v>
      </c>
    </row>
    <row r="69" spans="1:8" ht="27" customHeight="1" thickBot="1" x14ac:dyDescent="0.45">
      <c r="A69" s="172" t="s">
        <v>103</v>
      </c>
      <c r="B69" s="194">
        <f>(D47*B68)/B56*B57</f>
        <v>101.56220000000002</v>
      </c>
      <c r="C69" s="498"/>
      <c r="D69" s="501"/>
      <c r="E69" s="185">
        <v>2</v>
      </c>
      <c r="F69" s="137">
        <v>141705542</v>
      </c>
      <c r="G69" s="272">
        <f>IF(ISBLANK(F69),"-",(F69/$D$50*$D$47*$B$68)*($B$57/$D$68))</f>
        <v>491.82230157178446</v>
      </c>
      <c r="H69" s="186">
        <f t="shared" si="0"/>
        <v>0.98364460314356894</v>
      </c>
    </row>
    <row r="70" spans="1:8" ht="26.25" customHeight="1" x14ac:dyDescent="0.4">
      <c r="A70" s="510" t="s">
        <v>76</v>
      </c>
      <c r="B70" s="511"/>
      <c r="C70" s="498"/>
      <c r="D70" s="501"/>
      <c r="E70" s="185">
        <v>3</v>
      </c>
      <c r="F70" s="137">
        <v>141650297</v>
      </c>
      <c r="G70" s="272">
        <f>IF(ISBLANK(F70),"-",(F70/$D$50*$D$47*$B$68)*($B$57/$D$68))</f>
        <v>491.63056084896687</v>
      </c>
      <c r="H70" s="186">
        <f t="shared" si="0"/>
        <v>0.98326112169793378</v>
      </c>
    </row>
    <row r="71" spans="1:8" ht="27" customHeight="1" thickBot="1" x14ac:dyDescent="0.45">
      <c r="A71" s="512"/>
      <c r="B71" s="513"/>
      <c r="C71" s="509"/>
      <c r="D71" s="50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488.34373173806603</v>
      </c>
      <c r="H72" s="199">
        <f>AVERAGE(H60:H71)</f>
        <v>0.976687463476132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1.2120046118142372E-2</v>
      </c>
      <c r="H73" s="274">
        <f>STDEV(H60:H71)/H72</f>
        <v>1.2120046118142365E-2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505" t="str">
        <f>B20</f>
        <v>Amoxicillin &amp; Clavulanic Acid</v>
      </c>
      <c r="D76" s="505"/>
      <c r="E76" s="205" t="s">
        <v>106</v>
      </c>
      <c r="F76" s="205"/>
      <c r="G76" s="206">
        <f>H72</f>
        <v>0.976687463476132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3</v>
      </c>
      <c r="B79" s="491" t="str">
        <f>B26</f>
        <v>Amoxicillin</v>
      </c>
      <c r="C79" s="491"/>
    </row>
    <row r="80" spans="1:8" ht="26.25" customHeight="1" x14ac:dyDescent="0.4">
      <c r="A80" s="109" t="s">
        <v>46</v>
      </c>
      <c r="B80" s="491">
        <f>B27</f>
        <v>0</v>
      </c>
      <c r="C80" s="491"/>
    </row>
    <row r="81" spans="1:12" ht="27" customHeight="1" x14ac:dyDescent="0.4">
      <c r="A81" s="109" t="s">
        <v>5</v>
      </c>
      <c r="B81" s="208">
        <f>B28</f>
        <v>86.6</v>
      </c>
    </row>
    <row r="82" spans="1:12" s="14" customFormat="1" ht="27" customHeight="1" x14ac:dyDescent="0.4">
      <c r="A82" s="109" t="s">
        <v>47</v>
      </c>
      <c r="B82" s="111">
        <v>0</v>
      </c>
      <c r="C82" s="482" t="s">
        <v>48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86.6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485" t="s">
        <v>109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485" t="s">
        <v>110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20</v>
      </c>
      <c r="D89" s="209" t="s">
        <v>57</v>
      </c>
      <c r="E89" s="210"/>
      <c r="F89" s="488" t="s">
        <v>58</v>
      </c>
      <c r="G89" s="490"/>
    </row>
    <row r="90" spans="1:12" ht="27" customHeight="1" x14ac:dyDescent="0.4">
      <c r="A90" s="124" t="s">
        <v>59</v>
      </c>
      <c r="B90" s="125">
        <v>10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20</v>
      </c>
      <c r="C91" s="213">
        <v>1</v>
      </c>
      <c r="D91" s="132">
        <v>211297885</v>
      </c>
      <c r="E91" s="133">
        <f>IF(ISBLANK(D91),"-",$D$101/$D$98*D91)</f>
        <v>271782722.13765103</v>
      </c>
      <c r="F91" s="132">
        <v>228043585</v>
      </c>
      <c r="G91" s="134">
        <f>IF(ISBLANK(F91),"-",$D$101/$F$98*F91)</f>
        <v>273703123.19591504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211510490</v>
      </c>
      <c r="E92" s="138">
        <f>IF(ISBLANK(D92),"-",$D$101/$D$98*D92)</f>
        <v>272056186.14151496</v>
      </c>
      <c r="F92" s="137">
        <v>228058943</v>
      </c>
      <c r="G92" s="139">
        <f>IF(ISBLANK(F92),"-",$D$101/$F$98*F92)</f>
        <v>273721556.21855873</v>
      </c>
      <c r="I92" s="492">
        <f>ABS((F96/D96*D95)-F95)/D95</f>
        <v>6.9076638878041684E-3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211259328</v>
      </c>
      <c r="E93" s="138">
        <f>IF(ISBLANK(D93),"-",$D$101/$D$98*D93)</f>
        <v>271733128.04721582</v>
      </c>
      <c r="F93" s="137">
        <v>227794566</v>
      </c>
      <c r="G93" s="139">
        <f>IF(ISBLANK(F93),"-",$D$101/$F$98*F93)</f>
        <v>273404244.9001931</v>
      </c>
      <c r="I93" s="492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211355901</v>
      </c>
      <c r="E95" s="148">
        <f>AVERAGE(E91:E94)</f>
        <v>271857345.44212729</v>
      </c>
      <c r="F95" s="218">
        <f>AVERAGE(F91:F94)</f>
        <v>227965698</v>
      </c>
      <c r="G95" s="219">
        <f>AVERAGE(G91:G94)</f>
        <v>273609641.43822229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19.95</v>
      </c>
      <c r="E96" s="140"/>
      <c r="F96" s="152">
        <v>21.38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19.95</v>
      </c>
      <c r="E97" s="155"/>
      <c r="F97" s="154">
        <f>F96*$B$87</f>
        <v>21.38</v>
      </c>
    </row>
    <row r="98" spans="1:10" ht="19.5" customHeight="1" x14ac:dyDescent="0.3">
      <c r="A98" s="124" t="s">
        <v>74</v>
      </c>
      <c r="B98" s="224">
        <f>(B97/B96)*(B95/B94)*(B93/B92)*(B91/B90)*B89</f>
        <v>40</v>
      </c>
      <c r="C98" s="222" t="s">
        <v>113</v>
      </c>
      <c r="D98" s="225">
        <f>D97*$B$83/100</f>
        <v>17.276699999999998</v>
      </c>
      <c r="E98" s="158"/>
      <c r="F98" s="157">
        <f>F97*$B$83/100</f>
        <v>18.515079999999998</v>
      </c>
    </row>
    <row r="99" spans="1:10" ht="19.5" customHeight="1" x14ac:dyDescent="0.3">
      <c r="A99" s="493" t="s">
        <v>76</v>
      </c>
      <c r="B99" s="507"/>
      <c r="C99" s="222" t="s">
        <v>114</v>
      </c>
      <c r="D99" s="226">
        <f>D98/$B$98</f>
        <v>0.43191749999999995</v>
      </c>
      <c r="E99" s="158"/>
      <c r="F99" s="161">
        <f>F98/$B$98</f>
        <v>0.46287699999999993</v>
      </c>
      <c r="G99" s="227"/>
      <c r="H99" s="150"/>
    </row>
    <row r="100" spans="1:10" ht="19.5" customHeight="1" x14ac:dyDescent="0.3">
      <c r="A100" s="495"/>
      <c r="B100" s="508"/>
      <c r="C100" s="222" t="s">
        <v>78</v>
      </c>
      <c r="D100" s="228">
        <f>$B$56/$B$116</f>
        <v>0.55555555555555558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272733493.44017482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3.5661359270222335E-3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1</v>
      </c>
      <c r="C108" s="243">
        <v>1</v>
      </c>
      <c r="D108" s="244">
        <v>234911081</v>
      </c>
      <c r="E108" s="275">
        <f t="shared" ref="E108:E113" si="1">IF(ISBLANK(D108),"-",D108/$D$103*$D$100*$B$116)</f>
        <v>430.66049211064114</v>
      </c>
      <c r="F108" s="245">
        <f t="shared" ref="F108:F113" si="2">IF(ISBLANK(D108), "-", E108/$B$56)</f>
        <v>0.86132098422128234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234029820</v>
      </c>
      <c r="E109" s="276">
        <f t="shared" si="1"/>
        <v>429.04488379483797</v>
      </c>
      <c r="F109" s="246">
        <f t="shared" si="2"/>
        <v>0.85808976758967592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230495361</v>
      </c>
      <c r="E110" s="276">
        <f t="shared" si="1"/>
        <v>422.56519009199008</v>
      </c>
      <c r="F110" s="246">
        <f t="shared" si="2"/>
        <v>0.84513038018398012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249813426</v>
      </c>
      <c r="E111" s="276">
        <f t="shared" si="1"/>
        <v>457.98083478661118</v>
      </c>
      <c r="F111" s="246">
        <f t="shared" si="2"/>
        <v>0.91596166957322234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244977846</v>
      </c>
      <c r="E112" s="276">
        <f t="shared" si="1"/>
        <v>449.11580699151807</v>
      </c>
      <c r="F112" s="246">
        <f t="shared" si="2"/>
        <v>0.89823161398303619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249940240</v>
      </c>
      <c r="E113" s="277">
        <f t="shared" si="1"/>
        <v>458.21332181708266</v>
      </c>
      <c r="F113" s="249">
        <f t="shared" si="2"/>
        <v>0.91642664363416526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441.2634215987801</v>
      </c>
      <c r="F115" s="252">
        <f>AVERAGE(F108:F113)</f>
        <v>0.88252684319756025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3.5685153100919083E-2</v>
      </c>
      <c r="F116" s="254">
        <f>STDEV(F108:F113)/F115</f>
        <v>3.5685153100919069E-2</v>
      </c>
      <c r="I116" s="98"/>
    </row>
    <row r="117" spans="1:10" ht="27" customHeight="1" x14ac:dyDescent="0.4">
      <c r="A117" s="493" t="s">
        <v>76</v>
      </c>
      <c r="B117" s="494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5"/>
      <c r="B118" s="4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505" t="str">
        <f>B20</f>
        <v>Amoxicillin &amp; Clavulanic Acid</v>
      </c>
      <c r="D120" s="505"/>
      <c r="E120" s="205" t="s">
        <v>122</v>
      </c>
      <c r="F120" s="205"/>
      <c r="G120" s="206">
        <f>F115</f>
        <v>0.88252684319756025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6" t="s">
        <v>24</v>
      </c>
      <c r="C122" s="506"/>
      <c r="E122" s="211" t="s">
        <v>25</v>
      </c>
      <c r="F122" s="260"/>
      <c r="G122" s="506" t="s">
        <v>26</v>
      </c>
      <c r="H122" s="506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4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43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44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1"/>
    </row>
    <row r="16" spans="1:9" ht="19.5" customHeight="1" x14ac:dyDescent="0.3">
      <c r="A16" s="476" t="s">
        <v>29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45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3" t="s">
        <v>31</v>
      </c>
      <c r="B18" s="475" t="s">
        <v>4</v>
      </c>
      <c r="C18" s="475"/>
      <c r="D18" s="450"/>
      <c r="E18" s="284"/>
      <c r="F18" s="285"/>
      <c r="G18" s="285"/>
      <c r="H18" s="285"/>
    </row>
    <row r="19" spans="1:14" ht="26.25" customHeight="1" x14ac:dyDescent="0.4">
      <c r="A19" s="283" t="s">
        <v>32</v>
      </c>
      <c r="B19" s="286" t="s">
        <v>6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33</v>
      </c>
      <c r="B20" s="480" t="s">
        <v>8</v>
      </c>
      <c r="C20" s="480"/>
      <c r="D20" s="285"/>
      <c r="E20" s="285"/>
      <c r="F20" s="285"/>
      <c r="G20" s="285"/>
      <c r="H20" s="285"/>
    </row>
    <row r="21" spans="1:14" ht="26.25" customHeight="1" x14ac:dyDescent="0.4">
      <c r="A21" s="283" t="s">
        <v>34</v>
      </c>
      <c r="B21" s="480" t="s">
        <v>10</v>
      </c>
      <c r="C21" s="480"/>
      <c r="D21" s="480"/>
      <c r="E21" s="480"/>
      <c r="F21" s="480"/>
      <c r="G21" s="480"/>
      <c r="H21" s="480"/>
      <c r="I21" s="287"/>
    </row>
    <row r="22" spans="1:14" ht="26.25" customHeight="1" x14ac:dyDescent="0.4">
      <c r="A22" s="283" t="s">
        <v>35</v>
      </c>
      <c r="B22" s="288" t="s">
        <v>11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36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3</v>
      </c>
      <c r="B26" s="475" t="s">
        <v>124</v>
      </c>
      <c r="C26" s="475"/>
    </row>
    <row r="27" spans="1:14" ht="26.25" customHeight="1" x14ac:dyDescent="0.4">
      <c r="A27" s="292" t="s">
        <v>46</v>
      </c>
      <c r="B27" s="481"/>
      <c r="C27" s="481"/>
    </row>
    <row r="28" spans="1:14" ht="27" customHeight="1" x14ac:dyDescent="0.4">
      <c r="A28" s="292" t="s">
        <v>5</v>
      </c>
      <c r="B28" s="293">
        <v>96.4</v>
      </c>
    </row>
    <row r="29" spans="1:14" s="14" customFormat="1" ht="27" customHeight="1" x14ac:dyDescent="0.4">
      <c r="A29" s="292" t="s">
        <v>47</v>
      </c>
      <c r="B29" s="294"/>
      <c r="C29" s="482" t="s">
        <v>48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49</v>
      </c>
      <c r="B30" s="296">
        <f>B28-B29</f>
        <v>96.4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50</v>
      </c>
      <c r="B31" s="299">
        <v>1</v>
      </c>
      <c r="C31" s="485" t="s">
        <v>51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52</v>
      </c>
      <c r="B32" s="299">
        <v>1</v>
      </c>
      <c r="C32" s="485" t="s">
        <v>53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56</v>
      </c>
      <c r="B36" s="306">
        <v>20</v>
      </c>
      <c r="C36" s="282"/>
      <c r="D36" s="488" t="s">
        <v>57</v>
      </c>
      <c r="E36" s="489"/>
      <c r="F36" s="488" t="s">
        <v>58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59</v>
      </c>
      <c r="B37" s="308">
        <v>3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64</v>
      </c>
      <c r="B38" s="308">
        <v>25</v>
      </c>
      <c r="C38" s="314">
        <v>1</v>
      </c>
      <c r="D38" s="315">
        <v>34051367</v>
      </c>
      <c r="E38" s="316">
        <f>IF(ISBLANK(D38),"-",$D$48/$D$45*D38)</f>
        <v>36197527.067222103</v>
      </c>
      <c r="F38" s="315">
        <v>34853336</v>
      </c>
      <c r="G38" s="317">
        <f>IF(ISBLANK(F38),"-",$D$48/$F$45*F38)</f>
        <v>34647072.277551502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65</v>
      </c>
      <c r="B39" s="308">
        <v>1</v>
      </c>
      <c r="C39" s="319">
        <v>2</v>
      </c>
      <c r="D39" s="320">
        <v>33865721</v>
      </c>
      <c r="E39" s="321">
        <f>IF(ISBLANK(D39),"-",$D$48/$D$45*D39)</f>
        <v>36000180.331923008</v>
      </c>
      <c r="F39" s="320">
        <v>36804197</v>
      </c>
      <c r="G39" s="322">
        <f>IF(ISBLANK(F39),"-",$D$48/$F$45*F39)</f>
        <v>36586387.988118105</v>
      </c>
      <c r="I39" s="492">
        <f>ABS((F43/D43*D42)-F42)/D42</f>
        <v>4.3503798812068381E-3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66</v>
      </c>
      <c r="B40" s="308">
        <v>1</v>
      </c>
      <c r="C40" s="319">
        <v>3</v>
      </c>
      <c r="D40" s="320">
        <v>33830952</v>
      </c>
      <c r="E40" s="321">
        <f>IF(ISBLANK(D40),"-",$D$48/$D$45*D40)</f>
        <v>35963219.941504605</v>
      </c>
      <c r="F40" s="320">
        <v>36704664</v>
      </c>
      <c r="G40" s="322">
        <f>IF(ISBLANK(F40),"-",$D$48/$F$45*F40)</f>
        <v>36487444.029209793</v>
      </c>
      <c r="I40" s="492"/>
      <c r="L40" s="300"/>
      <c r="M40" s="300"/>
      <c r="N40" s="323"/>
    </row>
    <row r="41" spans="1:14" ht="27" customHeight="1" x14ac:dyDescent="0.4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68</v>
      </c>
      <c r="B42" s="308">
        <v>1</v>
      </c>
      <c r="C42" s="329" t="s">
        <v>69</v>
      </c>
      <c r="D42" s="330">
        <f>AVERAGE(D38:D41)</f>
        <v>33916013.333333336</v>
      </c>
      <c r="E42" s="331">
        <f>AVERAGE(E38:E41)</f>
        <v>36053642.446883239</v>
      </c>
      <c r="F42" s="330">
        <f>AVERAGE(F38:F41)</f>
        <v>36120732.333333336</v>
      </c>
      <c r="G42" s="332">
        <f>AVERAGE(G38:G41)</f>
        <v>35906968.098293133</v>
      </c>
      <c r="H42" s="333"/>
    </row>
    <row r="43" spans="1:14" ht="26.25" customHeight="1" x14ac:dyDescent="0.4">
      <c r="A43" s="307" t="s">
        <v>70</v>
      </c>
      <c r="B43" s="308">
        <v>1</v>
      </c>
      <c r="C43" s="334" t="s">
        <v>71</v>
      </c>
      <c r="D43" s="335">
        <v>20.329999999999998</v>
      </c>
      <c r="E43" s="323"/>
      <c r="F43" s="335">
        <v>21.74</v>
      </c>
      <c r="H43" s="333"/>
    </row>
    <row r="44" spans="1:14" ht="26.25" customHeight="1" x14ac:dyDescent="0.4">
      <c r="A44" s="307" t="s">
        <v>72</v>
      </c>
      <c r="B44" s="308">
        <v>1</v>
      </c>
      <c r="C44" s="336" t="s">
        <v>73</v>
      </c>
      <c r="D44" s="337">
        <f>D43*$B$34</f>
        <v>20.329999999999998</v>
      </c>
      <c r="E44" s="338"/>
      <c r="F44" s="337">
        <f>F43*$B$34</f>
        <v>21.74</v>
      </c>
      <c r="H44" s="333"/>
    </row>
    <row r="45" spans="1:14" ht="19.5" customHeight="1" x14ac:dyDescent="0.3">
      <c r="A45" s="307" t="s">
        <v>74</v>
      </c>
      <c r="B45" s="339">
        <f>(B44/B43)*(B42/B41)*(B40/B39)*(B38/B37)*B36</f>
        <v>166.66666666666669</v>
      </c>
      <c r="C45" s="336" t="s">
        <v>75</v>
      </c>
      <c r="D45" s="340">
        <f>D44*$B$30/100</f>
        <v>19.598119999999998</v>
      </c>
      <c r="E45" s="341"/>
      <c r="F45" s="340">
        <f>F44*$B$30/100</f>
        <v>20.957359999999998</v>
      </c>
      <c r="H45" s="333"/>
    </row>
    <row r="46" spans="1:14" ht="19.5" customHeight="1" x14ac:dyDescent="0.3">
      <c r="A46" s="493" t="s">
        <v>76</v>
      </c>
      <c r="B46" s="494"/>
      <c r="C46" s="336" t="s">
        <v>77</v>
      </c>
      <c r="D46" s="342">
        <f>D45/$B$45</f>
        <v>0.11758871999999998</v>
      </c>
      <c r="E46" s="343"/>
      <c r="F46" s="344">
        <f>F45/$B$45</f>
        <v>0.12574415999999997</v>
      </c>
      <c r="H46" s="333"/>
    </row>
    <row r="47" spans="1:14" ht="27" customHeight="1" x14ac:dyDescent="0.4">
      <c r="A47" s="495"/>
      <c r="B47" s="496"/>
      <c r="C47" s="345" t="s">
        <v>78</v>
      </c>
      <c r="D47" s="346">
        <v>0.125</v>
      </c>
      <c r="E47" s="347"/>
      <c r="F47" s="343"/>
      <c r="H47" s="333"/>
    </row>
    <row r="48" spans="1:14" ht="18.75" x14ac:dyDescent="0.3">
      <c r="C48" s="348" t="s">
        <v>79</v>
      </c>
      <c r="D48" s="340">
        <f>D47*$B$45</f>
        <v>20.833333333333336</v>
      </c>
      <c r="F48" s="349"/>
      <c r="H48" s="333"/>
    </row>
    <row r="49" spans="1:12" ht="19.5" customHeight="1" x14ac:dyDescent="0.3">
      <c r="C49" s="350" t="s">
        <v>80</v>
      </c>
      <c r="D49" s="351">
        <f>D48/B34</f>
        <v>20.833333333333336</v>
      </c>
      <c r="F49" s="349"/>
      <c r="H49" s="333"/>
    </row>
    <row r="50" spans="1:12" ht="18.75" x14ac:dyDescent="0.3">
      <c r="C50" s="305" t="s">
        <v>81</v>
      </c>
      <c r="D50" s="352">
        <f>AVERAGE(E38:E41,G38:G41)</f>
        <v>35980305.272588186</v>
      </c>
      <c r="F50" s="353"/>
      <c r="H50" s="333"/>
    </row>
    <row r="51" spans="1:12" ht="18.75" x14ac:dyDescent="0.3">
      <c r="C51" s="307" t="s">
        <v>82</v>
      </c>
      <c r="D51" s="354">
        <f>STDEV(E38:E41,G38:G41)/D50</f>
        <v>1.945472427681345E-2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83</v>
      </c>
    </row>
    <row r="55" spans="1:12" ht="18.75" x14ac:dyDescent="0.3">
      <c r="A55" s="282" t="s">
        <v>84</v>
      </c>
      <c r="B55" s="359" t="str">
        <f>B21</f>
        <v>Each film coated tablet contains: Amoxicillin Trihydrate USP Eq. to Amoxicillin 500mg
Clavulanate Potassium USP Eq. to Clavulanic Acid 125mg</v>
      </c>
    </row>
    <row r="56" spans="1:12" ht="26.25" customHeight="1" x14ac:dyDescent="0.4">
      <c r="A56" s="360" t="s">
        <v>85</v>
      </c>
      <c r="B56" s="361">
        <v>125</v>
      </c>
      <c r="C56" s="282" t="str">
        <f>B20</f>
        <v>Amoxicillin &amp; Clavulanic Acid</v>
      </c>
      <c r="H56" s="362"/>
    </row>
    <row r="57" spans="1:12" ht="18.75" x14ac:dyDescent="0.3">
      <c r="A57" s="359" t="s">
        <v>86</v>
      </c>
      <c r="B57" s="451">
        <f>Uniformity!C46</f>
        <v>1015.6220000000001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87</v>
      </c>
      <c r="B59" s="306">
        <v>100</v>
      </c>
      <c r="C59" s="282"/>
      <c r="D59" s="363" t="s">
        <v>88</v>
      </c>
      <c r="E59" s="364" t="s">
        <v>60</v>
      </c>
      <c r="F59" s="364" t="s">
        <v>61</v>
      </c>
      <c r="G59" s="364" t="s">
        <v>89</v>
      </c>
      <c r="H59" s="309" t="s">
        <v>90</v>
      </c>
      <c r="L59" s="295"/>
    </row>
    <row r="60" spans="1:12" s="14" customFormat="1" ht="26.25" customHeight="1" x14ac:dyDescent="0.4">
      <c r="A60" s="307" t="s">
        <v>91</v>
      </c>
      <c r="B60" s="308">
        <v>1</v>
      </c>
      <c r="C60" s="497" t="s">
        <v>92</v>
      </c>
      <c r="D60" s="500">
        <v>152.03</v>
      </c>
      <c r="E60" s="365">
        <v>1</v>
      </c>
      <c r="F60" s="366">
        <v>50749753</v>
      </c>
      <c r="G60" s="452">
        <f>IF(ISBLANK(F60),"-",(F60/$D$50*$D$47*$B$68)*($B$57/$D$60))</f>
        <v>117.78280868456741</v>
      </c>
      <c r="H60" s="367">
        <f t="shared" ref="H60:H71" si="0">IF(ISBLANK(F60),"-",G60/$B$56)</f>
        <v>0.94226246947653935</v>
      </c>
      <c r="L60" s="295"/>
    </row>
    <row r="61" spans="1:12" s="14" customFormat="1" ht="26.25" customHeight="1" x14ac:dyDescent="0.4">
      <c r="A61" s="307" t="s">
        <v>93</v>
      </c>
      <c r="B61" s="308">
        <v>1</v>
      </c>
      <c r="C61" s="498"/>
      <c r="D61" s="501"/>
      <c r="E61" s="368">
        <v>2</v>
      </c>
      <c r="F61" s="320">
        <v>50730828</v>
      </c>
      <c r="G61" s="453">
        <f>IF(ISBLANK(F61),"-",(F61/$D$50*$D$47*$B$68)*($B$57/$D$60))</f>
        <v>117.73888650716574</v>
      </c>
      <c r="H61" s="369">
        <f t="shared" si="0"/>
        <v>0.94191109205732593</v>
      </c>
      <c r="L61" s="295"/>
    </row>
    <row r="62" spans="1:12" s="14" customFormat="1" ht="26.25" customHeight="1" x14ac:dyDescent="0.4">
      <c r="A62" s="307" t="s">
        <v>94</v>
      </c>
      <c r="B62" s="308">
        <v>1</v>
      </c>
      <c r="C62" s="498"/>
      <c r="D62" s="501"/>
      <c r="E62" s="368">
        <v>3</v>
      </c>
      <c r="F62" s="370">
        <v>50599084</v>
      </c>
      <c r="G62" s="453">
        <f>IF(ISBLANK(F62),"-",(F62/$D$50*$D$47*$B$68)*($B$57/$D$60))</f>
        <v>117.4331278102251</v>
      </c>
      <c r="H62" s="369">
        <f t="shared" si="0"/>
        <v>0.93946502248180086</v>
      </c>
      <c r="L62" s="295"/>
    </row>
    <row r="63" spans="1:12" ht="27" customHeight="1" x14ac:dyDescent="0.4">
      <c r="A63" s="307" t="s">
        <v>95</v>
      </c>
      <c r="B63" s="308">
        <v>1</v>
      </c>
      <c r="C63" s="499"/>
      <c r="D63" s="50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96</v>
      </c>
      <c r="B64" s="308">
        <v>1</v>
      </c>
      <c r="C64" s="497" t="s">
        <v>97</v>
      </c>
      <c r="D64" s="500">
        <v>125.9</v>
      </c>
      <c r="E64" s="365">
        <v>1</v>
      </c>
      <c r="F64" s="366">
        <v>41527899</v>
      </c>
      <c r="G64" s="454">
        <f>IF(ISBLANK(F64),"-",(F64/$D$50*$D$47*$B$68)*($B$57/$D$64))</f>
        <v>116.38352277476393</v>
      </c>
      <c r="H64" s="373">
        <f t="shared" si="0"/>
        <v>0.93106818219811149</v>
      </c>
    </row>
    <row r="65" spans="1:8" ht="26.25" customHeight="1" x14ac:dyDescent="0.4">
      <c r="A65" s="307" t="s">
        <v>98</v>
      </c>
      <c r="B65" s="308">
        <v>1</v>
      </c>
      <c r="C65" s="498"/>
      <c r="D65" s="501"/>
      <c r="E65" s="368">
        <v>2</v>
      </c>
      <c r="F65" s="320">
        <v>41465472</v>
      </c>
      <c r="G65" s="455">
        <f>IF(ISBLANK(F65),"-",(F65/$D$50*$D$47*$B$68)*($B$57/$D$64))</f>
        <v>116.20856872336201</v>
      </c>
      <c r="H65" s="374">
        <f t="shared" si="0"/>
        <v>0.92966854978689606</v>
      </c>
    </row>
    <row r="66" spans="1:8" ht="26.25" customHeight="1" x14ac:dyDescent="0.4">
      <c r="A66" s="307" t="s">
        <v>99</v>
      </c>
      <c r="B66" s="308">
        <v>1</v>
      </c>
      <c r="C66" s="498"/>
      <c r="D66" s="501"/>
      <c r="E66" s="368">
        <v>3</v>
      </c>
      <c r="F66" s="320">
        <v>41226089</v>
      </c>
      <c r="G66" s="455">
        <f>IF(ISBLANK(F66),"-",(F66/$D$50*$D$47*$B$68)*($B$57/$D$64))</f>
        <v>115.53768872453541</v>
      </c>
      <c r="H66" s="374">
        <f t="shared" si="0"/>
        <v>0.92430150979628334</v>
      </c>
    </row>
    <row r="67" spans="1:8" ht="27" customHeight="1" x14ac:dyDescent="0.4">
      <c r="A67" s="307" t="s">
        <v>100</v>
      </c>
      <c r="B67" s="308">
        <v>1</v>
      </c>
      <c r="C67" s="499"/>
      <c r="D67" s="50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101</v>
      </c>
      <c r="B68" s="376">
        <f>(B67/B66)*(B65/B64)*(B63/B62)*(B61/B60)*B59</f>
        <v>100</v>
      </c>
      <c r="C68" s="497" t="s">
        <v>102</v>
      </c>
      <c r="D68" s="500">
        <v>120.7</v>
      </c>
      <c r="E68" s="365">
        <v>1</v>
      </c>
      <c r="F68" s="366">
        <v>40037733</v>
      </c>
      <c r="G68" s="454">
        <f>IF(ISBLANK(F68),"-",(F68/$D$50*$D$47*$B$68)*($B$57/$D$68))</f>
        <v>117.04139192156107</v>
      </c>
      <c r="H68" s="369">
        <f t="shared" si="0"/>
        <v>0.93633113537248858</v>
      </c>
    </row>
    <row r="69" spans="1:8" ht="27" customHeight="1" x14ac:dyDescent="0.4">
      <c r="A69" s="355" t="s">
        <v>103</v>
      </c>
      <c r="B69" s="377">
        <f>(D47*B68)/B56*B57</f>
        <v>101.56220000000002</v>
      </c>
      <c r="C69" s="498"/>
      <c r="D69" s="501"/>
      <c r="E69" s="368">
        <v>2</v>
      </c>
      <c r="F69" s="320">
        <v>40172146</v>
      </c>
      <c r="G69" s="455">
        <f>IF(ISBLANK(F69),"-",(F69/$D$50*$D$47*$B$68)*($B$57/$D$68))</f>
        <v>117.43431837951894</v>
      </c>
      <c r="H69" s="369">
        <f t="shared" si="0"/>
        <v>0.93947454703615152</v>
      </c>
    </row>
    <row r="70" spans="1:8" ht="26.25" customHeight="1" x14ac:dyDescent="0.4">
      <c r="A70" s="510" t="s">
        <v>76</v>
      </c>
      <c r="B70" s="511"/>
      <c r="C70" s="498"/>
      <c r="D70" s="501"/>
      <c r="E70" s="368">
        <v>3</v>
      </c>
      <c r="F70" s="320">
        <v>40147143</v>
      </c>
      <c r="G70" s="455">
        <f>IF(ISBLANK(F70),"-",(F70/$D$50*$D$47*$B$68)*($B$57/$D$68))</f>
        <v>117.36122767974794</v>
      </c>
      <c r="H70" s="369">
        <f t="shared" si="0"/>
        <v>0.9388898214379835</v>
      </c>
    </row>
    <row r="71" spans="1:8" ht="27" customHeight="1" x14ac:dyDescent="0.4">
      <c r="A71" s="512"/>
      <c r="B71" s="513"/>
      <c r="C71" s="509"/>
      <c r="D71" s="50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69</v>
      </c>
      <c r="G72" s="461">
        <f>AVERAGE(G60:G71)</f>
        <v>116.99128235616084</v>
      </c>
      <c r="H72" s="382">
        <f>AVERAGE(H60:H71)</f>
        <v>0.93593025884928671</v>
      </c>
    </row>
    <row r="73" spans="1:8" ht="26.25" customHeight="1" x14ac:dyDescent="0.4">
      <c r="C73" s="379"/>
      <c r="D73" s="379"/>
      <c r="E73" s="379"/>
      <c r="F73" s="383" t="s">
        <v>82</v>
      </c>
      <c r="G73" s="457">
        <f>STDEV(G60:G71)/G72</f>
        <v>6.6287331410309399E-3</v>
      </c>
      <c r="H73" s="457">
        <f>STDEV(H60:H71)/H72</f>
        <v>6.6287331410309312E-3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104</v>
      </c>
      <c r="B76" s="387" t="s">
        <v>105</v>
      </c>
      <c r="C76" s="505" t="str">
        <f>B20</f>
        <v>Amoxicillin &amp; Clavulanic Acid</v>
      </c>
      <c r="D76" s="505"/>
      <c r="E76" s="388" t="s">
        <v>106</v>
      </c>
      <c r="F76" s="388"/>
      <c r="G76" s="389">
        <f>H72</f>
        <v>0.93593025884928671</v>
      </c>
      <c r="H76" s="390"/>
    </row>
    <row r="77" spans="1:8" ht="18.75" x14ac:dyDescent="0.3">
      <c r="A77" s="290" t="s">
        <v>107</v>
      </c>
      <c r="B77" s="290" t="s">
        <v>108</v>
      </c>
    </row>
    <row r="78" spans="1:8" ht="18.75" x14ac:dyDescent="0.3">
      <c r="A78" s="290"/>
      <c r="B78" s="290"/>
    </row>
    <row r="79" spans="1:8" ht="26.25" customHeight="1" x14ac:dyDescent="0.4">
      <c r="A79" s="291" t="s">
        <v>3</v>
      </c>
      <c r="B79" s="491" t="str">
        <f>B26</f>
        <v>Clavulanic acid</v>
      </c>
      <c r="C79" s="491"/>
    </row>
    <row r="80" spans="1:8" ht="26.25" customHeight="1" x14ac:dyDescent="0.4">
      <c r="A80" s="292" t="s">
        <v>46</v>
      </c>
      <c r="B80" s="491">
        <f>B27</f>
        <v>0</v>
      </c>
      <c r="C80" s="491"/>
    </row>
    <row r="81" spans="1:12" ht="27" customHeight="1" x14ac:dyDescent="0.4">
      <c r="A81" s="292" t="s">
        <v>5</v>
      </c>
      <c r="B81" s="391">
        <f>B28</f>
        <v>96.4</v>
      </c>
    </row>
    <row r="82" spans="1:12" s="14" customFormat="1" ht="27" customHeight="1" x14ac:dyDescent="0.4">
      <c r="A82" s="292" t="s">
        <v>47</v>
      </c>
      <c r="B82" s="294">
        <v>0</v>
      </c>
      <c r="C82" s="482" t="s">
        <v>48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49</v>
      </c>
      <c r="B83" s="296">
        <f>B81-B82</f>
        <v>96.4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50</v>
      </c>
      <c r="B84" s="299">
        <v>1</v>
      </c>
      <c r="C84" s="485" t="s">
        <v>109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52</v>
      </c>
      <c r="B85" s="299">
        <v>1</v>
      </c>
      <c r="C85" s="485" t="s">
        <v>110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56</v>
      </c>
      <c r="B89" s="306">
        <v>10</v>
      </c>
      <c r="D89" s="392" t="s">
        <v>57</v>
      </c>
      <c r="E89" s="393"/>
      <c r="F89" s="488" t="s">
        <v>58</v>
      </c>
      <c r="G89" s="490"/>
    </row>
    <row r="90" spans="1:12" ht="27" customHeight="1" x14ac:dyDescent="0.4">
      <c r="A90" s="307" t="s">
        <v>59</v>
      </c>
      <c r="B90" s="308">
        <v>3</v>
      </c>
      <c r="C90" s="394" t="s">
        <v>60</v>
      </c>
      <c r="D90" s="310" t="s">
        <v>61</v>
      </c>
      <c r="E90" s="311" t="s">
        <v>62</v>
      </c>
      <c r="F90" s="310" t="s">
        <v>61</v>
      </c>
      <c r="G90" s="395" t="s">
        <v>62</v>
      </c>
      <c r="I90" s="313" t="s">
        <v>63</v>
      </c>
    </row>
    <row r="91" spans="1:12" ht="26.25" customHeight="1" x14ac:dyDescent="0.4">
      <c r="A91" s="307" t="s">
        <v>64</v>
      </c>
      <c r="B91" s="308">
        <v>20</v>
      </c>
      <c r="C91" s="396">
        <v>1</v>
      </c>
      <c r="D91" s="315">
        <v>82328986</v>
      </c>
      <c r="E91" s="316">
        <f>IF(ISBLANK(D91),"-",$D$101/$D$98*D91)</f>
        <v>76923469.2031748</v>
      </c>
      <c r="F91" s="315">
        <v>99606490</v>
      </c>
      <c r="G91" s="317">
        <f>IF(ISBLANK(F91),"-",$D$101/$F$98*F91)</f>
        <v>77719284.562260449</v>
      </c>
      <c r="I91" s="318"/>
    </row>
    <row r="92" spans="1:12" ht="26.25" customHeight="1" x14ac:dyDescent="0.4">
      <c r="A92" s="307" t="s">
        <v>65</v>
      </c>
      <c r="B92" s="308">
        <v>1</v>
      </c>
      <c r="C92" s="380">
        <v>2</v>
      </c>
      <c r="D92" s="320">
        <v>82385629</v>
      </c>
      <c r="E92" s="321">
        <f>IF(ISBLANK(D92),"-",$D$101/$D$98*D92)</f>
        <v>76976393.164440095</v>
      </c>
      <c r="F92" s="320">
        <v>99551481</v>
      </c>
      <c r="G92" s="322">
        <f>IF(ISBLANK(F92),"-",$D$101/$F$98*F92)</f>
        <v>77676363.060614467</v>
      </c>
      <c r="I92" s="492">
        <f>ABS((F96/D96*D95)-F95)/D95</f>
        <v>1.0952369803823813E-2</v>
      </c>
    </row>
    <row r="93" spans="1:12" ht="26.25" customHeight="1" x14ac:dyDescent="0.4">
      <c r="A93" s="307" t="s">
        <v>66</v>
      </c>
      <c r="B93" s="308">
        <v>1</v>
      </c>
      <c r="C93" s="380">
        <v>3</v>
      </c>
      <c r="D93" s="320">
        <v>82329861</v>
      </c>
      <c r="E93" s="321">
        <f>IF(ISBLANK(D93),"-",$D$101/$D$98*D93)</f>
        <v>76924286.752847433</v>
      </c>
      <c r="F93" s="320">
        <v>99376302</v>
      </c>
      <c r="G93" s="322">
        <f>IF(ISBLANK(F93),"-",$D$101/$F$98*F93)</f>
        <v>77539677.323065311</v>
      </c>
      <c r="I93" s="492"/>
    </row>
    <row r="94" spans="1:12" ht="27" customHeight="1" x14ac:dyDescent="0.4">
      <c r="A94" s="307" t="s">
        <v>67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68</v>
      </c>
      <c r="B95" s="308">
        <v>1</v>
      </c>
      <c r="C95" s="399" t="s">
        <v>69</v>
      </c>
      <c r="D95" s="400">
        <f>AVERAGE(D91:D94)</f>
        <v>82348158.666666672</v>
      </c>
      <c r="E95" s="331">
        <f>AVERAGE(E91:E94)</f>
        <v>76941383.040154114</v>
      </c>
      <c r="F95" s="401">
        <f>AVERAGE(F91:F94)</f>
        <v>99511424.333333328</v>
      </c>
      <c r="G95" s="402">
        <f>AVERAGE(G91:G94)</f>
        <v>77645108.315313414</v>
      </c>
    </row>
    <row r="96" spans="1:12" ht="26.25" customHeight="1" x14ac:dyDescent="0.4">
      <c r="A96" s="307" t="s">
        <v>70</v>
      </c>
      <c r="B96" s="293">
        <v>1</v>
      </c>
      <c r="C96" s="403" t="s">
        <v>111</v>
      </c>
      <c r="D96" s="404">
        <v>10.28</v>
      </c>
      <c r="E96" s="323"/>
      <c r="F96" s="335">
        <v>12.31</v>
      </c>
    </row>
    <row r="97" spans="1:10" ht="26.25" customHeight="1" x14ac:dyDescent="0.4">
      <c r="A97" s="307" t="s">
        <v>72</v>
      </c>
      <c r="B97" s="293">
        <v>1</v>
      </c>
      <c r="C97" s="405" t="s">
        <v>112</v>
      </c>
      <c r="D97" s="406">
        <f>D96*$B$87</f>
        <v>10.28</v>
      </c>
      <c r="E97" s="338"/>
      <c r="F97" s="337">
        <f>F96*$B$87</f>
        <v>12.31</v>
      </c>
    </row>
    <row r="98" spans="1:10" ht="19.5" customHeight="1" x14ac:dyDescent="0.3">
      <c r="A98" s="307" t="s">
        <v>74</v>
      </c>
      <c r="B98" s="407">
        <f>(B97/B96)*(B95/B94)*(B93/B92)*(B91/B90)*B89</f>
        <v>66.666666666666671</v>
      </c>
      <c r="C98" s="405" t="s">
        <v>113</v>
      </c>
      <c r="D98" s="408">
        <f>D97*$B$83/100</f>
        <v>9.9099199999999996</v>
      </c>
      <c r="E98" s="341"/>
      <c r="F98" s="340">
        <f>F97*$B$83/100</f>
        <v>11.866840000000002</v>
      </c>
    </row>
    <row r="99" spans="1:10" ht="19.5" customHeight="1" x14ac:dyDescent="0.3">
      <c r="A99" s="493" t="s">
        <v>76</v>
      </c>
      <c r="B99" s="507"/>
      <c r="C99" s="405" t="s">
        <v>114</v>
      </c>
      <c r="D99" s="409">
        <f>D98/$B$98</f>
        <v>0.14864879999999997</v>
      </c>
      <c r="E99" s="341"/>
      <c r="F99" s="344">
        <f>F98/$B$98</f>
        <v>0.17800260000000001</v>
      </c>
      <c r="G99" s="410"/>
      <c r="H99" s="333"/>
    </row>
    <row r="100" spans="1:10" ht="19.5" customHeight="1" x14ac:dyDescent="0.3">
      <c r="A100" s="495"/>
      <c r="B100" s="508"/>
      <c r="C100" s="405" t="s">
        <v>78</v>
      </c>
      <c r="D100" s="411">
        <f>$B$56/$B$116</f>
        <v>0.1388888888888889</v>
      </c>
      <c r="F100" s="349"/>
      <c r="G100" s="412"/>
      <c r="H100" s="333"/>
    </row>
    <row r="101" spans="1:10" ht="18.75" x14ac:dyDescent="0.3">
      <c r="C101" s="405" t="s">
        <v>79</v>
      </c>
      <c r="D101" s="406">
        <f>D100*$B$98</f>
        <v>9.2592592592592595</v>
      </c>
      <c r="F101" s="349"/>
      <c r="G101" s="410"/>
      <c r="H101" s="333"/>
    </row>
    <row r="102" spans="1:10" ht="19.5" customHeight="1" x14ac:dyDescent="0.3">
      <c r="C102" s="413" t="s">
        <v>80</v>
      </c>
      <c r="D102" s="414">
        <f>D101/B34</f>
        <v>9.2592592592592595</v>
      </c>
      <c r="F102" s="353"/>
      <c r="G102" s="410"/>
      <c r="H102" s="333"/>
      <c r="J102" s="415"/>
    </row>
    <row r="103" spans="1:10" ht="18.75" x14ac:dyDescent="0.3">
      <c r="C103" s="416" t="s">
        <v>115</v>
      </c>
      <c r="D103" s="417">
        <f>AVERAGE(E91:E94,G91:G94)</f>
        <v>77293245.677733764</v>
      </c>
      <c r="F103" s="353"/>
      <c r="G103" s="418"/>
      <c r="H103" s="333"/>
      <c r="J103" s="419"/>
    </row>
    <row r="104" spans="1:10" ht="18.75" x14ac:dyDescent="0.3">
      <c r="C104" s="383" t="s">
        <v>82</v>
      </c>
      <c r="D104" s="420">
        <f>STDEV(E91:E94,G91:G94)/D103</f>
        <v>5.0516120743624906E-3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116</v>
      </c>
      <c r="B107" s="306">
        <v>900</v>
      </c>
      <c r="C107" s="422" t="s">
        <v>117</v>
      </c>
      <c r="D107" s="423" t="s">
        <v>61</v>
      </c>
      <c r="E107" s="424" t="s">
        <v>118</v>
      </c>
      <c r="F107" s="425" t="s">
        <v>119</v>
      </c>
    </row>
    <row r="108" spans="1:10" ht="26.25" customHeight="1" x14ac:dyDescent="0.4">
      <c r="A108" s="307" t="s">
        <v>120</v>
      </c>
      <c r="B108" s="308">
        <v>1</v>
      </c>
      <c r="C108" s="426">
        <v>1</v>
      </c>
      <c r="D108" s="427">
        <v>77906730</v>
      </c>
      <c r="E108" s="458">
        <f t="shared" ref="E108:E113" si="1">IF(ISBLANK(D108),"-",D108/$D$103*$D$100*$B$116)</f>
        <v>125.99213766495215</v>
      </c>
      <c r="F108" s="428">
        <f t="shared" ref="F108:F113" si="2">IF(ISBLANK(D108), "-", E108/$B$56)</f>
        <v>1.0079371013196172</v>
      </c>
    </row>
    <row r="109" spans="1:10" ht="26.25" customHeight="1" x14ac:dyDescent="0.4">
      <c r="A109" s="307" t="s">
        <v>93</v>
      </c>
      <c r="B109" s="308">
        <v>1</v>
      </c>
      <c r="C109" s="426">
        <v>2</v>
      </c>
      <c r="D109" s="427">
        <v>88139099</v>
      </c>
      <c r="E109" s="459">
        <f t="shared" si="1"/>
        <v>142.54010526270127</v>
      </c>
      <c r="F109" s="429">
        <f t="shared" si="2"/>
        <v>1.1403208421016102</v>
      </c>
    </row>
    <row r="110" spans="1:10" ht="26.25" customHeight="1" x14ac:dyDescent="0.4">
      <c r="A110" s="307" t="s">
        <v>94</v>
      </c>
      <c r="B110" s="308">
        <v>1</v>
      </c>
      <c r="C110" s="426">
        <v>3</v>
      </c>
      <c r="D110" s="427">
        <v>79030508</v>
      </c>
      <c r="E110" s="459">
        <f t="shared" si="1"/>
        <v>127.80953126472004</v>
      </c>
      <c r="F110" s="429">
        <f t="shared" si="2"/>
        <v>1.0224762501177602</v>
      </c>
    </row>
    <row r="111" spans="1:10" ht="26.25" customHeight="1" x14ac:dyDescent="0.4">
      <c r="A111" s="307" t="s">
        <v>95</v>
      </c>
      <c r="B111" s="308">
        <v>1</v>
      </c>
      <c r="C111" s="426">
        <v>4</v>
      </c>
      <c r="D111" s="427">
        <v>82171157</v>
      </c>
      <c r="E111" s="459">
        <f t="shared" si="1"/>
        <v>132.88864421382334</v>
      </c>
      <c r="F111" s="429">
        <f t="shared" si="2"/>
        <v>1.0631091537105868</v>
      </c>
    </row>
    <row r="112" spans="1:10" ht="26.25" customHeight="1" x14ac:dyDescent="0.4">
      <c r="A112" s="307" t="s">
        <v>96</v>
      </c>
      <c r="B112" s="308">
        <v>1</v>
      </c>
      <c r="C112" s="426">
        <v>5</v>
      </c>
      <c r="D112" s="427">
        <v>70658595</v>
      </c>
      <c r="E112" s="459">
        <f t="shared" si="1"/>
        <v>114.27032591988009</v>
      </c>
      <c r="F112" s="429">
        <f t="shared" si="2"/>
        <v>0.91416260735904076</v>
      </c>
    </row>
    <row r="113" spans="1:10" ht="26.25" customHeight="1" x14ac:dyDescent="0.4">
      <c r="A113" s="307" t="s">
        <v>98</v>
      </c>
      <c r="B113" s="308">
        <v>1</v>
      </c>
      <c r="C113" s="430">
        <v>6</v>
      </c>
      <c r="D113" s="431">
        <v>76328336</v>
      </c>
      <c r="E113" s="460">
        <f t="shared" si="1"/>
        <v>123.43953105269242</v>
      </c>
      <c r="F113" s="432">
        <f t="shared" si="2"/>
        <v>0.98751624842153929</v>
      </c>
    </row>
    <row r="114" spans="1:10" ht="26.25" customHeight="1" x14ac:dyDescent="0.4">
      <c r="A114" s="307" t="s">
        <v>99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100</v>
      </c>
      <c r="B115" s="308">
        <v>1</v>
      </c>
      <c r="C115" s="426"/>
      <c r="D115" s="434" t="s">
        <v>69</v>
      </c>
      <c r="E115" s="462">
        <f>AVERAGE(E108:E113)</f>
        <v>127.82337922979487</v>
      </c>
      <c r="F115" s="435">
        <f>AVERAGE(F108:F113)</f>
        <v>1.0225870338383591</v>
      </c>
    </row>
    <row r="116" spans="1:10" ht="27" customHeight="1" x14ac:dyDescent="0.4">
      <c r="A116" s="307" t="s">
        <v>101</v>
      </c>
      <c r="B116" s="339">
        <f>(B115/B114)*(B113/B112)*(B111/B110)*(B109/B108)*B107</f>
        <v>900</v>
      </c>
      <c r="C116" s="436"/>
      <c r="D116" s="399" t="s">
        <v>82</v>
      </c>
      <c r="E116" s="437">
        <f>STDEV(E108:E113)/E115</f>
        <v>7.4094157869977001E-2</v>
      </c>
      <c r="F116" s="437">
        <f>STDEV(F108:F113)/F115</f>
        <v>7.4094157869977015E-2</v>
      </c>
      <c r="I116" s="281"/>
    </row>
    <row r="117" spans="1:10" ht="27" customHeight="1" x14ac:dyDescent="0.4">
      <c r="A117" s="493" t="s">
        <v>76</v>
      </c>
      <c r="B117" s="494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5"/>
      <c r="B118" s="496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104</v>
      </c>
      <c r="B120" s="387" t="s">
        <v>121</v>
      </c>
      <c r="C120" s="505" t="str">
        <f>B20</f>
        <v>Amoxicillin &amp; Clavulanic Acid</v>
      </c>
      <c r="D120" s="505"/>
      <c r="E120" s="388" t="s">
        <v>122</v>
      </c>
      <c r="F120" s="388"/>
      <c r="G120" s="389">
        <f>F115</f>
        <v>1.0225870338383591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6" t="s">
        <v>24</v>
      </c>
      <c r="C122" s="506"/>
      <c r="E122" s="394" t="s">
        <v>25</v>
      </c>
      <c r="F122" s="443"/>
      <c r="G122" s="506" t="s">
        <v>26</v>
      </c>
      <c r="H122" s="506"/>
    </row>
    <row r="123" spans="1:10" ht="69.95" customHeight="1" x14ac:dyDescent="0.3">
      <c r="A123" s="444" t="s">
        <v>27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28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</vt:lpstr>
      <vt:lpstr>SST(diss)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2016-06-08T15:56:08Z</cp:lastPrinted>
  <dcterms:created xsi:type="dcterms:W3CDTF">2005-07-05T10:19:27Z</dcterms:created>
  <dcterms:modified xsi:type="dcterms:W3CDTF">2016-06-08T16:00:04Z</dcterms:modified>
  <cp:category/>
</cp:coreProperties>
</file>