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5" r:id="rId1"/>
    <sheet name="Uniformity" sheetId="2" r:id="rId2"/>
    <sheet name="SULPHAMETHOXAZOLE" sheetId="3" r:id="rId3"/>
    <sheet name="TRIMETHOPRIM" sheetId="4" r:id="rId4"/>
    <sheet name="SST (DISS)" sheetId="6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J94" i="3" l="1"/>
  <c r="D68" i="4" l="1"/>
  <c r="D64" i="4"/>
  <c r="D60" i="4"/>
  <c r="C45" i="2"/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B87" i="4"/>
  <c r="F97" i="4" s="1"/>
  <c r="B83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19" i="2"/>
  <c r="F98" i="4" l="1"/>
  <c r="D39" i="2"/>
  <c r="C49" i="2"/>
  <c r="D43" i="2"/>
  <c r="D35" i="2"/>
  <c r="D27" i="2"/>
  <c r="D31" i="2"/>
  <c r="D101" i="4"/>
  <c r="D102" i="4" s="1"/>
  <c r="I92" i="4"/>
  <c r="F99" i="4"/>
  <c r="I92" i="3"/>
  <c r="I39" i="4"/>
  <c r="D49" i="4"/>
  <c r="F44" i="4"/>
  <c r="F45" i="4" s="1"/>
  <c r="D45" i="4"/>
  <c r="D46" i="4" s="1"/>
  <c r="D101" i="3"/>
  <c r="D102" i="3" s="1"/>
  <c r="I39" i="3"/>
  <c r="D49" i="3"/>
  <c r="F44" i="3"/>
  <c r="F45" i="3" s="1"/>
  <c r="G40" i="3" s="1"/>
  <c r="D45" i="3"/>
  <c r="E38" i="3" s="1"/>
  <c r="F98" i="3"/>
  <c r="F99" i="3" s="1"/>
  <c r="E38" i="4"/>
  <c r="E39" i="4"/>
  <c r="G94" i="4"/>
  <c r="D24" i="2"/>
  <c r="D28" i="2"/>
  <c r="D32" i="2"/>
  <c r="D36" i="2"/>
  <c r="D40" i="2"/>
  <c r="D49" i="2"/>
  <c r="B57" i="3"/>
  <c r="B69" i="3" s="1"/>
  <c r="E41" i="4"/>
  <c r="B57" i="4"/>
  <c r="B69" i="4" s="1"/>
  <c r="D97" i="3"/>
  <c r="D98" i="3" s="1"/>
  <c r="D99" i="3" s="1"/>
  <c r="D97" i="4"/>
  <c r="D98" i="4" s="1"/>
  <c r="D99" i="4" s="1"/>
  <c r="D25" i="2"/>
  <c r="D29" i="2"/>
  <c r="D33" i="2"/>
  <c r="D37" i="2"/>
  <c r="D41" i="2"/>
  <c r="C50" i="2"/>
  <c r="D26" i="2"/>
  <c r="D30" i="2"/>
  <c r="D34" i="2"/>
  <c r="D38" i="2"/>
  <c r="D42" i="2"/>
  <c r="B49" i="2"/>
  <c r="E40" i="4"/>
  <c r="G91" i="4" l="1"/>
  <c r="G93" i="4"/>
  <c r="G92" i="4"/>
  <c r="G40" i="4"/>
  <c r="G39" i="4"/>
  <c r="F46" i="4"/>
  <c r="G41" i="4"/>
  <c r="G38" i="4"/>
  <c r="G41" i="3"/>
  <c r="E41" i="3"/>
  <c r="D46" i="3"/>
  <c r="E39" i="3"/>
  <c r="E40" i="3"/>
  <c r="F46" i="3"/>
  <c r="G39" i="3"/>
  <c r="G38" i="3"/>
  <c r="E94" i="3"/>
  <c r="E93" i="3"/>
  <c r="E42" i="4"/>
  <c r="E91" i="3"/>
  <c r="E92" i="3"/>
  <c r="G94" i="3"/>
  <c r="G93" i="3"/>
  <c r="E94" i="4"/>
  <c r="E93" i="4"/>
  <c r="G92" i="3"/>
  <c r="G91" i="3"/>
  <c r="E91" i="4"/>
  <c r="E92" i="4"/>
  <c r="G95" i="3" l="1"/>
  <c r="G95" i="4"/>
  <c r="D52" i="4"/>
  <c r="D50" i="4"/>
  <c r="G68" i="4" s="1"/>
  <c r="H68" i="4" s="1"/>
  <c r="G42" i="4"/>
  <c r="E42" i="3"/>
  <c r="G42" i="3"/>
  <c r="D52" i="3"/>
  <c r="D50" i="3"/>
  <c r="G68" i="3" s="1"/>
  <c r="H68" i="3" s="1"/>
  <c r="D51" i="3"/>
  <c r="E95" i="3"/>
  <c r="D105" i="3"/>
  <c r="D103" i="3"/>
  <c r="E95" i="4"/>
  <c r="D105" i="4"/>
  <c r="D103" i="4"/>
  <c r="G67" i="4" l="1"/>
  <c r="H67" i="4" s="1"/>
  <c r="D51" i="4"/>
  <c r="G62" i="4"/>
  <c r="H62" i="4" s="1"/>
  <c r="G63" i="4"/>
  <c r="H63" i="4" s="1"/>
  <c r="G71" i="4"/>
  <c r="H71" i="4" s="1"/>
  <c r="G66" i="4"/>
  <c r="H66" i="4" s="1"/>
  <c r="G65" i="4"/>
  <c r="H65" i="4" s="1"/>
  <c r="G60" i="4"/>
  <c r="H60" i="4" s="1"/>
  <c r="G69" i="4"/>
  <c r="H69" i="4" s="1"/>
  <c r="G61" i="4"/>
  <c r="H61" i="4" s="1"/>
  <c r="G70" i="4"/>
  <c r="H70" i="4" s="1"/>
  <c r="G64" i="4"/>
  <c r="H64" i="4" s="1"/>
  <c r="G63" i="3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4" i="3"/>
  <c r="G72" i="3"/>
  <c r="G73" i="3" s="1"/>
  <c r="E115" i="3"/>
  <c r="E116" i="3" s="1"/>
  <c r="E117" i="3"/>
  <c r="F108" i="3"/>
  <c r="H74" i="3"/>
  <c r="H72" i="3"/>
  <c r="H74" i="4"/>
  <c r="H72" i="4"/>
  <c r="E115" i="4"/>
  <c r="E116" i="4" s="1"/>
  <c r="E117" i="4"/>
  <c r="F108" i="4"/>
  <c r="G76" i="4" l="1"/>
  <c r="H73" i="4"/>
  <c r="F117" i="3"/>
  <c r="F115" i="3"/>
  <c r="F117" i="4"/>
  <c r="F115" i="4"/>
  <c r="G76" i="3"/>
  <c r="H73" i="3"/>
  <c r="G120" i="4" l="1"/>
  <c r="F116" i="4"/>
  <c r="G120" i="3"/>
  <c r="F116" i="3"/>
</calcChain>
</file>

<file path=xl/sharedStrings.xml><?xml version="1.0" encoding="utf-8"?>
<sst xmlns="http://schemas.openxmlformats.org/spreadsheetml/2006/main" count="441" uniqueCount="135">
  <si>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</si>
  <si>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</si>
  <si>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</si>
  <si>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</si>
  <si>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</si>
  <si>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</si>
  <si>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</si>
  <si>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Sulfamethoxazole &amp; Trimethoprim</t>
  </si>
  <si>
    <t>Standard Conc (mg/mL):</t>
  </si>
  <si>
    <t>Sulfamethoxazole 400mg, Trimethoprim 80mg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</si>
  <si>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</si>
  <si>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</si>
  <si>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</si>
  <si>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</si>
  <si>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</si>
  <si>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</si>
  <si>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</si>
  <si>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</si>
  <si>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</si>
  <si>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</si>
  <si>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</si>
  <si>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</si>
  <si>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</si>
  <si>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</si>
  <si>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</si>
  <si>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</si>
  <si>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</si>
  <si>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</si>
  <si>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</si>
  <si>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</si>
  <si>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</si>
  <si>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</si>
  <si>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</si>
  <si>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</si>
  <si>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</si>
  <si>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</si>
  <si>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</si>
  <si>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</si>
  <si>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</si>
  <si>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</si>
  <si>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</si>
  <si>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</si>
  <si>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</si>
  <si>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</si>
  <si>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</si>
  <si>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</si>
  <si>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</si>
  <si>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</si>
  <si>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</si>
  <si>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</si>
  <si>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</si>
  <si>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</si>
  <si>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</si>
  <si>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</si>
  <si>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</si>
  <si>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</si>
  <si>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</si>
  <si>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</si>
  <si>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</si>
  <si>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</si>
  <si>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</si>
  <si>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</si>
  <si>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</si>
  <si>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</si>
  <si>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</si>
  <si>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</si>
  <si>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</si>
  <si>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</si>
  <si>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</si>
  <si>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</si>
  <si>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</si>
  <si>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</si>
  <si>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</si>
  <si>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</si>
  <si>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</si>
  <si>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</si>
  <si>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</si>
  <si>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</si>
  <si>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</si>
  <si>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</si>
  <si>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</si>
  <si>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</si>
  <si>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</si>
  <si>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</si>
  <si>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</si>
  <si>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</si>
  <si>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</si>
  <si>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</si>
  <si>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</si>
  <si>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</si>
  <si>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</si>
  <si>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</si>
  <si>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</si>
  <si>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</si>
  <si>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</si>
  <si>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</si>
  <si>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</si>
  <si>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</si>
  <si>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</si>
  <si>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</si>
  <si>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</si>
  <si>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</si>
  <si>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</si>
  <si>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</si>
  <si>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</si>
  <si>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</si>
  <si>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</si>
  <si>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</si>
  <si>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</si>
  <si>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</si>
  <si>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</si>
  <si>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</si>
  <si>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</si>
  <si>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</si>
  <si>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</si>
  <si>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</si>
  <si>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</si>
  <si>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</si>
  <si>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</si>
  <si>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</si>
  <si>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</si>
  <si>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</si>
  <si>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</si>
  <si>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2015-10-02 10:44:06</t>
  </si>
  <si>
    <t>Trimethoprim</t>
  </si>
  <si>
    <t xml:space="preserve">ASTRIM </t>
  </si>
  <si>
    <t>S 12 4</t>
  </si>
  <si>
    <t xml:space="preserve">Sulfamethoxazole </t>
  </si>
  <si>
    <t>T14 9</t>
  </si>
  <si>
    <t xml:space="preserve"> Trimethoprim</t>
  </si>
  <si>
    <t>NDQA201509387</t>
  </si>
  <si>
    <t>CO-TRI</t>
  </si>
  <si>
    <t>S12 2</t>
  </si>
  <si>
    <t>T7 2</t>
  </si>
  <si>
    <t>Sulfamethoxazole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</si>
</sst>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5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24" fillId="2" borderId="0" xfId="1" applyNumberFormat="1" applyFont="1" applyFill="1" applyAlignment="1">
      <alignment horizontal="center"/>
    </xf>
    <xf numFmtId="164" fontId="24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1" xfId="1" applyNumberFormat="1" applyFont="1" applyFill="1" applyBorder="1" applyAlignment="1" applyProtection="1">
      <alignment horizontal="center"/>
      <protection locked="0"/>
    </xf>
    <xf numFmtId="2" fontId="26" fillId="3" borderId="59" xfId="1" applyNumberFormat="1" applyFont="1" applyFill="1" applyBorder="1" applyAlignment="1" applyProtection="1">
      <alignment horizontal="center"/>
      <protection locked="0"/>
    </xf>
    <xf numFmtId="2" fontId="26" fillId="3" borderId="60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2" fontId="26" fillId="3" borderId="35" xfId="1" applyNumberFormat="1" applyFont="1" applyFill="1" applyBorder="1" applyAlignment="1" applyProtection="1">
      <alignment horizontal="center"/>
      <protection locked="0"/>
    </xf>
    <xf numFmtId="2" fontId="26" fillId="3" borderId="61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24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29" fillId="3" borderId="3" xfId="2" applyFont="1" applyFill="1" applyBorder="1" applyAlignment="1" applyProtection="1">
      <alignment horizontal="center"/>
      <protection locked="0"/>
    </xf>
    <xf numFmtId="2" fontId="29" fillId="3" borderId="3" xfId="2" applyNumberFormat="1" applyFont="1" applyFill="1" applyBorder="1" applyAlignment="1" applyProtection="1">
      <alignment horizontal="center"/>
      <protection locked="0"/>
    </xf>
    <xf numFmtId="2" fontId="29" fillId="3" borderId="4" xfId="2" applyNumberFormat="1" applyFont="1" applyFill="1" applyBorder="1" applyAlignment="1" applyProtection="1">
      <alignment horizontal="center"/>
      <protection locked="0"/>
    </xf>
    <xf numFmtId="0" fontId="29" fillId="3" borderId="5" xfId="2" applyFont="1" applyFill="1" applyBorder="1" applyAlignment="1" applyProtection="1">
      <alignment horizontal="center"/>
      <protection locked="0"/>
    </xf>
    <xf numFmtId="2" fontId="29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4" fillId="2" borderId="0" xfId="2" applyFont="1" applyFill="1" applyAlignment="1">
      <alignment horizontal="left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3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28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C21" sqref="C2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62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517" t="s">
        <v>0</v>
      </c>
      <c r="B15" s="517"/>
      <c r="C15" s="517"/>
      <c r="D15" s="517"/>
      <c r="E15" s="517"/>
    </row>
    <row r="16" spans="1:6" ht="16.5" customHeight="1" x14ac:dyDescent="0.3">
      <c r="A16" s="419" t="s">
        <v>1</v>
      </c>
      <c r="B16" s="420" t="s">
        <v>2</v>
      </c>
    </row>
    <row r="17" spans="1:5" ht="16.5" customHeight="1" x14ac:dyDescent="0.3">
      <c r="A17" s="421" t="s">
        <v>3</v>
      </c>
      <c r="B17" s="422" t="s">
        <v>125</v>
      </c>
      <c r="D17" s="423"/>
      <c r="E17" s="424"/>
    </row>
    <row r="18" spans="1:5" ht="16.5" customHeight="1" x14ac:dyDescent="0.3">
      <c r="A18" s="425" t="s">
        <v>4</v>
      </c>
      <c r="B18" s="426" t="s">
        <v>122</v>
      </c>
      <c r="C18" s="424"/>
      <c r="D18" s="424"/>
      <c r="E18" s="424"/>
    </row>
    <row r="19" spans="1:5" ht="16.5" customHeight="1" x14ac:dyDescent="0.3">
      <c r="A19" s="425" t="s">
        <v>5</v>
      </c>
      <c r="B19" s="427">
        <v>99.65</v>
      </c>
      <c r="C19" s="424"/>
      <c r="D19" s="424"/>
      <c r="E19" s="424"/>
    </row>
    <row r="20" spans="1:5" ht="16.5" customHeight="1" x14ac:dyDescent="0.3">
      <c r="A20" s="421" t="s">
        <v>6</v>
      </c>
      <c r="B20" s="427">
        <v>19.95</v>
      </c>
      <c r="C20" s="424"/>
      <c r="D20" s="424"/>
      <c r="E20" s="424"/>
    </row>
    <row r="21" spans="1:5" ht="16.5" customHeight="1" x14ac:dyDescent="0.3">
      <c r="A21" s="421" t="s">
        <v>8</v>
      </c>
      <c r="B21" s="428">
        <f>B20/25*10/50</f>
        <v>0.15959999999999999</v>
      </c>
      <c r="C21" s="424"/>
      <c r="D21" s="424"/>
      <c r="E21" s="424"/>
    </row>
    <row r="22" spans="1:5" ht="15.75" customHeight="1" x14ac:dyDescent="0.25">
      <c r="A22" s="424"/>
      <c r="B22" s="424" t="s">
        <v>123</v>
      </c>
      <c r="C22" s="424"/>
      <c r="D22" s="424"/>
      <c r="E22" s="424"/>
    </row>
    <row r="23" spans="1:5" ht="16.5" customHeight="1" x14ac:dyDescent="0.3">
      <c r="A23" s="429" t="s">
        <v>11</v>
      </c>
      <c r="B23" s="430" t="s">
        <v>12</v>
      </c>
      <c r="C23" s="429" t="s">
        <v>13</v>
      </c>
      <c r="D23" s="429" t="s">
        <v>14</v>
      </c>
      <c r="E23" s="431" t="s">
        <v>15</v>
      </c>
    </row>
    <row r="24" spans="1:5" ht="16.5" customHeight="1" x14ac:dyDescent="0.3">
      <c r="A24" s="432">
        <v>1</v>
      </c>
      <c r="B24" s="433">
        <v>124564490</v>
      </c>
      <c r="C24" s="433">
        <v>11200.7</v>
      </c>
      <c r="D24" s="434">
        <v>1</v>
      </c>
      <c r="E24" s="435">
        <v>7.9</v>
      </c>
    </row>
    <row r="25" spans="1:5" ht="16.5" customHeight="1" x14ac:dyDescent="0.3">
      <c r="A25" s="432">
        <v>2</v>
      </c>
      <c r="B25" s="433">
        <v>124751802</v>
      </c>
      <c r="C25" s="433">
        <v>11185.1</v>
      </c>
      <c r="D25" s="434">
        <v>1</v>
      </c>
      <c r="E25" s="436">
        <v>7.9</v>
      </c>
    </row>
    <row r="26" spans="1:5" ht="16.5" customHeight="1" x14ac:dyDescent="0.3">
      <c r="A26" s="432">
        <v>3</v>
      </c>
      <c r="B26" s="433">
        <v>124696532</v>
      </c>
      <c r="C26" s="433">
        <v>11211</v>
      </c>
      <c r="D26" s="434">
        <v>1</v>
      </c>
      <c r="E26" s="436">
        <v>7.9</v>
      </c>
    </row>
    <row r="27" spans="1:5" ht="16.5" customHeight="1" x14ac:dyDescent="0.3">
      <c r="A27" s="432">
        <v>4</v>
      </c>
      <c r="B27" s="433">
        <v>124863060</v>
      </c>
      <c r="C27" s="433">
        <v>11212.3</v>
      </c>
      <c r="D27" s="434">
        <v>1</v>
      </c>
      <c r="E27" s="436">
        <v>7.9</v>
      </c>
    </row>
    <row r="28" spans="1:5" ht="16.5" customHeight="1" x14ac:dyDescent="0.3">
      <c r="A28" s="432">
        <v>5</v>
      </c>
      <c r="B28" s="433">
        <v>124798906</v>
      </c>
      <c r="C28" s="433">
        <v>11221.1</v>
      </c>
      <c r="D28" s="434">
        <v>1</v>
      </c>
      <c r="E28" s="436">
        <v>7.9</v>
      </c>
    </row>
    <row r="29" spans="1:5" ht="16.5" customHeight="1" x14ac:dyDescent="0.3">
      <c r="A29" s="432">
        <v>6</v>
      </c>
      <c r="B29" s="437">
        <v>125066972</v>
      </c>
      <c r="C29" s="437">
        <v>11220</v>
      </c>
      <c r="D29" s="438">
        <v>1</v>
      </c>
      <c r="E29" s="439">
        <v>7.9</v>
      </c>
    </row>
    <row r="30" spans="1:5" ht="16.5" customHeight="1" x14ac:dyDescent="0.3">
      <c r="A30" s="440" t="s">
        <v>16</v>
      </c>
      <c r="B30" s="441">
        <f>AVERAGE(B24:B29)</f>
        <v>124790293.66666667</v>
      </c>
      <c r="C30" s="442">
        <f>AVERAGE(C24:C29)</f>
        <v>11208.366666666669</v>
      </c>
      <c r="D30" s="443">
        <f>AVERAGE(D24:D29)</f>
        <v>1</v>
      </c>
      <c r="E30" s="444">
        <f>AVERAGE(E24:E29)</f>
        <v>7.8999999999999995</v>
      </c>
    </row>
    <row r="31" spans="1:5" ht="16.5" customHeight="1" x14ac:dyDescent="0.3">
      <c r="A31" s="445" t="s">
        <v>17</v>
      </c>
      <c r="B31" s="446">
        <f>(STDEV(B24:B29)/B30)</f>
        <v>1.356049747129006E-3</v>
      </c>
      <c r="C31" s="447"/>
      <c r="D31" s="447"/>
      <c r="E31" s="448"/>
    </row>
    <row r="32" spans="1:5" s="417" customFormat="1" ht="16.5" customHeight="1" x14ac:dyDescent="0.3">
      <c r="A32" s="449" t="s">
        <v>18</v>
      </c>
      <c r="B32" s="450">
        <f>COUNT(B24:B29)</f>
        <v>6</v>
      </c>
      <c r="C32" s="451"/>
      <c r="D32" s="452"/>
      <c r="E32" s="453"/>
    </row>
    <row r="33" spans="1:5" s="417" customFormat="1" ht="15.75" customHeight="1" x14ac:dyDescent="0.25">
      <c r="A33" s="424"/>
      <c r="B33" s="424"/>
      <c r="C33" s="424"/>
      <c r="D33" s="424"/>
      <c r="E33" s="424"/>
    </row>
    <row r="34" spans="1:5" s="417" customFormat="1" ht="16.5" customHeight="1" x14ac:dyDescent="0.3">
      <c r="A34" s="425" t="s">
        <v>19</v>
      </c>
      <c r="B34" s="454" t="s">
        <v>20</v>
      </c>
      <c r="C34" s="455"/>
      <c r="D34" s="455"/>
      <c r="E34" s="455"/>
    </row>
    <row r="35" spans="1:5" ht="16.5" customHeight="1" x14ac:dyDescent="0.3">
      <c r="A35" s="425"/>
      <c r="B35" s="454" t="s">
        <v>21</v>
      </c>
      <c r="C35" s="455"/>
      <c r="D35" s="455"/>
      <c r="E35" s="455"/>
    </row>
    <row r="36" spans="1:5" ht="16.5" customHeight="1" x14ac:dyDescent="0.3">
      <c r="A36" s="425"/>
      <c r="B36" s="454" t="s">
        <v>22</v>
      </c>
      <c r="C36" s="455"/>
      <c r="D36" s="455"/>
      <c r="E36" s="455"/>
    </row>
    <row r="37" spans="1:5" ht="15.75" customHeight="1" x14ac:dyDescent="0.25">
      <c r="A37" s="424"/>
      <c r="B37" s="424"/>
      <c r="C37" s="424"/>
      <c r="D37" s="424"/>
      <c r="E37" s="424"/>
    </row>
    <row r="38" spans="1:5" ht="16.5" customHeight="1" x14ac:dyDescent="0.3">
      <c r="A38" s="419" t="s">
        <v>1</v>
      </c>
      <c r="B38" s="420"/>
    </row>
    <row r="39" spans="1:5" ht="16.5" customHeight="1" x14ac:dyDescent="0.3">
      <c r="A39" s="425" t="s">
        <v>4</v>
      </c>
      <c r="B39" s="422" t="s">
        <v>124</v>
      </c>
      <c r="C39" s="424"/>
      <c r="D39" s="424"/>
      <c r="E39" s="424"/>
    </row>
    <row r="40" spans="1:5" ht="16.5" customHeight="1" x14ac:dyDescent="0.3">
      <c r="A40" s="425" t="s">
        <v>5</v>
      </c>
      <c r="B40" s="427">
        <v>99.3</v>
      </c>
      <c r="C40" s="424"/>
      <c r="D40" s="424"/>
      <c r="E40" s="424"/>
    </row>
    <row r="41" spans="1:5" ht="16.5" customHeight="1" x14ac:dyDescent="0.3">
      <c r="A41" s="421" t="s">
        <v>6</v>
      </c>
      <c r="B41" s="427">
        <v>19.16</v>
      </c>
      <c r="C41" s="424"/>
      <c r="D41" s="424"/>
      <c r="E41" s="424"/>
    </row>
    <row r="42" spans="1:5" ht="16.5" customHeight="1" x14ac:dyDescent="0.3">
      <c r="A42" s="421" t="s">
        <v>8</v>
      </c>
      <c r="B42" s="428">
        <f>B41/25*2/50</f>
        <v>3.0655999999999999E-2</v>
      </c>
      <c r="C42" s="424"/>
      <c r="D42" s="424"/>
      <c r="E42" s="424"/>
    </row>
    <row r="43" spans="1:5" ht="15.75" customHeight="1" x14ac:dyDescent="0.25">
      <c r="A43" s="424"/>
      <c r="B43" s="424"/>
      <c r="C43" s="424"/>
      <c r="D43" s="424"/>
      <c r="E43" s="424"/>
    </row>
    <row r="44" spans="1:5" ht="16.5" customHeight="1" x14ac:dyDescent="0.3">
      <c r="A44" s="429" t="s">
        <v>11</v>
      </c>
      <c r="B44" s="430" t="s">
        <v>12</v>
      </c>
      <c r="C44" s="429" t="s">
        <v>13</v>
      </c>
      <c r="D44" s="429" t="s">
        <v>14</v>
      </c>
      <c r="E44" s="429" t="s">
        <v>15</v>
      </c>
    </row>
    <row r="45" spans="1:5" ht="16.5" customHeight="1" x14ac:dyDescent="0.3">
      <c r="A45" s="432">
        <v>1</v>
      </c>
      <c r="B45" s="433">
        <v>9118617</v>
      </c>
      <c r="C45" s="433">
        <v>8541.1</v>
      </c>
      <c r="D45" s="456">
        <v>1.1000000000000001</v>
      </c>
      <c r="E45" s="457">
        <v>4.0999999999999996</v>
      </c>
    </row>
    <row r="46" spans="1:5" ht="16.5" customHeight="1" x14ac:dyDescent="0.3">
      <c r="A46" s="432">
        <v>2</v>
      </c>
      <c r="B46" s="433">
        <v>9117029</v>
      </c>
      <c r="C46" s="433">
        <v>8629.1</v>
      </c>
      <c r="D46" s="456">
        <v>1.2</v>
      </c>
      <c r="E46" s="456">
        <v>4.0999999999999996</v>
      </c>
    </row>
    <row r="47" spans="1:5" ht="16.5" customHeight="1" x14ac:dyDescent="0.3">
      <c r="A47" s="432">
        <v>3</v>
      </c>
      <c r="B47" s="433">
        <v>9099830</v>
      </c>
      <c r="C47" s="433">
        <v>8582.7000000000007</v>
      </c>
      <c r="D47" s="456">
        <v>1.2</v>
      </c>
      <c r="E47" s="456">
        <v>4.0999999999999996</v>
      </c>
    </row>
    <row r="48" spans="1:5" ht="16.5" customHeight="1" x14ac:dyDescent="0.3">
      <c r="A48" s="432">
        <v>4</v>
      </c>
      <c r="B48" s="433">
        <v>9108647</v>
      </c>
      <c r="C48" s="433">
        <v>8581.9</v>
      </c>
      <c r="D48" s="456">
        <v>1.1000000000000001</v>
      </c>
      <c r="E48" s="456">
        <v>4.0999999999999996</v>
      </c>
    </row>
    <row r="49" spans="1:7" ht="16.5" customHeight="1" x14ac:dyDescent="0.3">
      <c r="A49" s="432">
        <v>5</v>
      </c>
      <c r="B49" s="433">
        <v>9097392</v>
      </c>
      <c r="C49" s="433">
        <v>8591.9</v>
      </c>
      <c r="D49" s="456">
        <v>1.1000000000000001</v>
      </c>
      <c r="E49" s="456">
        <v>4.0999999999999996</v>
      </c>
    </row>
    <row r="50" spans="1:7" ht="16.5" customHeight="1" x14ac:dyDescent="0.3">
      <c r="A50" s="432">
        <v>6</v>
      </c>
      <c r="B50" s="437">
        <v>9104270</v>
      </c>
      <c r="C50" s="437">
        <v>8599.7999999999993</v>
      </c>
      <c r="D50" s="458">
        <v>1.1000000000000001</v>
      </c>
      <c r="E50" s="458">
        <v>4.0999999999999996</v>
      </c>
    </row>
    <row r="51" spans="1:7" ht="16.5" customHeight="1" x14ac:dyDescent="0.3">
      <c r="A51" s="440" t="s">
        <v>16</v>
      </c>
      <c r="B51" s="441">
        <f>AVERAGE(B45:B50)</f>
        <v>9107630.833333334</v>
      </c>
      <c r="C51" s="442">
        <f>AVERAGE(C45:C50)</f>
        <v>8587.75</v>
      </c>
      <c r="D51" s="443">
        <f>AVERAGE(D45:D50)</f>
        <v>1.1333333333333331</v>
      </c>
      <c r="E51" s="443">
        <f>AVERAGE(E45:E50)</f>
        <v>4.1000000000000005</v>
      </c>
    </row>
    <row r="52" spans="1:7" ht="16.5" customHeight="1" x14ac:dyDescent="0.3">
      <c r="A52" s="445" t="s">
        <v>17</v>
      </c>
      <c r="B52" s="446">
        <f>(STDEV(B45:B50)/B51)</f>
        <v>9.6601796640588523E-4</v>
      </c>
      <c r="C52" s="447"/>
      <c r="D52" s="447"/>
      <c r="E52" s="448"/>
    </row>
    <row r="53" spans="1:7" s="417" customFormat="1" ht="16.5" customHeight="1" x14ac:dyDescent="0.3">
      <c r="A53" s="449" t="s">
        <v>18</v>
      </c>
      <c r="B53" s="450">
        <f>COUNT(B45:B50)</f>
        <v>6</v>
      </c>
      <c r="C53" s="451"/>
      <c r="D53" s="452"/>
      <c r="E53" s="453"/>
    </row>
    <row r="54" spans="1:7" s="417" customFormat="1" ht="15.75" customHeight="1" x14ac:dyDescent="0.25">
      <c r="A54" s="424"/>
      <c r="B54" s="424"/>
      <c r="C54" s="424"/>
      <c r="D54" s="424"/>
      <c r="E54" s="424"/>
    </row>
    <row r="55" spans="1:7" s="417" customFormat="1" ht="16.5" customHeight="1" x14ac:dyDescent="0.3">
      <c r="A55" s="425" t="s">
        <v>19</v>
      </c>
      <c r="B55" s="454" t="s">
        <v>20</v>
      </c>
      <c r="C55" s="455"/>
      <c r="D55" s="455"/>
      <c r="E55" s="455"/>
    </row>
    <row r="56" spans="1:7" ht="16.5" customHeight="1" x14ac:dyDescent="0.3">
      <c r="A56" s="425"/>
      <c r="B56" s="454" t="s">
        <v>21</v>
      </c>
      <c r="C56" s="455"/>
      <c r="D56" s="455"/>
      <c r="E56" s="455"/>
    </row>
    <row r="57" spans="1:7" ht="16.5" customHeight="1" x14ac:dyDescent="0.3">
      <c r="A57" s="425"/>
      <c r="B57" s="454" t="s">
        <v>22</v>
      </c>
      <c r="C57" s="455"/>
      <c r="D57" s="455"/>
      <c r="E57" s="455"/>
    </row>
    <row r="58" spans="1:7" ht="14.25" customHeight="1" thickBot="1" x14ac:dyDescent="0.3">
      <c r="A58" s="459"/>
      <c r="B58" s="460"/>
      <c r="D58" s="461"/>
      <c r="F58" s="462"/>
      <c r="G58" s="462"/>
    </row>
    <row r="59" spans="1:7" ht="15" customHeight="1" x14ac:dyDescent="0.3">
      <c r="B59" s="518" t="s">
        <v>23</v>
      </c>
      <c r="C59" s="518"/>
      <c r="E59" s="463" t="s">
        <v>24</v>
      </c>
      <c r="F59" s="464"/>
      <c r="G59" s="463" t="s">
        <v>25</v>
      </c>
    </row>
    <row r="60" spans="1:7" ht="15" customHeight="1" x14ac:dyDescent="0.3">
      <c r="A60" s="465" t="s">
        <v>26</v>
      </c>
      <c r="B60" s="466"/>
      <c r="C60" s="466"/>
      <c r="E60" s="466"/>
      <c r="G60" s="466"/>
    </row>
    <row r="61" spans="1:7" ht="15" customHeight="1" x14ac:dyDescent="0.3">
      <c r="A61" s="465" t="s">
        <v>27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2" t="s">
        <v>28</v>
      </c>
      <c r="B11" s="523"/>
      <c r="C11" s="523"/>
      <c r="D11" s="523"/>
      <c r="E11" s="523"/>
      <c r="F11" s="524"/>
      <c r="G11" s="43"/>
    </row>
    <row r="12" spans="1:7" ht="16.5" customHeight="1" x14ac:dyDescent="0.3">
      <c r="A12" s="521" t="s">
        <v>29</v>
      </c>
      <c r="B12" s="521"/>
      <c r="C12" s="521"/>
      <c r="D12" s="521"/>
      <c r="E12" s="521"/>
      <c r="F12" s="521"/>
      <c r="G12" s="42"/>
    </row>
    <row r="14" spans="1:7" ht="16.5" customHeight="1" x14ac:dyDescent="0.3">
      <c r="A14" s="526" t="s">
        <v>30</v>
      </c>
      <c r="B14" s="526"/>
      <c r="C14" s="12" t="s">
        <v>131</v>
      </c>
    </row>
    <row r="15" spans="1:7" ht="16.5" customHeight="1" x14ac:dyDescent="0.3">
      <c r="A15" s="526" t="s">
        <v>31</v>
      </c>
      <c r="B15" s="526"/>
      <c r="C15" s="12" t="s">
        <v>130</v>
      </c>
    </row>
    <row r="16" spans="1:7" ht="16.5" customHeight="1" x14ac:dyDescent="0.3">
      <c r="A16" s="526" t="s">
        <v>32</v>
      </c>
      <c r="B16" s="526"/>
      <c r="C16" s="12" t="s">
        <v>7</v>
      </c>
    </row>
    <row r="17" spans="1:5" ht="16.5" customHeight="1" x14ac:dyDescent="0.3">
      <c r="A17" s="526" t="s">
        <v>33</v>
      </c>
      <c r="B17" s="526"/>
      <c r="C17" s="12" t="s">
        <v>9</v>
      </c>
    </row>
    <row r="18" spans="1:5" ht="16.5" customHeight="1" x14ac:dyDescent="0.3">
      <c r="A18" s="526" t="s">
        <v>34</v>
      </c>
      <c r="B18" s="526"/>
      <c r="C18" s="49" t="s">
        <v>10</v>
      </c>
    </row>
    <row r="19" spans="1:5" ht="16.5" customHeight="1" x14ac:dyDescent="0.3">
      <c r="A19" s="526" t="s">
        <v>35</v>
      </c>
      <c r="B19" s="52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21" t="s">
        <v>1</v>
      </c>
      <c r="B21" s="521"/>
      <c r="C21" s="11" t="s">
        <v>36</v>
      </c>
      <c r="D21" s="18"/>
    </row>
    <row r="22" spans="1:5" ht="15.75" customHeight="1" x14ac:dyDescent="0.3">
      <c r="A22" s="525"/>
      <c r="B22" s="525"/>
      <c r="C22" s="9"/>
      <c r="D22" s="525"/>
      <c r="E22" s="525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598.88</v>
      </c>
      <c r="D24" s="39">
        <f t="shared" ref="D24:D43" si="0">(C24-$C$46)/$C$46</f>
        <v>6.2876173257294301E-3</v>
      </c>
      <c r="E24" s="5"/>
    </row>
    <row r="25" spans="1:5" ht="15.75" customHeight="1" x14ac:dyDescent="0.3">
      <c r="C25" s="47">
        <v>605.05999999999995</v>
      </c>
      <c r="D25" s="40">
        <f t="shared" si="0"/>
        <v>1.6671763523754005E-2</v>
      </c>
      <c r="E25" s="5"/>
    </row>
    <row r="26" spans="1:5" ht="15.75" customHeight="1" x14ac:dyDescent="0.3">
      <c r="C26" s="47">
        <v>597.88</v>
      </c>
      <c r="D26" s="40">
        <f t="shared" si="0"/>
        <v>4.6073347694147605E-3</v>
      </c>
      <c r="E26" s="5"/>
    </row>
    <row r="27" spans="1:5" ht="15.75" customHeight="1" x14ac:dyDescent="0.3">
      <c r="C27" s="47">
        <v>583.87</v>
      </c>
      <c r="D27" s="40">
        <f t="shared" si="0"/>
        <v>-1.8933423844553748E-2</v>
      </c>
      <c r="E27" s="5"/>
    </row>
    <row r="28" spans="1:5" ht="15.75" customHeight="1" x14ac:dyDescent="0.3">
      <c r="C28" s="47">
        <v>591.35</v>
      </c>
      <c r="D28" s="40">
        <f t="shared" si="0"/>
        <v>-6.3649103233199876E-3</v>
      </c>
      <c r="E28" s="5"/>
    </row>
    <row r="29" spans="1:5" ht="15.75" customHeight="1" x14ac:dyDescent="0.3">
      <c r="C29" s="47">
        <v>597.87</v>
      </c>
      <c r="D29" s="40">
        <f t="shared" si="0"/>
        <v>4.5905319438516289E-3</v>
      </c>
      <c r="E29" s="5"/>
    </row>
    <row r="30" spans="1:5" ht="15.75" customHeight="1" x14ac:dyDescent="0.3">
      <c r="C30" s="47">
        <v>606.03</v>
      </c>
      <c r="D30" s="40">
        <f t="shared" si="0"/>
        <v>1.830163760337928E-2</v>
      </c>
      <c r="E30" s="5"/>
    </row>
    <row r="31" spans="1:5" ht="15.75" customHeight="1" x14ac:dyDescent="0.3">
      <c r="C31" s="47">
        <v>595.41999999999996</v>
      </c>
      <c r="D31" s="40">
        <f t="shared" si="0"/>
        <v>4.7383968088061159E-4</v>
      </c>
      <c r="E31" s="5"/>
    </row>
    <row r="32" spans="1:5" ht="15.75" customHeight="1" x14ac:dyDescent="0.3">
      <c r="C32" s="47">
        <v>598.30999999999995</v>
      </c>
      <c r="D32" s="40">
        <f t="shared" si="0"/>
        <v>5.3298562686299846E-3</v>
      </c>
      <c r="E32" s="5"/>
    </row>
    <row r="33" spans="1:7" ht="15.75" customHeight="1" x14ac:dyDescent="0.3">
      <c r="C33" s="47">
        <v>599.83000000000004</v>
      </c>
      <c r="D33" s="40">
        <f t="shared" si="0"/>
        <v>7.8838857542284421E-3</v>
      </c>
      <c r="E33" s="5"/>
    </row>
    <row r="34" spans="1:7" ht="15.75" customHeight="1" x14ac:dyDescent="0.3">
      <c r="C34" s="47">
        <v>603.14</v>
      </c>
      <c r="D34" s="40">
        <f t="shared" si="0"/>
        <v>1.3445621015629908E-2</v>
      </c>
      <c r="E34" s="5"/>
    </row>
    <row r="35" spans="1:7" ht="15.75" customHeight="1" x14ac:dyDescent="0.3">
      <c r="C35" s="47">
        <v>593.22</v>
      </c>
      <c r="D35" s="40">
        <f t="shared" si="0"/>
        <v>-3.2227819430115474E-3</v>
      </c>
      <c r="E35" s="5"/>
    </row>
    <row r="36" spans="1:7" ht="15.75" customHeight="1" x14ac:dyDescent="0.3">
      <c r="C36" s="47">
        <v>598.37</v>
      </c>
      <c r="D36" s="40">
        <f t="shared" si="0"/>
        <v>5.4306732220089637E-3</v>
      </c>
      <c r="E36" s="5"/>
    </row>
    <row r="37" spans="1:7" ht="15.75" customHeight="1" x14ac:dyDescent="0.3">
      <c r="C37" s="47">
        <v>583.07000000000005</v>
      </c>
      <c r="D37" s="40">
        <f t="shared" si="0"/>
        <v>-2.0277649889605408E-2</v>
      </c>
      <c r="E37" s="5"/>
    </row>
    <row r="38" spans="1:7" ht="15.75" customHeight="1" x14ac:dyDescent="0.3">
      <c r="C38" s="47">
        <v>592.75</v>
      </c>
      <c r="D38" s="40">
        <f t="shared" si="0"/>
        <v>-4.0125147444794876E-3</v>
      </c>
      <c r="E38" s="5"/>
    </row>
    <row r="39" spans="1:7" ht="15.75" customHeight="1" x14ac:dyDescent="0.3">
      <c r="C39" s="47">
        <v>583.92999999999995</v>
      </c>
      <c r="D39" s="40">
        <f t="shared" si="0"/>
        <v>-1.8832606891174958E-2</v>
      </c>
      <c r="E39" s="5"/>
    </row>
    <row r="40" spans="1:7" ht="15.75" customHeight="1" x14ac:dyDescent="0.3">
      <c r="C40" s="47">
        <v>589.33000000000004</v>
      </c>
      <c r="D40" s="40">
        <f t="shared" si="0"/>
        <v>-9.7590810870755891E-3</v>
      </c>
      <c r="E40" s="5"/>
    </row>
    <row r="41" spans="1:7" ht="15.75" customHeight="1" x14ac:dyDescent="0.3">
      <c r="C41" s="47">
        <v>593.25</v>
      </c>
      <c r="D41" s="40">
        <f t="shared" si="0"/>
        <v>-3.1723734663221532E-3</v>
      </c>
      <c r="E41" s="5"/>
    </row>
    <row r="42" spans="1:7" ht="15.75" customHeight="1" x14ac:dyDescent="0.3">
      <c r="C42" s="47">
        <v>596.38</v>
      </c>
      <c r="D42" s="40">
        <f t="shared" si="0"/>
        <v>2.0869109349427556E-3</v>
      </c>
      <c r="E42" s="5"/>
    </row>
    <row r="43" spans="1:7" ht="16.5" customHeight="1" x14ac:dyDescent="0.3">
      <c r="C43" s="48">
        <v>594.82000000000005</v>
      </c>
      <c r="D43" s="41">
        <f t="shared" si="0"/>
        <v>-5.3432985290803744E-4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11902.76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595.13800000000003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519">
        <f>C46</f>
        <v>595.13800000000003</v>
      </c>
      <c r="C49" s="45">
        <f>-IF(C46&lt;=80,10%,IF(C46&lt;250,7.5%,5%))</f>
        <v>-0.05</v>
      </c>
      <c r="D49" s="33">
        <f>IF(C46&lt;=80,C46*0.9,IF(C46&lt;250,C46*0.925,C46*0.95))</f>
        <v>565.38110000000006</v>
      </c>
    </row>
    <row r="50" spans="1:6" ht="17.25" customHeight="1" x14ac:dyDescent="0.3">
      <c r="B50" s="520"/>
      <c r="C50" s="46">
        <f>IF(C46&lt;=80, 10%, IF(C46&lt;250, 7.5%, 5%))</f>
        <v>0.05</v>
      </c>
      <c r="D50" s="33">
        <f>IF(C46&lt;=80, C46*1.1, IF(C46&lt;250, C46*1.075, C46*1.05))</f>
        <v>624.89490000000001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4" zoomScale="55" zoomScaleNormal="40" zoomScalePageLayoutView="55" workbookViewId="0">
      <selection activeCell="H118" sqref="H1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7" t="s">
        <v>42</v>
      </c>
      <c r="B1" s="527"/>
      <c r="C1" s="527"/>
      <c r="D1" s="527"/>
      <c r="E1" s="527"/>
      <c r="F1" s="527"/>
      <c r="G1" s="527"/>
      <c r="H1" s="527"/>
      <c r="I1" s="527"/>
    </row>
    <row r="2" spans="1:9" ht="18.75" customHeight="1" x14ac:dyDescent="0.25">
      <c r="A2" s="527"/>
      <c r="B2" s="527"/>
      <c r="C2" s="527"/>
      <c r="D2" s="527"/>
      <c r="E2" s="527"/>
      <c r="F2" s="527"/>
      <c r="G2" s="527"/>
      <c r="H2" s="527"/>
      <c r="I2" s="527"/>
    </row>
    <row r="3" spans="1:9" ht="18.75" customHeight="1" x14ac:dyDescent="0.25">
      <c r="A3" s="527"/>
      <c r="B3" s="527"/>
      <c r="C3" s="527"/>
      <c r="D3" s="527"/>
      <c r="E3" s="527"/>
      <c r="F3" s="527"/>
      <c r="G3" s="527"/>
      <c r="H3" s="527"/>
      <c r="I3" s="527"/>
    </row>
    <row r="4" spans="1:9" ht="18.75" customHeight="1" x14ac:dyDescent="0.25">
      <c r="A4" s="527"/>
      <c r="B4" s="527"/>
      <c r="C4" s="527"/>
      <c r="D4" s="527"/>
      <c r="E4" s="527"/>
      <c r="F4" s="527"/>
      <c r="G4" s="527"/>
      <c r="H4" s="527"/>
      <c r="I4" s="527"/>
    </row>
    <row r="5" spans="1:9" ht="18.75" customHeight="1" x14ac:dyDescent="0.25">
      <c r="A5" s="527"/>
      <c r="B5" s="527"/>
      <c r="C5" s="527"/>
      <c r="D5" s="527"/>
      <c r="E5" s="527"/>
      <c r="F5" s="527"/>
      <c r="G5" s="527"/>
      <c r="H5" s="527"/>
      <c r="I5" s="527"/>
    </row>
    <row r="6" spans="1:9" ht="18.75" customHeight="1" x14ac:dyDescent="0.25">
      <c r="A6" s="527"/>
      <c r="B6" s="527"/>
      <c r="C6" s="527"/>
      <c r="D6" s="527"/>
      <c r="E6" s="527"/>
      <c r="F6" s="527"/>
      <c r="G6" s="527"/>
      <c r="H6" s="527"/>
      <c r="I6" s="527"/>
    </row>
    <row r="7" spans="1:9" ht="18.75" customHeight="1" x14ac:dyDescent="0.25">
      <c r="A7" s="527"/>
      <c r="B7" s="527"/>
      <c r="C7" s="527"/>
      <c r="D7" s="527"/>
      <c r="E7" s="527"/>
      <c r="F7" s="527"/>
      <c r="G7" s="527"/>
      <c r="H7" s="527"/>
      <c r="I7" s="527"/>
    </row>
    <row r="8" spans="1:9" x14ac:dyDescent="0.25">
      <c r="A8" s="528" t="s">
        <v>43</v>
      </c>
      <c r="B8" s="528"/>
      <c r="C8" s="528"/>
      <c r="D8" s="528"/>
      <c r="E8" s="528"/>
      <c r="F8" s="528"/>
      <c r="G8" s="528"/>
      <c r="H8" s="528"/>
      <c r="I8" s="528"/>
    </row>
    <row r="9" spans="1:9" x14ac:dyDescent="0.25">
      <c r="A9" s="528"/>
      <c r="B9" s="528"/>
      <c r="C9" s="528"/>
      <c r="D9" s="528"/>
      <c r="E9" s="528"/>
      <c r="F9" s="528"/>
      <c r="G9" s="528"/>
      <c r="H9" s="528"/>
      <c r="I9" s="528"/>
    </row>
    <row r="10" spans="1:9" x14ac:dyDescent="0.25">
      <c r="A10" s="528"/>
      <c r="B10" s="528"/>
      <c r="C10" s="528"/>
      <c r="D10" s="528"/>
      <c r="E10" s="528"/>
      <c r="F10" s="528"/>
      <c r="G10" s="528"/>
      <c r="H10" s="528"/>
      <c r="I10" s="528"/>
    </row>
    <row r="11" spans="1:9" x14ac:dyDescent="0.25">
      <c r="A11" s="528"/>
      <c r="B11" s="528"/>
      <c r="C11" s="528"/>
      <c r="D11" s="528"/>
      <c r="E11" s="528"/>
      <c r="F11" s="528"/>
      <c r="G11" s="528"/>
      <c r="H11" s="528"/>
      <c r="I11" s="528"/>
    </row>
    <row r="12" spans="1:9" x14ac:dyDescent="0.25">
      <c r="A12" s="528"/>
      <c r="B12" s="528"/>
      <c r="C12" s="528"/>
      <c r="D12" s="528"/>
      <c r="E12" s="528"/>
      <c r="F12" s="528"/>
      <c r="G12" s="528"/>
      <c r="H12" s="528"/>
      <c r="I12" s="528"/>
    </row>
    <row r="13" spans="1:9" x14ac:dyDescent="0.25">
      <c r="A13" s="528"/>
      <c r="B13" s="528"/>
      <c r="C13" s="528"/>
      <c r="D13" s="528"/>
      <c r="E13" s="528"/>
      <c r="F13" s="528"/>
      <c r="G13" s="528"/>
      <c r="H13" s="528"/>
      <c r="I13" s="528"/>
    </row>
    <row r="14" spans="1:9" x14ac:dyDescent="0.25">
      <c r="A14" s="528"/>
      <c r="B14" s="528"/>
      <c r="C14" s="528"/>
      <c r="D14" s="528"/>
      <c r="E14" s="528"/>
      <c r="F14" s="528"/>
      <c r="G14" s="528"/>
      <c r="H14" s="528"/>
      <c r="I14" s="528"/>
    </row>
    <row r="15" spans="1:9" ht="19.5" customHeight="1" x14ac:dyDescent="0.3">
      <c r="A15" s="50"/>
    </row>
    <row r="16" spans="1:9" ht="19.5" customHeight="1" x14ac:dyDescent="0.3">
      <c r="A16" s="561" t="s">
        <v>28</v>
      </c>
      <c r="B16" s="562"/>
      <c r="C16" s="562"/>
      <c r="D16" s="562"/>
      <c r="E16" s="562"/>
      <c r="F16" s="562"/>
      <c r="G16" s="562"/>
      <c r="H16" s="563"/>
    </row>
    <row r="17" spans="1:14" ht="20.25" customHeight="1" x14ac:dyDescent="0.25">
      <c r="A17" s="564" t="s">
        <v>44</v>
      </c>
      <c r="B17" s="564"/>
      <c r="C17" s="564"/>
      <c r="D17" s="564"/>
      <c r="E17" s="564"/>
      <c r="F17" s="564"/>
      <c r="G17" s="564"/>
      <c r="H17" s="564"/>
    </row>
    <row r="18" spans="1:14" ht="26.25" customHeight="1" x14ac:dyDescent="0.4">
      <c r="A18" s="52" t="s">
        <v>30</v>
      </c>
      <c r="B18" s="565" t="s">
        <v>131</v>
      </c>
      <c r="C18" s="565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130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566" t="s">
        <v>127</v>
      </c>
      <c r="C20" s="566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566" t="s">
        <v>9</v>
      </c>
      <c r="C21" s="566"/>
      <c r="D21" s="566"/>
      <c r="E21" s="566"/>
      <c r="F21" s="566"/>
      <c r="G21" s="566"/>
      <c r="H21" s="566"/>
      <c r="I21" s="56"/>
    </row>
    <row r="22" spans="1:14" ht="26.25" customHeight="1" x14ac:dyDescent="0.4">
      <c r="A22" s="52" t="s">
        <v>34</v>
      </c>
      <c r="B22" s="57" t="s">
        <v>10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60" t="s">
        <v>122</v>
      </c>
      <c r="C26" s="560"/>
    </row>
    <row r="27" spans="1:14" ht="26.25" customHeight="1" x14ac:dyDescent="0.4">
      <c r="A27" s="61" t="s">
        <v>45</v>
      </c>
      <c r="B27" s="558" t="s">
        <v>126</v>
      </c>
      <c r="C27" s="558"/>
    </row>
    <row r="28" spans="1:14" ht="27" customHeight="1" x14ac:dyDescent="0.4">
      <c r="A28" s="61" t="s">
        <v>5</v>
      </c>
      <c r="B28" s="62">
        <v>99.65</v>
      </c>
    </row>
    <row r="29" spans="1:14" s="3" customFormat="1" ht="27" customHeight="1" x14ac:dyDescent="0.4">
      <c r="A29" s="61" t="s">
        <v>46</v>
      </c>
      <c r="B29" s="63">
        <v>0</v>
      </c>
      <c r="C29" s="535" t="s">
        <v>47</v>
      </c>
      <c r="D29" s="536"/>
      <c r="E29" s="536"/>
      <c r="F29" s="536"/>
      <c r="G29" s="537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99.65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538" t="s">
        <v>50</v>
      </c>
      <c r="D31" s="539"/>
      <c r="E31" s="539"/>
      <c r="F31" s="539"/>
      <c r="G31" s="539"/>
      <c r="H31" s="540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538" t="s">
        <v>52</v>
      </c>
      <c r="D32" s="539"/>
      <c r="E32" s="539"/>
      <c r="F32" s="539"/>
      <c r="G32" s="539"/>
      <c r="H32" s="54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469">
        <v>25</v>
      </c>
      <c r="C36" s="51"/>
      <c r="D36" s="541" t="s">
        <v>56</v>
      </c>
      <c r="E36" s="559"/>
      <c r="F36" s="541" t="s">
        <v>57</v>
      </c>
      <c r="G36" s="54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470">
        <v>10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470">
        <v>50</v>
      </c>
      <c r="C38" s="83">
        <v>1</v>
      </c>
      <c r="D38" s="84">
        <v>124813632</v>
      </c>
      <c r="E38" s="85">
        <f>IF(ISBLANK(D38),"-",$D$48/$D$45*D38)</f>
        <v>125565928.87135047</v>
      </c>
      <c r="F38" s="84">
        <v>131333884</v>
      </c>
      <c r="G38" s="86">
        <f>IF(ISBLANK(F38),"-",$D$48/$F$45*F38)</f>
        <v>126240581.49884748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124876893</v>
      </c>
      <c r="E39" s="90">
        <f>IF(ISBLANK(D39),"-",$D$48/$D$45*D39)</f>
        <v>125629571.16826184</v>
      </c>
      <c r="F39" s="89">
        <v>131197917</v>
      </c>
      <c r="G39" s="91">
        <f>IF(ISBLANK(F39),"-",$D$48/$F$45*F39)</f>
        <v>126109887.4797423</v>
      </c>
      <c r="I39" s="543">
        <f>ABS((F43/D43*D42)-F42)/D42</f>
        <v>4.4847449831450781E-3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125109140</v>
      </c>
      <c r="E40" s="90">
        <f>IF(ISBLANK(D40),"-",$D$48/$D$45*D40)</f>
        <v>125863218.00487168</v>
      </c>
      <c r="F40" s="89">
        <v>131420609</v>
      </c>
      <c r="G40" s="91">
        <f>IF(ISBLANK(F40),"-",$D$48/$F$45*F40)</f>
        <v>126323943.18813163</v>
      </c>
      <c r="I40" s="543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124933221.66666667</v>
      </c>
      <c r="E42" s="100">
        <f>AVERAGE(E38:E41)</f>
        <v>125686239.34816132</v>
      </c>
      <c r="F42" s="99">
        <f>AVERAGE(F38:F41)</f>
        <v>131317470</v>
      </c>
      <c r="G42" s="101">
        <f>AVERAGE(G38:G41)</f>
        <v>126224804.05557381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19.95</v>
      </c>
      <c r="E43" s="92"/>
      <c r="F43" s="104">
        <v>20.88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19.95</v>
      </c>
      <c r="E44" s="107"/>
      <c r="F44" s="106">
        <f>F43*$B$34</f>
        <v>20.88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125</v>
      </c>
      <c r="C45" s="105" t="s">
        <v>74</v>
      </c>
      <c r="D45" s="109">
        <f>D44*$B$30/100</f>
        <v>19.880175000000001</v>
      </c>
      <c r="E45" s="110"/>
      <c r="F45" s="109">
        <f>F44*$B$30/100</f>
        <v>20.806920000000002</v>
      </c>
      <c r="H45" s="102"/>
    </row>
    <row r="46" spans="1:14" ht="19.5" customHeight="1" x14ac:dyDescent="0.3">
      <c r="A46" s="529" t="s">
        <v>75</v>
      </c>
      <c r="B46" s="530"/>
      <c r="C46" s="105" t="s">
        <v>76</v>
      </c>
      <c r="D46" s="111">
        <f>D45/$B$45</f>
        <v>0.1590414</v>
      </c>
      <c r="E46" s="112"/>
      <c r="F46" s="113">
        <f>F45/$B$45</f>
        <v>0.16645536000000002</v>
      </c>
      <c r="H46" s="102"/>
    </row>
    <row r="47" spans="1:14" ht="27" customHeight="1" x14ac:dyDescent="0.4">
      <c r="A47" s="531"/>
      <c r="B47" s="532"/>
      <c r="C47" s="114" t="s">
        <v>77</v>
      </c>
      <c r="D47" s="115">
        <v>0.16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20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125955521.70186758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2.5290625265983781E-3</v>
      </c>
      <c r="F51" s="122"/>
      <c r="H51" s="102"/>
    </row>
    <row r="52" spans="1:12" ht="19.5" customHeight="1" x14ac:dyDescent="0.3">
      <c r="C52" s="124" t="s">
        <v>18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Sulfamethoxazole 400mg, Trimethoprim 80mg</v>
      </c>
    </row>
    <row r="56" spans="1:12" ht="26.25" customHeight="1" x14ac:dyDescent="0.4">
      <c r="A56" s="129" t="s">
        <v>84</v>
      </c>
      <c r="B56" s="130">
        <v>400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85</v>
      </c>
      <c r="B57" s="220">
        <f>Uniformity!C46</f>
        <v>595.13800000000003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469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470">
        <v>4</v>
      </c>
      <c r="C60" s="546" t="s">
        <v>91</v>
      </c>
      <c r="D60" s="549">
        <v>606.73</v>
      </c>
      <c r="E60" s="134">
        <v>1</v>
      </c>
      <c r="F60" s="135">
        <v>127022685</v>
      </c>
      <c r="G60" s="221">
        <f>IF(ISBLANK(F60),"-",(F60/$D$50*$D$47*$B$68)*($B$57/$D$60))</f>
        <v>395.68198770052607</v>
      </c>
      <c r="H60" s="136">
        <f t="shared" ref="H60:H71" si="0">IF(ISBLANK(F60),"-",G60/$B$56)</f>
        <v>0.98920496925131518</v>
      </c>
      <c r="L60" s="64"/>
    </row>
    <row r="61" spans="1:12" s="3" customFormat="1" ht="26.25" customHeight="1" x14ac:dyDescent="0.4">
      <c r="A61" s="76" t="s">
        <v>92</v>
      </c>
      <c r="B61" s="470">
        <v>50</v>
      </c>
      <c r="C61" s="547"/>
      <c r="D61" s="550"/>
      <c r="E61" s="137">
        <v>2</v>
      </c>
      <c r="F61" s="89">
        <v>127457495</v>
      </c>
      <c r="G61" s="222">
        <f>IF(ISBLANK(F61),"-",(F61/$D$50*$D$47*$B$68)*($B$57/$D$60))</f>
        <v>397.03644249788829</v>
      </c>
      <c r="H61" s="138">
        <f t="shared" si="0"/>
        <v>0.99259110624472069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547"/>
      <c r="D62" s="550"/>
      <c r="E62" s="137">
        <v>3</v>
      </c>
      <c r="F62" s="139">
        <v>127301800</v>
      </c>
      <c r="G62" s="222">
        <f>IF(ISBLANK(F62),"-",(F62/$D$50*$D$47*$B$68)*($B$57/$D$60))</f>
        <v>396.5514448214887</v>
      </c>
      <c r="H62" s="138">
        <f t="shared" si="0"/>
        <v>0.9913786120537218</v>
      </c>
      <c r="L62" s="64"/>
    </row>
    <row r="63" spans="1:12" ht="27" customHeight="1" x14ac:dyDescent="0.4">
      <c r="A63" s="76" t="s">
        <v>94</v>
      </c>
      <c r="B63" s="77">
        <v>1</v>
      </c>
      <c r="C63" s="557"/>
      <c r="D63" s="55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546" t="s">
        <v>96</v>
      </c>
      <c r="D64" s="549">
        <v>584.77</v>
      </c>
      <c r="E64" s="134">
        <v>1</v>
      </c>
      <c r="F64" s="135">
        <v>123829451</v>
      </c>
      <c r="G64" s="223">
        <f>IF(ISBLANK(F64),"-",(F64/$D$50*$D$47*$B$68)*($B$57/$D$64))</f>
        <v>400.22049489044832</v>
      </c>
      <c r="H64" s="142">
        <f t="shared" si="0"/>
        <v>1.0005512372261207</v>
      </c>
    </row>
    <row r="65" spans="1:8" ht="26.25" customHeight="1" x14ac:dyDescent="0.4">
      <c r="A65" s="76" t="s">
        <v>97</v>
      </c>
      <c r="B65" s="77">
        <v>1</v>
      </c>
      <c r="C65" s="547"/>
      <c r="D65" s="550"/>
      <c r="E65" s="137">
        <v>2</v>
      </c>
      <c r="F65" s="89">
        <v>124500821</v>
      </c>
      <c r="G65" s="224">
        <f>IF(ISBLANK(F65),"-",(F65/$D$50*$D$47*$B$68)*($B$57/$D$64))</f>
        <v>402.39038284105061</v>
      </c>
      <c r="H65" s="143">
        <f t="shared" si="0"/>
        <v>1.0059759571026266</v>
      </c>
    </row>
    <row r="66" spans="1:8" ht="26.25" customHeight="1" x14ac:dyDescent="0.4">
      <c r="A66" s="76" t="s">
        <v>98</v>
      </c>
      <c r="B66" s="77">
        <v>1</v>
      </c>
      <c r="C66" s="547"/>
      <c r="D66" s="550"/>
      <c r="E66" s="137">
        <v>3</v>
      </c>
      <c r="F66" s="89">
        <v>124222225</v>
      </c>
      <c r="G66" s="224">
        <f>IF(ISBLANK(F66),"-",(F66/$D$50*$D$47*$B$68)*($B$57/$D$64))</f>
        <v>401.48995222382609</v>
      </c>
      <c r="H66" s="143">
        <f t="shared" si="0"/>
        <v>1.0037248805595653</v>
      </c>
    </row>
    <row r="67" spans="1:8" ht="27" customHeight="1" x14ac:dyDescent="0.4">
      <c r="A67" s="76" t="s">
        <v>99</v>
      </c>
      <c r="B67" s="77">
        <v>1</v>
      </c>
      <c r="C67" s="557"/>
      <c r="D67" s="55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2500</v>
      </c>
      <c r="C68" s="546" t="s">
        <v>101</v>
      </c>
      <c r="D68" s="549">
        <v>589</v>
      </c>
      <c r="E68" s="134">
        <v>1</v>
      </c>
      <c r="F68" s="135">
        <v>122556782</v>
      </c>
      <c r="G68" s="223">
        <f>IF(ISBLANK(F68),"-",(F68/$D$50*$D$47*$B$68)*($B$57/$D$68))</f>
        <v>393.26248187416422</v>
      </c>
      <c r="H68" s="138">
        <f t="shared" si="0"/>
        <v>0.98315620468541054</v>
      </c>
    </row>
    <row r="69" spans="1:8" ht="27" customHeight="1" x14ac:dyDescent="0.4">
      <c r="A69" s="124" t="s">
        <v>102</v>
      </c>
      <c r="B69" s="146">
        <f>(D47*B68)/B56*B57</f>
        <v>595.13800000000003</v>
      </c>
      <c r="C69" s="547"/>
      <c r="D69" s="550"/>
      <c r="E69" s="137">
        <v>2</v>
      </c>
      <c r="F69" s="89">
        <v>122693975</v>
      </c>
      <c r="G69" s="224">
        <f>IF(ISBLANK(F69),"-",(F69/$D$50*$D$47*$B$68)*($B$57/$D$68))</f>
        <v>393.70270932461858</v>
      </c>
      <c r="H69" s="138">
        <f t="shared" si="0"/>
        <v>0.98425677331154648</v>
      </c>
    </row>
    <row r="70" spans="1:8" ht="26.25" customHeight="1" x14ac:dyDescent="0.4">
      <c r="A70" s="552" t="s">
        <v>75</v>
      </c>
      <c r="B70" s="553"/>
      <c r="C70" s="547"/>
      <c r="D70" s="550"/>
      <c r="E70" s="137">
        <v>3</v>
      </c>
      <c r="F70" s="89">
        <v>123030080</v>
      </c>
      <c r="G70" s="224">
        <f>IF(ISBLANK(F70),"-",(F70/$D$50*$D$47*$B$68)*($B$57/$D$68))</f>
        <v>394.78120930082002</v>
      </c>
      <c r="H70" s="138">
        <f t="shared" si="0"/>
        <v>0.98695302325205003</v>
      </c>
    </row>
    <row r="71" spans="1:8" ht="27" customHeight="1" x14ac:dyDescent="0.4">
      <c r="A71" s="554"/>
      <c r="B71" s="555"/>
      <c r="C71" s="548"/>
      <c r="D71" s="55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397.23523394164795</v>
      </c>
      <c r="H72" s="151">
        <f>AVERAGE(H60:H71)</f>
        <v>0.99308808485411981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8.4807503588314251E-3</v>
      </c>
      <c r="H73" s="226">
        <f>STDEV(H60:H71)/H72</f>
        <v>8.4807503588314338E-3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18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533" t="str">
        <f>B20</f>
        <v xml:space="preserve">Sulfamethoxazole </v>
      </c>
      <c r="D76" s="533"/>
      <c r="E76" s="157" t="s">
        <v>105</v>
      </c>
      <c r="F76" s="157"/>
      <c r="G76" s="158">
        <f>H72</f>
        <v>0.99308808485411981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56" t="str">
        <f>B26</f>
        <v>Sulphamethoxazole</v>
      </c>
      <c r="C79" s="556"/>
    </row>
    <row r="80" spans="1:8" ht="26.25" customHeight="1" x14ac:dyDescent="0.4">
      <c r="A80" s="61" t="s">
        <v>45</v>
      </c>
      <c r="B80" s="556" t="s">
        <v>132</v>
      </c>
      <c r="C80" s="556"/>
    </row>
    <row r="81" spans="1:12" ht="27" customHeight="1" x14ac:dyDescent="0.4">
      <c r="A81" s="61" t="s">
        <v>5</v>
      </c>
      <c r="B81" s="160">
        <v>99.58</v>
      </c>
    </row>
    <row r="82" spans="1:12" s="3" customFormat="1" ht="27" customHeight="1" x14ac:dyDescent="0.4">
      <c r="A82" s="61" t="s">
        <v>46</v>
      </c>
      <c r="B82" s="63">
        <v>0</v>
      </c>
      <c r="C82" s="535" t="s">
        <v>47</v>
      </c>
      <c r="D82" s="536"/>
      <c r="E82" s="536"/>
      <c r="F82" s="536"/>
      <c r="G82" s="537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99.58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538" t="s">
        <v>108</v>
      </c>
      <c r="D84" s="539"/>
      <c r="E84" s="539"/>
      <c r="F84" s="539"/>
      <c r="G84" s="539"/>
      <c r="H84" s="540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538" t="s">
        <v>109</v>
      </c>
      <c r="D85" s="539"/>
      <c r="E85" s="539"/>
      <c r="F85" s="539"/>
      <c r="G85" s="539"/>
      <c r="H85" s="54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1" t="s">
        <v>56</v>
      </c>
      <c r="E89" s="162"/>
      <c r="F89" s="541" t="s">
        <v>57</v>
      </c>
      <c r="G89" s="542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20</v>
      </c>
      <c r="C91" s="165">
        <v>1</v>
      </c>
      <c r="D91" s="267">
        <v>62083533</v>
      </c>
      <c r="E91" s="85">
        <f>IF(ISBLANK(D91),"-",$D$101/$D$98*D91)</f>
        <v>55169854.420589045</v>
      </c>
      <c r="F91" s="267">
        <v>51571336</v>
      </c>
      <c r="G91" s="86">
        <f>IF(ISBLANK(F91),"-",$D$101/$F$98*F91)</f>
        <v>55969036.586557843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272">
        <v>62263224</v>
      </c>
      <c r="E92" s="90">
        <f>IF(ISBLANK(D92),"-",$D$101/$D$98*D92)</f>
        <v>55329534.867748678</v>
      </c>
      <c r="F92" s="272">
        <v>51657091</v>
      </c>
      <c r="G92" s="91">
        <f>IF(ISBLANK(F92),"-",$D$101/$F$98*F92)</f>
        <v>56062104.269203879</v>
      </c>
      <c r="I92" s="543">
        <f>ABS((F96/D96*D95)-F95)/D95</f>
        <v>9.689511772318431E-3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272">
        <v>62491481</v>
      </c>
      <c r="E93" s="90">
        <f>IF(ISBLANK(D93),"-",$D$101/$D$98*D93)</f>
        <v>55532372.961071759</v>
      </c>
      <c r="F93" s="272">
        <v>51567958</v>
      </c>
      <c r="G93" s="91">
        <f>IF(ISBLANK(F93),"-",$D$101/$F$98*F93)</f>
        <v>55965370.530561358</v>
      </c>
      <c r="I93" s="543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  <c r="J94" s="2">
        <f>16/50*2/20</f>
        <v>3.2000000000000001E-2</v>
      </c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62279412.666666664</v>
      </c>
      <c r="E95" s="100">
        <f>AVERAGE(E91:E94)</f>
        <v>55343920.749803163</v>
      </c>
      <c r="F95" s="170">
        <f>AVERAGE(F91:F94)</f>
        <v>51598795</v>
      </c>
      <c r="G95" s="171">
        <f>AVERAGE(G91:G94)</f>
        <v>55998837.128774367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20.09</v>
      </c>
      <c r="E96" s="92"/>
      <c r="F96" s="104">
        <v>16.45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20.09</v>
      </c>
      <c r="E97" s="107"/>
      <c r="F97" s="106">
        <f>F96*$B$87</f>
        <v>16.45</v>
      </c>
    </row>
    <row r="98" spans="1:10" ht="19.5" customHeight="1" x14ac:dyDescent="0.3">
      <c r="A98" s="76" t="s">
        <v>73</v>
      </c>
      <c r="B98" s="176">
        <f>(B97/B96)*(B95/B94)*(B93/B92)*(B91/B90)*B89</f>
        <v>100</v>
      </c>
      <c r="C98" s="174" t="s">
        <v>112</v>
      </c>
      <c r="D98" s="177">
        <f>D97*$B$83/100</f>
        <v>20.005621999999999</v>
      </c>
      <c r="E98" s="110"/>
      <c r="F98" s="109">
        <f>F97*$B$83/100</f>
        <v>16.38091</v>
      </c>
    </row>
    <row r="99" spans="1:10" ht="19.5" customHeight="1" x14ac:dyDescent="0.3">
      <c r="A99" s="529" t="s">
        <v>75</v>
      </c>
      <c r="B99" s="544"/>
      <c r="C99" s="174" t="s">
        <v>113</v>
      </c>
      <c r="D99" s="178">
        <f>D98/$B$98</f>
        <v>0.20005621999999998</v>
      </c>
      <c r="E99" s="110"/>
      <c r="F99" s="113">
        <f>F98/$B$98</f>
        <v>0.16380910000000001</v>
      </c>
      <c r="G99" s="179"/>
      <c r="H99" s="102"/>
    </row>
    <row r="100" spans="1:10" ht="19.5" customHeight="1" x14ac:dyDescent="0.3">
      <c r="A100" s="531"/>
      <c r="B100" s="545"/>
      <c r="C100" s="174" t="s">
        <v>77</v>
      </c>
      <c r="D100" s="180">
        <f>$B$56/$B$116</f>
        <v>0.17777777777777778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17.777777777777779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17.777777777777779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55671378.939288758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6.7945201159654708E-3</v>
      </c>
      <c r="F104" s="122"/>
      <c r="G104" s="179"/>
      <c r="H104" s="102"/>
      <c r="J104" s="188"/>
    </row>
    <row r="105" spans="1:10" ht="19.5" customHeight="1" x14ac:dyDescent="0.3">
      <c r="C105" s="154" t="s">
        <v>18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4</v>
      </c>
      <c r="C108" s="195">
        <v>1</v>
      </c>
      <c r="D108" s="196">
        <v>49337466</v>
      </c>
      <c r="E108" s="227">
        <f t="shared" ref="E108:E113" si="1">IF(ISBLANK(D108),"-",D108/$D$103*$D$100*$B$116)</f>
        <v>354.49070556562953</v>
      </c>
      <c r="F108" s="197">
        <f t="shared" ref="F108:F113" si="2">IF(ISBLANK(D108), "-", E108/$B$56)</f>
        <v>0.88622676391407385</v>
      </c>
    </row>
    <row r="109" spans="1:10" ht="26.25" customHeight="1" x14ac:dyDescent="0.4">
      <c r="A109" s="76" t="s">
        <v>92</v>
      </c>
      <c r="B109" s="77">
        <v>10</v>
      </c>
      <c r="C109" s="195">
        <v>2</v>
      </c>
      <c r="D109" s="196">
        <v>52077041</v>
      </c>
      <c r="E109" s="228">
        <f t="shared" si="1"/>
        <v>374.17460815397811</v>
      </c>
      <c r="F109" s="198">
        <f t="shared" si="2"/>
        <v>0.93543652038494529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55597084</v>
      </c>
      <c r="E110" s="228">
        <f t="shared" si="1"/>
        <v>399.46618933675217</v>
      </c>
      <c r="F110" s="198">
        <f t="shared" si="2"/>
        <v>0.99866547334188038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53326449</v>
      </c>
      <c r="E111" s="228">
        <f t="shared" si="1"/>
        <v>383.15163027058509</v>
      </c>
      <c r="F111" s="198">
        <f t="shared" si="2"/>
        <v>0.95787907567646269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56458622</v>
      </c>
      <c r="E112" s="228">
        <f t="shared" si="1"/>
        <v>405.6563575446533</v>
      </c>
      <c r="F112" s="198">
        <f t="shared" si="2"/>
        <v>1.0141408938616332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52978011</v>
      </c>
      <c r="E113" s="229">
        <f t="shared" si="1"/>
        <v>380.64809609098455</v>
      </c>
      <c r="F113" s="201">
        <f t="shared" si="2"/>
        <v>0.95162024022746139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1">
        <f>AVERAGE(E108:E113)</f>
        <v>382.93126449376382</v>
      </c>
      <c r="F115" s="204">
        <f>AVERAGE(F108:F113)</f>
        <v>0.95732816123440934</v>
      </c>
    </row>
    <row r="116" spans="1:10" ht="27" customHeight="1" x14ac:dyDescent="0.4">
      <c r="A116" s="76" t="s">
        <v>100</v>
      </c>
      <c r="B116" s="108">
        <f>(B115/B114)*(B113/B112)*(B111/B110)*(B109/B108)*B107</f>
        <v>2250</v>
      </c>
      <c r="C116" s="205"/>
      <c r="D116" s="168" t="s">
        <v>81</v>
      </c>
      <c r="E116" s="206">
        <f>STDEV(E108:E113)/E115</f>
        <v>4.7877498007369811E-2</v>
      </c>
      <c r="F116" s="206">
        <f>STDEV(F108:F113)/F115</f>
        <v>4.787749800736979E-2</v>
      </c>
      <c r="I116" s="50"/>
    </row>
    <row r="117" spans="1:10" ht="27" customHeight="1" x14ac:dyDescent="0.4">
      <c r="A117" s="529" t="s">
        <v>75</v>
      </c>
      <c r="B117" s="530"/>
      <c r="C117" s="207"/>
      <c r="D117" s="208" t="s">
        <v>18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531"/>
      <c r="B118" s="53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533" t="str">
        <f>B20</f>
        <v xml:space="preserve">Sulfamethoxazole </v>
      </c>
      <c r="D120" s="533"/>
      <c r="E120" s="157" t="s">
        <v>121</v>
      </c>
      <c r="F120" s="157"/>
      <c r="G120" s="158">
        <f>F115</f>
        <v>0.95732816123440934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34" t="s">
        <v>23</v>
      </c>
      <c r="C122" s="534"/>
      <c r="E122" s="163" t="s">
        <v>24</v>
      </c>
      <c r="F122" s="212"/>
      <c r="G122" s="534" t="s">
        <v>25</v>
      </c>
      <c r="H122" s="534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7" zoomScale="55" zoomScaleNormal="40" zoomScalePageLayoutView="55" workbookViewId="0">
      <selection activeCell="G112" sqref="G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7" t="s">
        <v>42</v>
      </c>
      <c r="B1" s="527"/>
      <c r="C1" s="527"/>
      <c r="D1" s="527"/>
      <c r="E1" s="527"/>
      <c r="F1" s="527"/>
      <c r="G1" s="527"/>
      <c r="H1" s="527"/>
      <c r="I1" s="527"/>
    </row>
    <row r="2" spans="1:9" ht="18.75" customHeight="1" x14ac:dyDescent="0.25">
      <c r="A2" s="527"/>
      <c r="B2" s="527"/>
      <c r="C2" s="527"/>
      <c r="D2" s="527"/>
      <c r="E2" s="527"/>
      <c r="F2" s="527"/>
      <c r="G2" s="527"/>
      <c r="H2" s="527"/>
      <c r="I2" s="527"/>
    </row>
    <row r="3" spans="1:9" ht="18.75" customHeight="1" x14ac:dyDescent="0.25">
      <c r="A3" s="527"/>
      <c r="B3" s="527"/>
      <c r="C3" s="527"/>
      <c r="D3" s="527"/>
      <c r="E3" s="527"/>
      <c r="F3" s="527"/>
      <c r="G3" s="527"/>
      <c r="H3" s="527"/>
      <c r="I3" s="527"/>
    </row>
    <row r="4" spans="1:9" ht="18.75" customHeight="1" x14ac:dyDescent="0.25">
      <c r="A4" s="527"/>
      <c r="B4" s="527"/>
      <c r="C4" s="527"/>
      <c r="D4" s="527"/>
      <c r="E4" s="527"/>
      <c r="F4" s="527"/>
      <c r="G4" s="527"/>
      <c r="H4" s="527"/>
      <c r="I4" s="527"/>
    </row>
    <row r="5" spans="1:9" ht="18.75" customHeight="1" x14ac:dyDescent="0.25">
      <c r="A5" s="527"/>
      <c r="B5" s="527"/>
      <c r="C5" s="527"/>
      <c r="D5" s="527"/>
      <c r="E5" s="527"/>
      <c r="F5" s="527"/>
      <c r="G5" s="527"/>
      <c r="H5" s="527"/>
      <c r="I5" s="527"/>
    </row>
    <row r="6" spans="1:9" ht="18.75" customHeight="1" x14ac:dyDescent="0.25">
      <c r="A6" s="527"/>
      <c r="B6" s="527"/>
      <c r="C6" s="527"/>
      <c r="D6" s="527"/>
      <c r="E6" s="527"/>
      <c r="F6" s="527"/>
      <c r="G6" s="527"/>
      <c r="H6" s="527"/>
      <c r="I6" s="527"/>
    </row>
    <row r="7" spans="1:9" ht="18.75" customHeight="1" x14ac:dyDescent="0.25">
      <c r="A7" s="527"/>
      <c r="B7" s="527"/>
      <c r="C7" s="527"/>
      <c r="D7" s="527"/>
      <c r="E7" s="527"/>
      <c r="F7" s="527"/>
      <c r="G7" s="527"/>
      <c r="H7" s="527"/>
      <c r="I7" s="527"/>
    </row>
    <row r="8" spans="1:9" x14ac:dyDescent="0.25">
      <c r="A8" s="528" t="s">
        <v>43</v>
      </c>
      <c r="B8" s="528"/>
      <c r="C8" s="528"/>
      <c r="D8" s="528"/>
      <c r="E8" s="528"/>
      <c r="F8" s="528"/>
      <c r="G8" s="528"/>
      <c r="H8" s="528"/>
      <c r="I8" s="528"/>
    </row>
    <row r="9" spans="1:9" x14ac:dyDescent="0.25">
      <c r="A9" s="528"/>
      <c r="B9" s="528"/>
      <c r="C9" s="528"/>
      <c r="D9" s="528"/>
      <c r="E9" s="528"/>
      <c r="F9" s="528"/>
      <c r="G9" s="528"/>
      <c r="H9" s="528"/>
      <c r="I9" s="528"/>
    </row>
    <row r="10" spans="1:9" x14ac:dyDescent="0.25">
      <c r="A10" s="528"/>
      <c r="B10" s="528"/>
      <c r="C10" s="528"/>
      <c r="D10" s="528"/>
      <c r="E10" s="528"/>
      <c r="F10" s="528"/>
      <c r="G10" s="528"/>
      <c r="H10" s="528"/>
      <c r="I10" s="528"/>
    </row>
    <row r="11" spans="1:9" x14ac:dyDescent="0.25">
      <c r="A11" s="528"/>
      <c r="B11" s="528"/>
      <c r="C11" s="528"/>
      <c r="D11" s="528"/>
      <c r="E11" s="528"/>
      <c r="F11" s="528"/>
      <c r="G11" s="528"/>
      <c r="H11" s="528"/>
      <c r="I11" s="528"/>
    </row>
    <row r="12" spans="1:9" x14ac:dyDescent="0.25">
      <c r="A12" s="528"/>
      <c r="B12" s="528"/>
      <c r="C12" s="528"/>
      <c r="D12" s="528"/>
      <c r="E12" s="528"/>
      <c r="F12" s="528"/>
      <c r="G12" s="528"/>
      <c r="H12" s="528"/>
      <c r="I12" s="528"/>
    </row>
    <row r="13" spans="1:9" x14ac:dyDescent="0.25">
      <c r="A13" s="528"/>
      <c r="B13" s="528"/>
      <c r="C13" s="528"/>
      <c r="D13" s="528"/>
      <c r="E13" s="528"/>
      <c r="F13" s="528"/>
      <c r="G13" s="528"/>
      <c r="H13" s="528"/>
      <c r="I13" s="528"/>
    </row>
    <row r="14" spans="1:9" x14ac:dyDescent="0.25">
      <c r="A14" s="528"/>
      <c r="B14" s="528"/>
      <c r="C14" s="528"/>
      <c r="D14" s="528"/>
      <c r="E14" s="528"/>
      <c r="F14" s="528"/>
      <c r="G14" s="528"/>
      <c r="H14" s="528"/>
      <c r="I14" s="528"/>
    </row>
    <row r="15" spans="1:9" ht="19.5" customHeight="1" x14ac:dyDescent="0.3">
      <c r="A15" s="233"/>
    </row>
    <row r="16" spans="1:9" ht="19.5" customHeight="1" x14ac:dyDescent="0.3">
      <c r="A16" s="561" t="s">
        <v>28</v>
      </c>
      <c r="B16" s="562"/>
      <c r="C16" s="562"/>
      <c r="D16" s="562"/>
      <c r="E16" s="562"/>
      <c r="F16" s="562"/>
      <c r="G16" s="562"/>
      <c r="H16" s="563"/>
    </row>
    <row r="17" spans="1:14" ht="20.25" customHeight="1" x14ac:dyDescent="0.25">
      <c r="A17" s="564" t="s">
        <v>44</v>
      </c>
      <c r="B17" s="564"/>
      <c r="C17" s="564"/>
      <c r="D17" s="564"/>
      <c r="E17" s="564"/>
      <c r="F17" s="564"/>
      <c r="G17" s="564"/>
      <c r="H17" s="564"/>
    </row>
    <row r="18" spans="1:14" ht="26.25" customHeight="1" x14ac:dyDescent="0.4">
      <c r="A18" s="235" t="s">
        <v>30</v>
      </c>
      <c r="B18" s="565" t="s">
        <v>131</v>
      </c>
      <c r="C18" s="565"/>
      <c r="D18" s="402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130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566" t="s">
        <v>129</v>
      </c>
      <c r="C20" s="566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566" t="s">
        <v>9</v>
      </c>
      <c r="C21" s="566"/>
      <c r="D21" s="566"/>
      <c r="E21" s="566"/>
      <c r="F21" s="566"/>
      <c r="G21" s="566"/>
      <c r="H21" s="566"/>
      <c r="I21" s="239"/>
    </row>
    <row r="22" spans="1:14" ht="26.25" customHeight="1" x14ac:dyDescent="0.4">
      <c r="A22" s="235" t="s">
        <v>34</v>
      </c>
      <c r="B22" s="240" t="s">
        <v>10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560" t="s">
        <v>124</v>
      </c>
      <c r="C26" s="560"/>
    </row>
    <row r="27" spans="1:14" ht="26.25" customHeight="1" x14ac:dyDescent="0.4">
      <c r="A27" s="244" t="s">
        <v>45</v>
      </c>
      <c r="B27" s="558" t="s">
        <v>128</v>
      </c>
      <c r="C27" s="558"/>
    </row>
    <row r="28" spans="1:14" ht="27" customHeight="1" x14ac:dyDescent="0.4">
      <c r="A28" s="244" t="s">
        <v>5</v>
      </c>
      <c r="B28" s="245">
        <v>99.3</v>
      </c>
    </row>
    <row r="29" spans="1:14" s="3" customFormat="1" ht="27" customHeight="1" x14ac:dyDescent="0.4">
      <c r="A29" s="244" t="s">
        <v>46</v>
      </c>
      <c r="B29" s="246">
        <v>0</v>
      </c>
      <c r="C29" s="535" t="s">
        <v>47</v>
      </c>
      <c r="D29" s="536"/>
      <c r="E29" s="536"/>
      <c r="F29" s="536"/>
      <c r="G29" s="537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99.3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538" t="s">
        <v>50</v>
      </c>
      <c r="D31" s="539"/>
      <c r="E31" s="539"/>
      <c r="F31" s="539"/>
      <c r="G31" s="539"/>
      <c r="H31" s="540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538" t="s">
        <v>52</v>
      </c>
      <c r="D32" s="539"/>
      <c r="E32" s="539"/>
      <c r="F32" s="539"/>
      <c r="G32" s="539"/>
      <c r="H32" s="540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25</v>
      </c>
      <c r="C36" s="234"/>
      <c r="D36" s="541" t="s">
        <v>56</v>
      </c>
      <c r="E36" s="559"/>
      <c r="F36" s="541" t="s">
        <v>57</v>
      </c>
      <c r="G36" s="542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2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50</v>
      </c>
      <c r="C38" s="266">
        <v>1</v>
      </c>
      <c r="D38" s="267">
        <v>9080082</v>
      </c>
      <c r="E38" s="268">
        <f>IF(ISBLANK(D38),"-",$D$48/$D$45*D38)</f>
        <v>9544979.7854291108</v>
      </c>
      <c r="F38" s="267">
        <v>9825490</v>
      </c>
      <c r="G38" s="269">
        <f>IF(ISBLANK(F38),"-",$D$48/$F$45*F38)</f>
        <v>9667565.4840355385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9083526</v>
      </c>
      <c r="E39" s="273">
        <f>IF(ISBLANK(D39),"-",$D$48/$D$45*D39)</f>
        <v>9548600.1173138898</v>
      </c>
      <c r="F39" s="272">
        <v>9815050</v>
      </c>
      <c r="G39" s="274">
        <f>IF(ISBLANK(F39),"-",$D$48/$F$45*F39)</f>
        <v>9657293.2855341565</v>
      </c>
      <c r="I39" s="543">
        <f>ABS((F43/D43*D42)-F42)/D42</f>
        <v>1.2561333811867307E-2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9080206</v>
      </c>
      <c r="E40" s="273">
        <f>IF(ISBLANK(D40),"-",$D$48/$D$45*D40)</f>
        <v>9545110.1341961585</v>
      </c>
      <c r="F40" s="272">
        <v>9808196</v>
      </c>
      <c r="G40" s="274">
        <f>IF(ISBLANK(F40),"-",$D$48/$F$45*F40)</f>
        <v>9650549.4494682122</v>
      </c>
      <c r="I40" s="543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67</v>
      </c>
      <c r="B42" s="260">
        <v>1</v>
      </c>
      <c r="C42" s="281" t="s">
        <v>68</v>
      </c>
      <c r="D42" s="282">
        <f>AVERAGE(D38:D41)</f>
        <v>9081271.333333334</v>
      </c>
      <c r="E42" s="283">
        <f>AVERAGE(E38:E41)</f>
        <v>9546230.012313053</v>
      </c>
      <c r="F42" s="282">
        <f>AVERAGE(F38:F41)</f>
        <v>9816245.333333334</v>
      </c>
      <c r="G42" s="284">
        <f>AVERAGE(G38:G41)</f>
        <v>9658469.4063459691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19.16</v>
      </c>
      <c r="E43" s="275"/>
      <c r="F43" s="287">
        <v>20.47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19.16</v>
      </c>
      <c r="E44" s="290"/>
      <c r="F44" s="289">
        <f>F43*$B$34</f>
        <v>20.47</v>
      </c>
      <c r="H44" s="285"/>
    </row>
    <row r="45" spans="1:14" ht="19.5" customHeight="1" x14ac:dyDescent="0.3">
      <c r="A45" s="259" t="s">
        <v>73</v>
      </c>
      <c r="B45" s="291">
        <f>(B44/B43)*(B42/B41)*(B40/B39)*(B38/B37)*B36</f>
        <v>625</v>
      </c>
      <c r="C45" s="288" t="s">
        <v>74</v>
      </c>
      <c r="D45" s="292">
        <f>D44*$B$30/100</f>
        <v>19.025880000000001</v>
      </c>
      <c r="E45" s="293"/>
      <c r="F45" s="292">
        <f>F44*$B$30/100</f>
        <v>20.326709999999999</v>
      </c>
      <c r="H45" s="285"/>
    </row>
    <row r="46" spans="1:14" ht="19.5" customHeight="1" x14ac:dyDescent="0.3">
      <c r="A46" s="529" t="s">
        <v>75</v>
      </c>
      <c r="B46" s="530"/>
      <c r="C46" s="288" t="s">
        <v>76</v>
      </c>
      <c r="D46" s="294">
        <f>D45/$B$45</f>
        <v>3.0441408E-2</v>
      </c>
      <c r="E46" s="295"/>
      <c r="F46" s="296">
        <f>F45/$B$45</f>
        <v>3.2522735999999997E-2</v>
      </c>
      <c r="H46" s="285"/>
    </row>
    <row r="47" spans="1:14" ht="27" customHeight="1" x14ac:dyDescent="0.4">
      <c r="A47" s="531"/>
      <c r="B47" s="532"/>
      <c r="C47" s="297" t="s">
        <v>77</v>
      </c>
      <c r="D47" s="298">
        <v>3.2000000000000001E-2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20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20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9602349.7093295101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6.4284391614904696E-3</v>
      </c>
      <c r="F51" s="305"/>
      <c r="H51" s="285"/>
    </row>
    <row r="52" spans="1:12" ht="19.5" customHeight="1" x14ac:dyDescent="0.3">
      <c r="C52" s="307" t="s">
        <v>18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>Sulfamethoxazole 400mg, Trimethoprim 80mg</v>
      </c>
    </row>
    <row r="56" spans="1:12" ht="26.25" customHeight="1" x14ac:dyDescent="0.4">
      <c r="A56" s="312" t="s">
        <v>84</v>
      </c>
      <c r="B56" s="313">
        <v>80</v>
      </c>
      <c r="C56" s="234" t="str">
        <f>B20</f>
        <v xml:space="preserve"> Trimethoprim</v>
      </c>
      <c r="H56" s="314"/>
    </row>
    <row r="57" spans="1:12" ht="18.75" x14ac:dyDescent="0.3">
      <c r="A57" s="311" t="s">
        <v>85</v>
      </c>
      <c r="B57" s="403">
        <f>Uniformity!C46</f>
        <v>595.13800000000003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469">
        <v>200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470">
        <v>4</v>
      </c>
      <c r="C60" s="546" t="s">
        <v>91</v>
      </c>
      <c r="D60" s="549">
        <f>SULPHAMETHOXAZOLE!D60</f>
        <v>606.73</v>
      </c>
      <c r="E60" s="317">
        <v>1</v>
      </c>
      <c r="F60" s="318">
        <v>9632500</v>
      </c>
      <c r="G60" s="404">
        <f>IF(ISBLANK(F60),"-",(F60/$D$50*$D$47*$B$68)*($B$57/$D$60))</f>
        <v>78.717935941677794</v>
      </c>
      <c r="H60" s="319">
        <f t="shared" ref="H60:H71" si="0">IF(ISBLANK(F60),"-",G60/$B$56)</f>
        <v>0.9839741992709724</v>
      </c>
      <c r="L60" s="247"/>
    </row>
    <row r="61" spans="1:12" s="3" customFormat="1" ht="26.25" customHeight="1" x14ac:dyDescent="0.4">
      <c r="A61" s="259" t="s">
        <v>92</v>
      </c>
      <c r="B61" s="470">
        <v>50</v>
      </c>
      <c r="C61" s="547"/>
      <c r="D61" s="550"/>
      <c r="E61" s="320">
        <v>2</v>
      </c>
      <c r="F61" s="272">
        <v>9671379</v>
      </c>
      <c r="G61" s="405">
        <f>IF(ISBLANK(F61),"-",(F61/$D$50*$D$47*$B$68)*($B$57/$D$60))</f>
        <v>79.035659754963689</v>
      </c>
      <c r="H61" s="321">
        <f t="shared" si="0"/>
        <v>0.98794574693704607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547"/>
      <c r="D62" s="550"/>
      <c r="E62" s="320">
        <v>3</v>
      </c>
      <c r="F62" s="322">
        <v>9668411</v>
      </c>
      <c r="G62" s="405">
        <f>IF(ISBLANK(F62),"-",(F62/$D$50*$D$47*$B$68)*($B$57/$D$60))</f>
        <v>79.011404905872098</v>
      </c>
      <c r="H62" s="321">
        <f t="shared" si="0"/>
        <v>0.98764256132340122</v>
      </c>
      <c r="L62" s="247"/>
    </row>
    <row r="63" spans="1:12" ht="27" customHeight="1" x14ac:dyDescent="0.4">
      <c r="A63" s="259" t="s">
        <v>94</v>
      </c>
      <c r="B63" s="260">
        <v>1</v>
      </c>
      <c r="C63" s="557"/>
      <c r="D63" s="551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546" t="s">
        <v>96</v>
      </c>
      <c r="D64" s="549">
        <f>SULPHAMETHOXAZOLE!D64</f>
        <v>584.77</v>
      </c>
      <c r="E64" s="317">
        <v>1</v>
      </c>
      <c r="F64" s="318">
        <v>9418258</v>
      </c>
      <c r="G64" s="406">
        <f>IF(ISBLANK(F64),"-",(F64/$D$50*$D$47*$B$68)*($B$57/$D$64))</f>
        <v>79.857488667651737</v>
      </c>
      <c r="H64" s="325">
        <f t="shared" si="0"/>
        <v>0.99821860834564669</v>
      </c>
    </row>
    <row r="65" spans="1:8" ht="26.25" customHeight="1" x14ac:dyDescent="0.4">
      <c r="A65" s="259" t="s">
        <v>97</v>
      </c>
      <c r="B65" s="260">
        <v>1</v>
      </c>
      <c r="C65" s="547"/>
      <c r="D65" s="550"/>
      <c r="E65" s="320">
        <v>2</v>
      </c>
      <c r="F65" s="272">
        <v>9465304</v>
      </c>
      <c r="G65" s="407">
        <f>IF(ISBLANK(F65),"-",(F65/$D$50*$D$47*$B$68)*($B$57/$D$64))</f>
        <v>80.256392096699699</v>
      </c>
      <c r="H65" s="326">
        <f t="shared" si="0"/>
        <v>1.0032049012087463</v>
      </c>
    </row>
    <row r="66" spans="1:8" ht="26.25" customHeight="1" x14ac:dyDescent="0.4">
      <c r="A66" s="259" t="s">
        <v>98</v>
      </c>
      <c r="B66" s="260">
        <v>1</v>
      </c>
      <c r="C66" s="547"/>
      <c r="D66" s="550"/>
      <c r="E66" s="320">
        <v>3</v>
      </c>
      <c r="F66" s="272">
        <v>9465777</v>
      </c>
      <c r="G66" s="407">
        <f>IF(ISBLANK(F66),"-",(F66/$D$50*$D$47*$B$68)*($B$57/$D$64))</f>
        <v>80.260402667671514</v>
      </c>
      <c r="H66" s="326">
        <f t="shared" si="0"/>
        <v>1.0032550333458938</v>
      </c>
    </row>
    <row r="67" spans="1:8" ht="27" customHeight="1" x14ac:dyDescent="0.4">
      <c r="A67" s="259" t="s">
        <v>99</v>
      </c>
      <c r="B67" s="260">
        <v>1</v>
      </c>
      <c r="C67" s="557"/>
      <c r="D67" s="551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2500</v>
      </c>
      <c r="C68" s="546" t="s">
        <v>101</v>
      </c>
      <c r="D68" s="549">
        <f>SULPHAMETHOXAZOLE!D68</f>
        <v>589</v>
      </c>
      <c r="E68" s="317">
        <v>1</v>
      </c>
      <c r="F68" s="318">
        <v>9299222</v>
      </c>
      <c r="G68" s="406">
        <f>IF(ISBLANK(F68),"-",(F68/$D$50*$D$47*$B$68)*($B$57/$D$68))</f>
        <v>78.28192029095203</v>
      </c>
      <c r="H68" s="321">
        <f t="shared" si="0"/>
        <v>0.9785240036369004</v>
      </c>
    </row>
    <row r="69" spans="1:8" ht="27" customHeight="1" x14ac:dyDescent="0.4">
      <c r="A69" s="307" t="s">
        <v>102</v>
      </c>
      <c r="B69" s="329">
        <f>(D47*B68)/B56*B57</f>
        <v>595.13800000000003</v>
      </c>
      <c r="C69" s="547"/>
      <c r="D69" s="550"/>
      <c r="E69" s="320">
        <v>2</v>
      </c>
      <c r="F69" s="272">
        <v>9299262</v>
      </c>
      <c r="G69" s="407">
        <f>IF(ISBLANK(F69),"-",(F69/$D$50*$D$47*$B$68)*($B$57/$D$68))</f>
        <v>78.282257015552389</v>
      </c>
      <c r="H69" s="321">
        <f t="shared" si="0"/>
        <v>0.97852821269440482</v>
      </c>
    </row>
    <row r="70" spans="1:8" ht="26.25" customHeight="1" x14ac:dyDescent="0.4">
      <c r="A70" s="552" t="s">
        <v>75</v>
      </c>
      <c r="B70" s="553"/>
      <c r="C70" s="547"/>
      <c r="D70" s="550"/>
      <c r="E70" s="320">
        <v>3</v>
      </c>
      <c r="F70" s="272">
        <v>9323255</v>
      </c>
      <c r="G70" s="407">
        <f>IF(ISBLANK(F70),"-",(F70/$D$50*$D$47*$B$68)*($B$57/$D$68))</f>
        <v>78.484232848965206</v>
      </c>
      <c r="H70" s="321">
        <f t="shared" si="0"/>
        <v>0.98105291061206512</v>
      </c>
    </row>
    <row r="71" spans="1:8" ht="27" customHeight="1" x14ac:dyDescent="0.4">
      <c r="A71" s="554"/>
      <c r="B71" s="555"/>
      <c r="C71" s="548"/>
      <c r="D71" s="551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68</v>
      </c>
      <c r="G72" s="413">
        <f>AVERAGE(G60:G71)</f>
        <v>79.131966021111808</v>
      </c>
      <c r="H72" s="334">
        <f>AVERAGE(H60:H71)</f>
        <v>0.98914957526389757</v>
      </c>
    </row>
    <row r="73" spans="1:8" ht="26.25" customHeight="1" x14ac:dyDescent="0.4">
      <c r="C73" s="331"/>
      <c r="D73" s="331"/>
      <c r="E73" s="331"/>
      <c r="F73" s="335" t="s">
        <v>81</v>
      </c>
      <c r="G73" s="409">
        <f>STDEV(G60:G71)/G72</f>
        <v>1.0113108453183519E-2</v>
      </c>
      <c r="H73" s="409">
        <f>STDEV(H60:H71)/H72</f>
        <v>1.0113108453183511E-2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18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103</v>
      </c>
      <c r="B76" s="339" t="s">
        <v>104</v>
      </c>
      <c r="C76" s="533" t="str">
        <f>B20</f>
        <v xml:space="preserve"> Trimethoprim</v>
      </c>
      <c r="D76" s="533"/>
      <c r="E76" s="340" t="s">
        <v>105</v>
      </c>
      <c r="F76" s="340"/>
      <c r="G76" s="341">
        <f>H72</f>
        <v>0.98914957526389757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556" t="str">
        <f>B26</f>
        <v>Trimethoprim</v>
      </c>
      <c r="C79" s="556"/>
    </row>
    <row r="80" spans="1:8" ht="26.25" customHeight="1" x14ac:dyDescent="0.4">
      <c r="A80" s="244" t="s">
        <v>45</v>
      </c>
      <c r="B80" s="556" t="s">
        <v>133</v>
      </c>
      <c r="C80" s="556"/>
    </row>
    <row r="81" spans="1:12" ht="27" customHeight="1" x14ac:dyDescent="0.4">
      <c r="A81" s="244" t="s">
        <v>5</v>
      </c>
      <c r="B81" s="343">
        <v>99.66</v>
      </c>
    </row>
    <row r="82" spans="1:12" s="3" customFormat="1" ht="27" customHeight="1" x14ac:dyDescent="0.4">
      <c r="A82" s="244" t="s">
        <v>46</v>
      </c>
      <c r="B82" s="246">
        <v>0</v>
      </c>
      <c r="C82" s="535" t="s">
        <v>47</v>
      </c>
      <c r="D82" s="536"/>
      <c r="E82" s="536"/>
      <c r="F82" s="536"/>
      <c r="G82" s="537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99.66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538" t="s">
        <v>108</v>
      </c>
      <c r="D84" s="539"/>
      <c r="E84" s="539"/>
      <c r="F84" s="539"/>
      <c r="G84" s="539"/>
      <c r="H84" s="540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538" t="s">
        <v>109</v>
      </c>
      <c r="D85" s="539"/>
      <c r="E85" s="539"/>
      <c r="F85" s="539"/>
      <c r="G85" s="539"/>
      <c r="H85" s="540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50</v>
      </c>
      <c r="D89" s="344" t="s">
        <v>56</v>
      </c>
      <c r="E89" s="345"/>
      <c r="F89" s="541" t="s">
        <v>57</v>
      </c>
      <c r="G89" s="542"/>
    </row>
    <row r="90" spans="1:12" ht="27" customHeight="1" x14ac:dyDescent="0.4">
      <c r="A90" s="259" t="s">
        <v>58</v>
      </c>
      <c r="B90" s="260">
        <v>2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20</v>
      </c>
      <c r="C91" s="348">
        <v>1</v>
      </c>
      <c r="D91" s="267">
        <v>3656240</v>
      </c>
      <c r="E91" s="268">
        <f>IF(ISBLANK(D91),"-",$D$101/$D$98*D91)</f>
        <v>4327908.1339874901</v>
      </c>
      <c r="F91" s="267">
        <v>4068657</v>
      </c>
      <c r="G91" s="269">
        <f>IF(ISBLANK(F91),"-",$D$101/$F$98*F91)</f>
        <v>4330456.2481410541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3633631</v>
      </c>
      <c r="E92" s="273">
        <f>IF(ISBLANK(D92),"-",$D$101/$D$98*D92)</f>
        <v>4301145.7565173777</v>
      </c>
      <c r="F92" s="272">
        <v>4088917</v>
      </c>
      <c r="G92" s="274">
        <f>IF(ISBLANK(F92),"-",$D$101/$F$98*F92)</f>
        <v>4352019.8853774536</v>
      </c>
      <c r="I92" s="543">
        <f>ABS((F96/D96*D95)-F95)/D95</f>
        <v>5.2608076760852079E-3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3652486</v>
      </c>
      <c r="E93" s="273">
        <f>IF(ISBLANK(D93),"-",$D$101/$D$98*D93)</f>
        <v>4323464.5068910774</v>
      </c>
      <c r="F93" s="272">
        <v>4069461</v>
      </c>
      <c r="G93" s="274">
        <f>IF(ISBLANK(F93),"-",$D$101/$F$98*F93)</f>
        <v>4331311.9818201298</v>
      </c>
      <c r="I93" s="543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3647452.3333333335</v>
      </c>
      <c r="E95" s="283">
        <f>AVERAGE(E91:E94)</f>
        <v>4317506.1324653151</v>
      </c>
      <c r="F95" s="353">
        <f>AVERAGE(F91:F94)</f>
        <v>4075678.3333333335</v>
      </c>
      <c r="G95" s="354">
        <f>AVERAGE(G91:G94)</f>
        <v>4337929.3717795461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15.07</v>
      </c>
      <c r="E96" s="275"/>
      <c r="F96" s="287">
        <v>16.760000000000002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15.07</v>
      </c>
      <c r="E97" s="290"/>
      <c r="F97" s="289">
        <f>F96*$B$87</f>
        <v>16.760000000000002</v>
      </c>
    </row>
    <row r="98" spans="1:10" ht="19.5" customHeight="1" x14ac:dyDescent="0.3">
      <c r="A98" s="259" t="s">
        <v>73</v>
      </c>
      <c r="B98" s="359">
        <f>(B97/B96)*(B95/B94)*(B93/B92)*(B91/B90)*B89</f>
        <v>500</v>
      </c>
      <c r="C98" s="357" t="s">
        <v>112</v>
      </c>
      <c r="D98" s="360">
        <f>D97*$B$83/100</f>
        <v>15.018761999999999</v>
      </c>
      <c r="E98" s="293"/>
      <c r="F98" s="292">
        <f>F97*$B$83/100</f>
        <v>16.703016000000002</v>
      </c>
    </row>
    <row r="99" spans="1:10" ht="19.5" customHeight="1" x14ac:dyDescent="0.3">
      <c r="A99" s="529" t="s">
        <v>75</v>
      </c>
      <c r="B99" s="544"/>
      <c r="C99" s="357" t="s">
        <v>113</v>
      </c>
      <c r="D99" s="361">
        <f>D98/$B$98</f>
        <v>3.0037523999999996E-2</v>
      </c>
      <c r="E99" s="293"/>
      <c r="F99" s="296">
        <f>F98/$B$98</f>
        <v>3.3406032000000002E-2</v>
      </c>
      <c r="G99" s="362"/>
      <c r="H99" s="285"/>
    </row>
    <row r="100" spans="1:10" ht="19.5" customHeight="1" x14ac:dyDescent="0.3">
      <c r="A100" s="531"/>
      <c r="B100" s="545"/>
      <c r="C100" s="357" t="s">
        <v>77</v>
      </c>
      <c r="D100" s="363">
        <f>$B$56/$B$116</f>
        <v>3.5555555555555556E-2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17.777777777777779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17.777777777777779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4327717.7521224292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3.775988517709431E-3</v>
      </c>
      <c r="F104" s="305"/>
      <c r="G104" s="362"/>
      <c r="H104" s="285"/>
      <c r="J104" s="371"/>
    </row>
    <row r="105" spans="1:10" ht="19.5" customHeight="1" x14ac:dyDescent="0.3">
      <c r="C105" s="337" t="s">
        <v>18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4</v>
      </c>
      <c r="C108" s="378">
        <v>1</v>
      </c>
      <c r="D108" s="379">
        <v>4052240</v>
      </c>
      <c r="E108" s="410">
        <f t="shared" ref="E108:E113" si="1">IF(ISBLANK(D108),"-",D108/$D$103*$D$100*$B$116)</f>
        <v>74.907657700415839</v>
      </c>
      <c r="F108" s="380">
        <f t="shared" ref="F108:F113" si="2">IF(ISBLANK(D108), "-", E108/$B$56)</f>
        <v>0.93634572125519799</v>
      </c>
    </row>
    <row r="109" spans="1:10" ht="26.25" customHeight="1" x14ac:dyDescent="0.4">
      <c r="A109" s="259" t="s">
        <v>92</v>
      </c>
      <c r="B109" s="260">
        <v>10</v>
      </c>
      <c r="C109" s="378">
        <v>2</v>
      </c>
      <c r="D109" s="379">
        <v>4305989</v>
      </c>
      <c r="E109" s="411">
        <f t="shared" si="1"/>
        <v>79.598333285727378</v>
      </c>
      <c r="F109" s="381">
        <f t="shared" si="2"/>
        <v>0.9949791660715922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4523744</v>
      </c>
      <c r="E110" s="411">
        <f t="shared" si="1"/>
        <v>83.623642004498734</v>
      </c>
      <c r="F110" s="381">
        <f t="shared" si="2"/>
        <v>1.0452955250562341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4360023</v>
      </c>
      <c r="E111" s="411">
        <f t="shared" si="1"/>
        <v>80.597178461774263</v>
      </c>
      <c r="F111" s="381">
        <f t="shared" si="2"/>
        <v>1.0074647307721782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4583201</v>
      </c>
      <c r="E112" s="411">
        <f t="shared" si="1"/>
        <v>84.722734013830276</v>
      </c>
      <c r="F112" s="381">
        <f t="shared" si="2"/>
        <v>1.0590341751728785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4262370</v>
      </c>
      <c r="E113" s="412">
        <f t="shared" si="1"/>
        <v>78.792014528389586</v>
      </c>
      <c r="F113" s="384">
        <f t="shared" si="2"/>
        <v>0.98490018160486981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 t="s">
        <v>68</v>
      </c>
      <c r="E115" s="414">
        <f>AVERAGE(E108:E113)</f>
        <v>80.373593332439341</v>
      </c>
      <c r="F115" s="387">
        <f>AVERAGE(F108:F113)</f>
        <v>1.0046699166554918</v>
      </c>
    </row>
    <row r="116" spans="1:10" ht="27" customHeight="1" x14ac:dyDescent="0.4">
      <c r="A116" s="259" t="s">
        <v>100</v>
      </c>
      <c r="B116" s="291">
        <f>(B115/B114)*(B113/B112)*(B111/B110)*(B109/B108)*B107</f>
        <v>2250</v>
      </c>
      <c r="C116" s="388"/>
      <c r="D116" s="351" t="s">
        <v>81</v>
      </c>
      <c r="E116" s="389">
        <f>STDEV(E108:E113)/E115</f>
        <v>4.3991108934847256E-2</v>
      </c>
      <c r="F116" s="389">
        <f>STDEV(F108:F113)/F115</f>
        <v>4.3991108934847249E-2</v>
      </c>
      <c r="I116" s="233"/>
    </row>
    <row r="117" spans="1:10" ht="27" customHeight="1" x14ac:dyDescent="0.4">
      <c r="A117" s="529" t="s">
        <v>75</v>
      </c>
      <c r="B117" s="530"/>
      <c r="C117" s="390"/>
      <c r="D117" s="391" t="s">
        <v>18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531"/>
      <c r="B118" s="532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533" t="str">
        <f>B20</f>
        <v xml:space="preserve"> Trimethoprim</v>
      </c>
      <c r="D120" s="533"/>
      <c r="E120" s="340" t="s">
        <v>121</v>
      </c>
      <c r="F120" s="340"/>
      <c r="G120" s="341">
        <f>F115</f>
        <v>1.0046699166554918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534" t="s">
        <v>23</v>
      </c>
      <c r="C122" s="534"/>
      <c r="E122" s="346" t="s">
        <v>24</v>
      </c>
      <c r="F122" s="395"/>
      <c r="G122" s="534" t="s">
        <v>25</v>
      </c>
      <c r="H122" s="534"/>
    </row>
    <row r="123" spans="1:10" ht="69.95" customHeight="1" x14ac:dyDescent="0.3">
      <c r="A123" s="396" t="s">
        <v>26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C21" sqref="C21"/>
    </sheetView>
  </sheetViews>
  <sheetFormatPr defaultRowHeight="13.5" x14ac:dyDescent="0.25"/>
  <cols>
    <col min="1" max="1" width="27.5703125" style="472" customWidth="1"/>
    <col min="2" max="2" width="20.42578125" style="472" customWidth="1"/>
    <col min="3" max="3" width="31.85546875" style="472" customWidth="1"/>
    <col min="4" max="4" width="25.85546875" style="472" customWidth="1"/>
    <col min="5" max="5" width="25.7109375" style="472" customWidth="1"/>
    <col min="6" max="6" width="23.140625" style="472" customWidth="1"/>
    <col min="7" max="7" width="28.42578125" style="472" customWidth="1"/>
    <col min="8" max="8" width="21.5703125" style="472" customWidth="1"/>
    <col min="9" max="9" width="9.140625" style="472" customWidth="1"/>
    <col min="10" max="16384" width="9.140625" style="510"/>
  </cols>
  <sheetData>
    <row r="14" spans="1:6" ht="15" customHeight="1" x14ac:dyDescent="0.3">
      <c r="A14" s="471"/>
      <c r="C14" s="473"/>
      <c r="F14" s="473"/>
    </row>
    <row r="15" spans="1:6" ht="18.75" customHeight="1" x14ac:dyDescent="0.3">
      <c r="A15" s="567" t="s">
        <v>0</v>
      </c>
      <c r="B15" s="567"/>
      <c r="C15" s="567"/>
      <c r="D15" s="567"/>
      <c r="E15" s="567"/>
    </row>
    <row r="16" spans="1:6" ht="16.5" customHeight="1" x14ac:dyDescent="0.3">
      <c r="A16" s="474" t="s">
        <v>1</v>
      </c>
      <c r="B16" s="475" t="s">
        <v>2</v>
      </c>
    </row>
    <row r="17" spans="1:5" ht="16.5" customHeight="1" x14ac:dyDescent="0.3">
      <c r="A17" s="476" t="s">
        <v>3</v>
      </c>
      <c r="B17" s="476" t="s">
        <v>131</v>
      </c>
      <c r="D17" s="477"/>
      <c r="E17" s="478"/>
    </row>
    <row r="18" spans="1:5" ht="16.5" customHeight="1" x14ac:dyDescent="0.3">
      <c r="A18" s="479" t="s">
        <v>4</v>
      </c>
      <c r="B18" s="480" t="s">
        <v>134</v>
      </c>
      <c r="C18" s="478"/>
      <c r="D18" s="478"/>
      <c r="E18" s="478"/>
    </row>
    <row r="19" spans="1:5" ht="16.5" customHeight="1" x14ac:dyDescent="0.3">
      <c r="A19" s="479" t="s">
        <v>5</v>
      </c>
      <c r="B19" s="481">
        <v>99.58</v>
      </c>
      <c r="C19" s="478"/>
      <c r="D19" s="478"/>
      <c r="E19" s="478"/>
    </row>
    <row r="20" spans="1:5" ht="16.5" customHeight="1" x14ac:dyDescent="0.3">
      <c r="A20" s="476" t="s">
        <v>6</v>
      </c>
      <c r="B20" s="481">
        <v>20.09</v>
      </c>
      <c r="C20" s="478"/>
      <c r="D20" s="478"/>
      <c r="E20" s="478"/>
    </row>
    <row r="21" spans="1:5" ht="16.5" customHeight="1" x14ac:dyDescent="0.3">
      <c r="A21" s="476" t="s">
        <v>8</v>
      </c>
      <c r="B21" s="482">
        <f>B20/50*10/20</f>
        <v>0.2009</v>
      </c>
      <c r="C21" s="478"/>
      <c r="D21" s="478"/>
      <c r="E21" s="478"/>
    </row>
    <row r="22" spans="1:5" ht="15.75" customHeight="1" x14ac:dyDescent="0.25">
      <c r="A22" s="478"/>
      <c r="B22" s="478"/>
      <c r="C22" s="478"/>
      <c r="D22" s="478"/>
      <c r="E22" s="478"/>
    </row>
    <row r="23" spans="1:5" ht="16.5" customHeight="1" x14ac:dyDescent="0.3">
      <c r="A23" s="483" t="s">
        <v>11</v>
      </c>
      <c r="B23" s="484" t="s">
        <v>12</v>
      </c>
      <c r="C23" s="483" t="s">
        <v>13</v>
      </c>
      <c r="D23" s="483" t="s">
        <v>14</v>
      </c>
      <c r="E23" s="483" t="s">
        <v>15</v>
      </c>
    </row>
    <row r="24" spans="1:5" ht="16.5" customHeight="1" x14ac:dyDescent="0.3">
      <c r="A24" s="485">
        <v>1</v>
      </c>
      <c r="B24" s="486">
        <v>62586663</v>
      </c>
      <c r="C24" s="486">
        <v>15138.81</v>
      </c>
      <c r="D24" s="487">
        <v>1.0900000000000001</v>
      </c>
      <c r="E24" s="488">
        <v>9.26</v>
      </c>
    </row>
    <row r="25" spans="1:5" ht="16.5" customHeight="1" x14ac:dyDescent="0.3">
      <c r="A25" s="485">
        <v>2</v>
      </c>
      <c r="B25" s="486">
        <v>62452426</v>
      </c>
      <c r="C25" s="486">
        <v>15098.57</v>
      </c>
      <c r="D25" s="487">
        <v>1.08</v>
      </c>
      <c r="E25" s="487">
        <v>9.24</v>
      </c>
    </row>
    <row r="26" spans="1:5" ht="16.5" customHeight="1" x14ac:dyDescent="0.3">
      <c r="A26" s="485">
        <v>3</v>
      </c>
      <c r="B26" s="486">
        <v>62496569</v>
      </c>
      <c r="C26" s="486">
        <v>15034.17</v>
      </c>
      <c r="D26" s="487">
        <v>1.0900000000000001</v>
      </c>
      <c r="E26" s="487">
        <v>9.24</v>
      </c>
    </row>
    <row r="27" spans="1:5" ht="16.5" customHeight="1" x14ac:dyDescent="0.3">
      <c r="A27" s="485">
        <v>4</v>
      </c>
      <c r="B27" s="486">
        <v>62669006</v>
      </c>
      <c r="C27" s="486">
        <v>14988.01</v>
      </c>
      <c r="D27" s="487">
        <v>1.1000000000000001</v>
      </c>
      <c r="E27" s="487">
        <v>9.23</v>
      </c>
    </row>
    <row r="28" spans="1:5" ht="16.5" customHeight="1" x14ac:dyDescent="0.3">
      <c r="A28" s="485">
        <v>5</v>
      </c>
      <c r="B28" s="486">
        <v>62755912</v>
      </c>
      <c r="C28" s="486">
        <v>14978.81</v>
      </c>
      <c r="D28" s="487">
        <v>1.0900000000000001</v>
      </c>
      <c r="E28" s="487">
        <v>9.23</v>
      </c>
    </row>
    <row r="29" spans="1:5" ht="16.5" customHeight="1" x14ac:dyDescent="0.3">
      <c r="A29" s="485">
        <v>6</v>
      </c>
      <c r="B29" s="489">
        <v>62644256</v>
      </c>
      <c r="C29" s="489">
        <v>14944.59</v>
      </c>
      <c r="D29" s="490">
        <v>1.1000000000000001</v>
      </c>
      <c r="E29" s="490">
        <v>9.2200000000000006</v>
      </c>
    </row>
    <row r="30" spans="1:5" ht="16.5" customHeight="1" x14ac:dyDescent="0.3">
      <c r="A30" s="491" t="s">
        <v>16</v>
      </c>
      <c r="B30" s="492">
        <f>AVERAGE(B24:B29)</f>
        <v>62600805.333333336</v>
      </c>
      <c r="C30" s="493">
        <f>AVERAGE(C24:C29)</f>
        <v>15030.493333333332</v>
      </c>
      <c r="D30" s="494">
        <f>AVERAGE(D24:D29)</f>
        <v>1.0916666666666666</v>
      </c>
      <c r="E30" s="494">
        <f>AVERAGE(E24:E29)</f>
        <v>9.2366666666666664</v>
      </c>
    </row>
    <row r="31" spans="1:5" ht="16.5" customHeight="1" x14ac:dyDescent="0.3">
      <c r="A31" s="495" t="s">
        <v>17</v>
      </c>
      <c r="B31" s="496">
        <f>(STDEV(B24:B29)/B30)</f>
        <v>1.8027406229474061E-3</v>
      </c>
      <c r="C31" s="497"/>
      <c r="D31" s="497"/>
      <c r="E31" s="498"/>
    </row>
    <row r="32" spans="1:5" s="472" customFormat="1" ht="16.5" customHeight="1" x14ac:dyDescent="0.3">
      <c r="A32" s="499" t="s">
        <v>18</v>
      </c>
      <c r="B32" s="500">
        <f>COUNT(B24:B29)</f>
        <v>6</v>
      </c>
      <c r="C32" s="501"/>
      <c r="D32" s="502"/>
      <c r="E32" s="503"/>
    </row>
    <row r="33" spans="1:5" s="472" customFormat="1" ht="15.75" customHeight="1" x14ac:dyDescent="0.25">
      <c r="A33" s="478"/>
      <c r="B33" s="478"/>
      <c r="C33" s="478"/>
      <c r="D33" s="478"/>
      <c r="E33" s="478"/>
    </row>
    <row r="34" spans="1:5" s="472" customFormat="1" ht="16.5" customHeight="1" x14ac:dyDescent="0.3">
      <c r="A34" s="479" t="s">
        <v>19</v>
      </c>
      <c r="B34" s="504" t="s">
        <v>20</v>
      </c>
      <c r="C34" s="505"/>
      <c r="D34" s="505"/>
      <c r="E34" s="505"/>
    </row>
    <row r="35" spans="1:5" ht="16.5" customHeight="1" x14ac:dyDescent="0.3">
      <c r="A35" s="479"/>
      <c r="B35" s="504" t="s">
        <v>21</v>
      </c>
      <c r="C35" s="505"/>
      <c r="D35" s="505"/>
      <c r="E35" s="505"/>
    </row>
    <row r="36" spans="1:5" ht="16.5" customHeight="1" x14ac:dyDescent="0.3">
      <c r="A36" s="479"/>
      <c r="B36" s="504" t="s">
        <v>22</v>
      </c>
      <c r="C36" s="505"/>
      <c r="D36" s="505"/>
      <c r="E36" s="505"/>
    </row>
    <row r="37" spans="1:5" ht="15.75" customHeight="1" x14ac:dyDescent="0.25">
      <c r="A37" s="478"/>
      <c r="B37" s="478"/>
      <c r="C37" s="478"/>
      <c r="D37" s="478"/>
      <c r="E37" s="478"/>
    </row>
    <row r="38" spans="1:5" ht="16.5" customHeight="1" x14ac:dyDescent="0.3">
      <c r="A38" s="474" t="s">
        <v>1</v>
      </c>
      <c r="B38" s="475"/>
    </row>
    <row r="39" spans="1:5" ht="16.5" customHeight="1" x14ac:dyDescent="0.3">
      <c r="A39" s="479" t="s">
        <v>4</v>
      </c>
      <c r="B39" s="506" t="s">
        <v>124</v>
      </c>
      <c r="C39" s="478"/>
      <c r="D39" s="478"/>
      <c r="E39" s="478"/>
    </row>
    <row r="40" spans="1:5" ht="16.5" customHeight="1" x14ac:dyDescent="0.3">
      <c r="A40" s="479" t="s">
        <v>5</v>
      </c>
      <c r="B40" s="481">
        <v>99.66</v>
      </c>
      <c r="C40" s="478"/>
      <c r="D40" s="478"/>
      <c r="E40" s="478"/>
    </row>
    <row r="41" spans="1:5" ht="16.5" customHeight="1" x14ac:dyDescent="0.3">
      <c r="A41" s="476" t="s">
        <v>6</v>
      </c>
      <c r="B41" s="481">
        <v>15.07</v>
      </c>
      <c r="C41" s="478"/>
      <c r="D41" s="478"/>
      <c r="E41" s="478"/>
    </row>
    <row r="42" spans="1:5" ht="16.5" customHeight="1" x14ac:dyDescent="0.3">
      <c r="A42" s="476" t="s">
        <v>8</v>
      </c>
      <c r="B42" s="482">
        <f>B41/50*2/20</f>
        <v>3.014E-2</v>
      </c>
      <c r="C42" s="478"/>
      <c r="D42" s="478"/>
      <c r="E42" s="478"/>
    </row>
    <row r="43" spans="1:5" ht="15.75" customHeight="1" x14ac:dyDescent="0.25">
      <c r="A43" s="478"/>
      <c r="B43" s="478"/>
      <c r="C43" s="478"/>
      <c r="D43" s="478"/>
      <c r="E43" s="478"/>
    </row>
    <row r="44" spans="1:5" ht="16.5" customHeight="1" x14ac:dyDescent="0.3">
      <c r="A44" s="483" t="s">
        <v>11</v>
      </c>
      <c r="B44" s="484" t="s">
        <v>12</v>
      </c>
      <c r="C44" s="483" t="s">
        <v>13</v>
      </c>
      <c r="D44" s="483" t="s">
        <v>14</v>
      </c>
      <c r="E44" s="483" t="s">
        <v>15</v>
      </c>
    </row>
    <row r="45" spans="1:5" ht="16.5" customHeight="1" x14ac:dyDescent="0.3">
      <c r="A45" s="485">
        <v>1</v>
      </c>
      <c r="B45" s="486">
        <v>3551223</v>
      </c>
      <c r="C45" s="486">
        <v>10883.22</v>
      </c>
      <c r="D45" s="487">
        <v>1.07</v>
      </c>
      <c r="E45" s="488">
        <v>3.54</v>
      </c>
    </row>
    <row r="46" spans="1:5" ht="16.5" customHeight="1" x14ac:dyDescent="0.3">
      <c r="A46" s="485">
        <v>2</v>
      </c>
      <c r="B46" s="486">
        <v>3561297</v>
      </c>
      <c r="C46" s="486">
        <v>10904.57</v>
      </c>
      <c r="D46" s="487">
        <v>1.04</v>
      </c>
      <c r="E46" s="487">
        <v>3.55</v>
      </c>
    </row>
    <row r="47" spans="1:5" ht="16.5" customHeight="1" x14ac:dyDescent="0.3">
      <c r="A47" s="485">
        <v>3</v>
      </c>
      <c r="B47" s="486">
        <v>3578334</v>
      </c>
      <c r="C47" s="486">
        <v>10877.02</v>
      </c>
      <c r="D47" s="487">
        <v>1.0900000000000001</v>
      </c>
      <c r="E47" s="487">
        <v>3.56</v>
      </c>
    </row>
    <row r="48" spans="1:5" ht="16.5" customHeight="1" x14ac:dyDescent="0.3">
      <c r="A48" s="485">
        <v>4</v>
      </c>
      <c r="B48" s="486">
        <v>3590857</v>
      </c>
      <c r="C48" s="486">
        <v>10879.98</v>
      </c>
      <c r="D48" s="487">
        <v>1.0900000000000001</v>
      </c>
      <c r="E48" s="487">
        <v>3.56</v>
      </c>
    </row>
    <row r="49" spans="1:7" ht="16.5" customHeight="1" x14ac:dyDescent="0.3">
      <c r="A49" s="485">
        <v>5</v>
      </c>
      <c r="B49" s="486">
        <v>3614316</v>
      </c>
      <c r="C49" s="486">
        <v>10845.55</v>
      </c>
      <c r="D49" s="487">
        <v>1.1100000000000001</v>
      </c>
      <c r="E49" s="487">
        <v>3.56</v>
      </c>
    </row>
    <row r="50" spans="1:7" ht="16.5" customHeight="1" x14ac:dyDescent="0.3">
      <c r="A50" s="485">
        <v>6</v>
      </c>
      <c r="B50" s="489">
        <v>3618544</v>
      </c>
      <c r="C50" s="489">
        <v>10849.01</v>
      </c>
      <c r="D50" s="490">
        <v>1.1299999999999999</v>
      </c>
      <c r="E50" s="490">
        <v>3.57</v>
      </c>
    </row>
    <row r="51" spans="1:7" ht="16.5" customHeight="1" x14ac:dyDescent="0.3">
      <c r="A51" s="491" t="s">
        <v>16</v>
      </c>
      <c r="B51" s="492">
        <f>AVERAGE(B45:B50)</f>
        <v>3585761.8333333335</v>
      </c>
      <c r="C51" s="493">
        <f>AVERAGE(C45:C50)</f>
        <v>10873.225</v>
      </c>
      <c r="D51" s="494">
        <f>AVERAGE(D45:D50)</f>
        <v>1.0883333333333334</v>
      </c>
      <c r="E51" s="494">
        <f>AVERAGE(E45:E50)</f>
        <v>3.5566666666666666</v>
      </c>
    </row>
    <row r="52" spans="1:7" ht="16.5" customHeight="1" x14ac:dyDescent="0.3">
      <c r="A52" s="495" t="s">
        <v>17</v>
      </c>
      <c r="B52" s="496">
        <f>(STDEV(B45:B50)/B51)</f>
        <v>7.6502878992044379E-3</v>
      </c>
      <c r="C52" s="497"/>
      <c r="D52" s="497"/>
      <c r="E52" s="498"/>
    </row>
    <row r="53" spans="1:7" s="472" customFormat="1" ht="16.5" customHeight="1" x14ac:dyDescent="0.3">
      <c r="A53" s="499" t="s">
        <v>18</v>
      </c>
      <c r="B53" s="500">
        <f>COUNT(B45:B50)</f>
        <v>6</v>
      </c>
      <c r="C53" s="501"/>
      <c r="D53" s="502"/>
      <c r="E53" s="503"/>
    </row>
    <row r="54" spans="1:7" s="472" customFormat="1" ht="15.75" customHeight="1" x14ac:dyDescent="0.25">
      <c r="A54" s="478"/>
      <c r="B54" s="478"/>
      <c r="C54" s="478"/>
      <c r="D54" s="478"/>
      <c r="E54" s="478"/>
    </row>
    <row r="55" spans="1:7" s="472" customFormat="1" ht="16.5" customHeight="1" x14ac:dyDescent="0.3">
      <c r="A55" s="479" t="s">
        <v>19</v>
      </c>
      <c r="B55" s="504" t="s">
        <v>20</v>
      </c>
      <c r="C55" s="505"/>
      <c r="D55" s="505"/>
      <c r="E55" s="505"/>
    </row>
    <row r="56" spans="1:7" ht="16.5" customHeight="1" x14ac:dyDescent="0.3">
      <c r="A56" s="479"/>
      <c r="B56" s="504" t="s">
        <v>21</v>
      </c>
      <c r="C56" s="505"/>
      <c r="D56" s="505"/>
      <c r="E56" s="505"/>
    </row>
    <row r="57" spans="1:7" ht="16.5" customHeight="1" x14ac:dyDescent="0.3">
      <c r="A57" s="479"/>
      <c r="B57" s="504" t="s">
        <v>22</v>
      </c>
      <c r="C57" s="505"/>
      <c r="D57" s="505"/>
      <c r="E57" s="505"/>
    </row>
    <row r="58" spans="1:7" ht="14.25" customHeight="1" thickBot="1" x14ac:dyDescent="0.3">
      <c r="A58" s="507"/>
      <c r="B58" s="508"/>
      <c r="D58" s="509"/>
      <c r="F58" s="510"/>
      <c r="G58" s="510"/>
    </row>
    <row r="59" spans="1:7" ht="15" customHeight="1" x14ac:dyDescent="0.3">
      <c r="B59" s="568" t="s">
        <v>23</v>
      </c>
      <c r="C59" s="568"/>
      <c r="E59" s="511" t="s">
        <v>24</v>
      </c>
      <c r="F59" s="512"/>
      <c r="G59" s="511" t="s">
        <v>25</v>
      </c>
    </row>
    <row r="60" spans="1:7" ht="15" customHeight="1" x14ac:dyDescent="0.3">
      <c r="A60" s="513" t="s">
        <v>26</v>
      </c>
      <c r="B60" s="514"/>
      <c r="C60" s="514"/>
      <c r="E60" s="514"/>
      <c r="G60" s="514"/>
    </row>
    <row r="61" spans="1:7" ht="15" customHeight="1" x14ac:dyDescent="0.3">
      <c r="A61" s="513" t="s">
        <v>27</v>
      </c>
      <c r="B61" s="515"/>
      <c r="C61" s="515"/>
      <c r="E61" s="515"/>
      <c r="G61" s="51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</vt:lpstr>
      <vt:lpstr>Uniformity</vt:lpstr>
      <vt:lpstr>SULPHAMETHOXAZOLE</vt:lpstr>
      <vt:lpstr>TRIMETHOPRIM</vt:lpstr>
      <vt:lpstr>SST (DISS)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2016-01-13T12:52:51Z</dcterms:modified>
</cp:coreProperties>
</file>