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METHOXAZOLE" sheetId="3" r:id="rId3"/>
    <sheet name="TRIMETHOPRIM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D68" i="4" l="1"/>
  <c r="D64" i="4"/>
  <c r="D60" i="4"/>
  <c r="B42" i="1" l="1"/>
  <c r="B21" i="1"/>
  <c r="C120" i="4"/>
  <c r="B116" i="4"/>
  <c r="D100" i="4"/>
  <c r="B98" i="4"/>
  <c r="D101" i="4" s="1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/>
  <c r="B34" i="4"/>
  <c r="D44" i="4" s="1"/>
  <c r="D45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49" i="4"/>
  <c r="F44" i="4"/>
  <c r="F45" i="4" s="1"/>
  <c r="F98" i="4"/>
  <c r="F99" i="4" s="1"/>
  <c r="I92" i="3"/>
  <c r="D101" i="3"/>
  <c r="D102" i="3" s="1"/>
  <c r="D45" i="3"/>
  <c r="D46" i="3" s="1"/>
  <c r="I39" i="3"/>
  <c r="F44" i="3"/>
  <c r="F45" i="3" s="1"/>
  <c r="F46" i="3" s="1"/>
  <c r="D49" i="3"/>
  <c r="G41" i="3"/>
  <c r="E41" i="3"/>
  <c r="F98" i="3"/>
  <c r="F99" i="3" s="1"/>
  <c r="E38" i="4"/>
  <c r="E41" i="4"/>
  <c r="D46" i="4"/>
  <c r="E39" i="4"/>
  <c r="G41" i="4"/>
  <c r="B69" i="4"/>
  <c r="D102" i="4"/>
  <c r="B57" i="3"/>
  <c r="B69" i="3" s="1"/>
  <c r="B57" i="4"/>
  <c r="D97" i="3"/>
  <c r="D98" i="3" s="1"/>
  <c r="D99" i="3" s="1"/>
  <c r="D97" i="4"/>
  <c r="D98" i="4" s="1"/>
  <c r="D99" i="4" s="1"/>
  <c r="D25" i="2"/>
  <c r="D29" i="2"/>
  <c r="D33" i="2"/>
  <c r="D37" i="2"/>
  <c r="D41" i="2"/>
  <c r="C50" i="2"/>
  <c r="D26" i="2"/>
  <c r="D30" i="2"/>
  <c r="D34" i="2"/>
  <c r="D38" i="2"/>
  <c r="D42" i="2"/>
  <c r="B49" i="2"/>
  <c r="E40" i="4"/>
  <c r="G94" i="4" l="1"/>
  <c r="G91" i="4"/>
  <c r="G93" i="4"/>
  <c r="G40" i="4"/>
  <c r="F46" i="4"/>
  <c r="G38" i="4"/>
  <c r="G39" i="4"/>
  <c r="G92" i="4"/>
  <c r="E93" i="3"/>
  <c r="E38" i="3"/>
  <c r="E39" i="3"/>
  <c r="E40" i="3"/>
  <c r="G91" i="3"/>
  <c r="G40" i="3"/>
  <c r="G92" i="3"/>
  <c r="G93" i="3"/>
  <c r="G39" i="3"/>
  <c r="G38" i="3"/>
  <c r="G42" i="3" s="1"/>
  <c r="G94" i="3"/>
  <c r="E94" i="4"/>
  <c r="E93" i="4"/>
  <c r="E42" i="4"/>
  <c r="E94" i="3"/>
  <c r="E91" i="4"/>
  <c r="E92" i="4"/>
  <c r="E91" i="3"/>
  <c r="E92" i="3"/>
  <c r="G95" i="4" l="1"/>
  <c r="D52" i="4"/>
  <c r="D50" i="4"/>
  <c r="G71" i="4" s="1"/>
  <c r="H71" i="4" s="1"/>
  <c r="G42" i="4"/>
  <c r="E42" i="3"/>
  <c r="D50" i="3"/>
  <c r="G68" i="3" s="1"/>
  <c r="H68" i="3" s="1"/>
  <c r="G95" i="3"/>
  <c r="D52" i="3"/>
  <c r="E95" i="4"/>
  <c r="D105" i="4"/>
  <c r="D103" i="4"/>
  <c r="E95" i="3"/>
  <c r="D105" i="3"/>
  <c r="D103" i="3"/>
  <c r="G70" i="4" l="1"/>
  <c r="H70" i="4" s="1"/>
  <c r="D51" i="4"/>
  <c r="G66" i="4"/>
  <c r="H66" i="4" s="1"/>
  <c r="G68" i="4"/>
  <c r="H68" i="4" s="1"/>
  <c r="G61" i="4"/>
  <c r="H61" i="4" s="1"/>
  <c r="G69" i="4"/>
  <c r="H69" i="4" s="1"/>
  <c r="G63" i="4"/>
  <c r="H63" i="4" s="1"/>
  <c r="G60" i="4"/>
  <c r="H60" i="4" s="1"/>
  <c r="G65" i="4"/>
  <c r="H65" i="4" s="1"/>
  <c r="G64" i="4"/>
  <c r="H64" i="4" s="1"/>
  <c r="G67" i="4"/>
  <c r="H67" i="4" s="1"/>
  <c r="G62" i="4"/>
  <c r="H62" i="4" s="1"/>
  <c r="G63" i="3"/>
  <c r="H63" i="3" s="1"/>
  <c r="G62" i="3"/>
  <c r="H62" i="3" s="1"/>
  <c r="G69" i="3"/>
  <c r="H69" i="3" s="1"/>
  <c r="G66" i="3"/>
  <c r="H66" i="3" s="1"/>
  <c r="G65" i="3"/>
  <c r="H65" i="3" s="1"/>
  <c r="G71" i="3"/>
  <c r="H71" i="3" s="1"/>
  <c r="D51" i="3"/>
  <c r="G67" i="3"/>
  <c r="H67" i="3" s="1"/>
  <c r="G64" i="3"/>
  <c r="H64" i="3" s="1"/>
  <c r="G61" i="3"/>
  <c r="H61" i="3" s="1"/>
  <c r="G70" i="3"/>
  <c r="H70" i="3" s="1"/>
  <c r="G60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2" i="3"/>
  <c r="G73" i="3" s="1"/>
  <c r="H60" i="3"/>
  <c r="H72" i="3" s="1"/>
  <c r="G74" i="3"/>
  <c r="E115" i="3"/>
  <c r="E116" i="3" s="1"/>
  <c r="E117" i="3"/>
  <c r="F108" i="3"/>
  <c r="H74" i="4"/>
  <c r="H72" i="4"/>
  <c r="E115" i="4"/>
  <c r="E116" i="4" s="1"/>
  <c r="E117" i="4"/>
  <c r="F108" i="4"/>
  <c r="H74" i="3" l="1"/>
  <c r="F117" i="3"/>
  <c r="F115" i="3"/>
  <c r="G76" i="3"/>
  <c r="H73" i="3"/>
  <c r="G76" i="4"/>
  <c r="H73" i="4"/>
  <c r="F117" i="4"/>
  <c r="F115" i="4"/>
  <c r="G120" i="3" l="1"/>
  <c r="F116" i="3"/>
  <c r="G120" i="4"/>
  <c r="F116" i="4"/>
</calcChain>
</file>

<file path=xl/sharedStrings.xml><?xml version="1.0" encoding="utf-8"?>
<sst xmlns="http://schemas.openxmlformats.org/spreadsheetml/2006/main" count="393" uniqueCount="130">
  <si>
    <t>HPLC System Suitability Report</t>
  </si>
  <si>
    <t>Analysis Data</t>
  </si>
  <si>
    <t>Assay</t>
  </si>
  <si>
    <t>Sample(s)</t>
  </si>
  <si>
    <t>Reference Substance:</t>
  </si>
  <si>
    <t>BIOTRIM</t>
  </si>
  <si>
    <t>% age Purity:</t>
  </si>
  <si>
    <t>NDQA201509394</t>
  </si>
  <si>
    <t>Weight (mg):</t>
  </si>
  <si>
    <t xml:space="preserve">Sulfamethoxazole  &amp; Trimethoprim </t>
  </si>
  <si>
    <t>Standard Conc (mg/mL):</t>
  </si>
  <si>
    <t>Trimethoprim  80 MG
Sulfamethoxazole 400mg</t>
  </si>
  <si>
    <t>2015-10-02 11:59:28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</si>
  <si>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</si>
  <si>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</si>
  <si>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</si>
  <si>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</si>
  <si>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</si>
  <si>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</si>
  <si>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</si>
  <si>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</si>
  <si>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</si>
  <si>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</si>
  <si>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</si>
  <si>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</si>
  <si>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</si>
  <si>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</si>
  <si>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</si>
  <si>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</si>
  <si>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</si>
  <si>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</si>
  <si>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</si>
  <si>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</si>
  <si>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</si>
  <si>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</si>
  <si>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</si>
  <si>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</si>
  <si>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</si>
  <si>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</si>
  <si>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</si>
  <si>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</si>
  <si>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</si>
  <si>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</si>
  <si>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</si>
  <si>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</si>
  <si>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</si>
  <si>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</si>
  <si>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</si>
  <si>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</si>
  <si>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</si>
  <si>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</si>
  <si>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</si>
  <si>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</si>
  <si>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</si>
  <si>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</si>
  <si>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</si>
  <si>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</si>
  <si>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</si>
  <si>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</si>
  <si>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</si>
  <si>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</si>
  <si>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</si>
  <si>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</si>
  <si>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</si>
  <si>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</si>
  <si>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</si>
  <si>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</si>
  <si>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</si>
  <si>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</si>
  <si>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</si>
  <si>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</si>
  <si>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</si>
  <si>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</si>
  <si>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</si>
  <si>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</si>
  <si>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</si>
  <si>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</si>
  <si>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</si>
  <si>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</si>
  <si>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</si>
  <si>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</si>
  <si>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</si>
  <si>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</si>
  <si>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</si>
  <si>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</si>
  <si>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</si>
  <si>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</si>
  <si>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</si>
  <si>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</si>
  <si>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</si>
  <si>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</si>
  <si>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</si>
  <si>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</si>
  <si>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</si>
  <si>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</si>
  <si>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</si>
  <si>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</si>
  <si>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</si>
  <si>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</si>
  <si>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</si>
  <si>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</si>
  <si>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</si>
  <si>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</si>
  <si>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</si>
  <si>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</si>
  <si>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</si>
  <si>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</si>
  <si>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</si>
  <si>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</si>
  <si>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</si>
  <si>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</si>
  <si>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</si>
  <si>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</si>
  <si>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</si>
  <si>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</si>
  <si>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</si>
  <si>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</si>
  <si>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</si>
  <si>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</si>
  <si>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</si>
  <si>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</si>
  <si>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</si>
  <si>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</si>
  <si>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</si>
  <si>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Sulfamethoxazole</t>
  </si>
  <si>
    <t>Trimethoprim</t>
  </si>
  <si>
    <t>S12 2</t>
  </si>
  <si>
    <t>T7 2</t>
  </si>
  <si>
    <t xml:space="preserve"> Trimethoprim </t>
  </si>
  <si>
    <t xml:space="preserve">Sulfamethoxazole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</si>
</sst>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7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64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B20/50*10/20</f>
        <v>0.2009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62586663</v>
      </c>
      <c r="C24" s="18">
        <v>15138.81</v>
      </c>
      <c r="D24" s="19">
        <v>1.0900000000000001</v>
      </c>
      <c r="E24" s="20">
        <v>9.26</v>
      </c>
    </row>
    <row r="25" spans="1:6" ht="16.5" customHeight="1" x14ac:dyDescent="0.3">
      <c r="A25" s="17">
        <v>2</v>
      </c>
      <c r="B25" s="18">
        <v>62452426</v>
      </c>
      <c r="C25" s="18">
        <v>15098.57</v>
      </c>
      <c r="D25" s="19">
        <v>1.08</v>
      </c>
      <c r="E25" s="19">
        <v>9.24</v>
      </c>
    </row>
    <row r="26" spans="1:6" ht="16.5" customHeight="1" x14ac:dyDescent="0.3">
      <c r="A26" s="17">
        <v>3</v>
      </c>
      <c r="B26" s="18">
        <v>62496569</v>
      </c>
      <c r="C26" s="18">
        <v>15034.17</v>
      </c>
      <c r="D26" s="19">
        <v>1.0900000000000001</v>
      </c>
      <c r="E26" s="19">
        <v>9.24</v>
      </c>
    </row>
    <row r="27" spans="1:6" ht="16.5" customHeight="1" x14ac:dyDescent="0.3">
      <c r="A27" s="17">
        <v>4</v>
      </c>
      <c r="B27" s="18">
        <v>62669006</v>
      </c>
      <c r="C27" s="18">
        <v>14988.01</v>
      </c>
      <c r="D27" s="19">
        <v>1.1000000000000001</v>
      </c>
      <c r="E27" s="19">
        <v>9.23</v>
      </c>
    </row>
    <row r="28" spans="1:6" ht="16.5" customHeight="1" x14ac:dyDescent="0.3">
      <c r="A28" s="17">
        <v>5</v>
      </c>
      <c r="B28" s="18">
        <v>62755912</v>
      </c>
      <c r="C28" s="18">
        <v>14978.81</v>
      </c>
      <c r="D28" s="19">
        <v>1.0900000000000001</v>
      </c>
      <c r="E28" s="19">
        <v>9.23</v>
      </c>
    </row>
    <row r="29" spans="1:6" ht="16.5" customHeight="1" x14ac:dyDescent="0.3">
      <c r="A29" s="17">
        <v>6</v>
      </c>
      <c r="B29" s="21">
        <v>62644256</v>
      </c>
      <c r="C29" s="21">
        <v>14944.59</v>
      </c>
      <c r="D29" s="22">
        <v>1.1000000000000001</v>
      </c>
      <c r="E29" s="22">
        <v>9.2200000000000006</v>
      </c>
    </row>
    <row r="30" spans="1:6" ht="16.5" customHeight="1" x14ac:dyDescent="0.3">
      <c r="A30" s="23" t="s">
        <v>18</v>
      </c>
      <c r="B30" s="24">
        <f>AVERAGE(B24:B29)</f>
        <v>62600805.333333336</v>
      </c>
      <c r="C30" s="25">
        <f>AVERAGE(C24:C29)</f>
        <v>15030.493333333332</v>
      </c>
      <c r="D30" s="26">
        <f>AVERAGE(D24:D29)</f>
        <v>1.0916666666666666</v>
      </c>
      <c r="E30" s="26">
        <f>AVERAGE(E24:E29)</f>
        <v>9.2366666666666664</v>
      </c>
    </row>
    <row r="31" spans="1:6" ht="16.5" customHeight="1" x14ac:dyDescent="0.3">
      <c r="A31" s="27" t="s">
        <v>19</v>
      </c>
      <c r="B31" s="28">
        <f>(STDEV(B24:B29)/B30)</f>
        <v>1.8027406229474061E-3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465" t="s">
        <v>125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99.66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15.07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B41/50*2/20</f>
        <v>3.014E-2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3551223</v>
      </c>
      <c r="C45" s="18">
        <v>10883.22</v>
      </c>
      <c r="D45" s="19">
        <v>1.07</v>
      </c>
      <c r="E45" s="20">
        <v>3.54</v>
      </c>
    </row>
    <row r="46" spans="1:6" ht="16.5" customHeight="1" x14ac:dyDescent="0.3">
      <c r="A46" s="17">
        <v>2</v>
      </c>
      <c r="B46" s="18">
        <v>3561297</v>
      </c>
      <c r="C46" s="18">
        <v>10904.57</v>
      </c>
      <c r="D46" s="19">
        <v>1.04</v>
      </c>
      <c r="E46" s="19">
        <v>3.55</v>
      </c>
    </row>
    <row r="47" spans="1:6" ht="16.5" customHeight="1" x14ac:dyDescent="0.3">
      <c r="A47" s="17">
        <v>3</v>
      </c>
      <c r="B47" s="18">
        <v>3578334</v>
      </c>
      <c r="C47" s="18">
        <v>10877.02</v>
      </c>
      <c r="D47" s="19">
        <v>1.0900000000000001</v>
      </c>
      <c r="E47" s="19">
        <v>3.56</v>
      </c>
    </row>
    <row r="48" spans="1:6" ht="16.5" customHeight="1" x14ac:dyDescent="0.3">
      <c r="A48" s="17">
        <v>4</v>
      </c>
      <c r="B48" s="18">
        <v>3590857</v>
      </c>
      <c r="C48" s="18">
        <v>10879.98</v>
      </c>
      <c r="D48" s="19">
        <v>1.0900000000000001</v>
      </c>
      <c r="E48" s="19">
        <v>3.56</v>
      </c>
    </row>
    <row r="49" spans="1:7" ht="16.5" customHeight="1" x14ac:dyDescent="0.3">
      <c r="A49" s="17">
        <v>5</v>
      </c>
      <c r="B49" s="18">
        <v>3614316</v>
      </c>
      <c r="C49" s="18">
        <v>10845.55</v>
      </c>
      <c r="D49" s="19">
        <v>1.1100000000000001</v>
      </c>
      <c r="E49" s="19">
        <v>3.56</v>
      </c>
    </row>
    <row r="50" spans="1:7" ht="16.5" customHeight="1" x14ac:dyDescent="0.3">
      <c r="A50" s="17">
        <v>6</v>
      </c>
      <c r="B50" s="21">
        <v>3618544</v>
      </c>
      <c r="C50" s="21">
        <v>10849.01</v>
      </c>
      <c r="D50" s="22">
        <v>1.1299999999999999</v>
      </c>
      <c r="E50" s="22">
        <v>3.57</v>
      </c>
    </row>
    <row r="51" spans="1:7" ht="16.5" customHeight="1" x14ac:dyDescent="0.3">
      <c r="A51" s="23" t="s">
        <v>18</v>
      </c>
      <c r="B51" s="24">
        <f>AVERAGE(B45:B50)</f>
        <v>3585761.8333333335</v>
      </c>
      <c r="C51" s="25">
        <f>AVERAGE(C45:C50)</f>
        <v>10873.225</v>
      </c>
      <c r="D51" s="26">
        <f>AVERAGE(D45:D50)</f>
        <v>1.0883333333333334</v>
      </c>
      <c r="E51" s="26">
        <f>AVERAGE(E45:E50)</f>
        <v>3.5566666666666666</v>
      </c>
    </row>
    <row r="52" spans="1:7" ht="16.5" customHeight="1" x14ac:dyDescent="0.3">
      <c r="A52" s="27" t="s">
        <v>19</v>
      </c>
      <c r="B52" s="28">
        <f>(STDEV(B45:B50)/B51)</f>
        <v>7.6502878992044379E-3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25</v>
      </c>
      <c r="C59" s="46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30</v>
      </c>
      <c r="B11" s="473"/>
      <c r="C11" s="473"/>
      <c r="D11" s="473"/>
      <c r="E11" s="473"/>
      <c r="F11" s="474"/>
      <c r="G11" s="91"/>
    </row>
    <row r="12" spans="1:7" ht="16.5" customHeight="1" x14ac:dyDescent="0.3">
      <c r="A12" s="471" t="s">
        <v>31</v>
      </c>
      <c r="B12" s="471"/>
      <c r="C12" s="471"/>
      <c r="D12" s="471"/>
      <c r="E12" s="471"/>
      <c r="F12" s="471"/>
      <c r="G12" s="90"/>
    </row>
    <row r="14" spans="1:7" ht="16.5" customHeight="1" x14ac:dyDescent="0.3">
      <c r="A14" s="476" t="s">
        <v>32</v>
      </c>
      <c r="B14" s="476"/>
      <c r="C14" s="60" t="s">
        <v>5</v>
      </c>
    </row>
    <row r="15" spans="1:7" ht="16.5" customHeight="1" x14ac:dyDescent="0.3">
      <c r="A15" s="476" t="s">
        <v>33</v>
      </c>
      <c r="B15" s="476"/>
      <c r="C15" s="60" t="s">
        <v>7</v>
      </c>
    </row>
    <row r="16" spans="1:7" ht="16.5" customHeight="1" x14ac:dyDescent="0.3">
      <c r="A16" s="476" t="s">
        <v>34</v>
      </c>
      <c r="B16" s="476"/>
      <c r="C16" s="60" t="s">
        <v>9</v>
      </c>
    </row>
    <row r="17" spans="1:5" ht="16.5" customHeight="1" x14ac:dyDescent="0.3">
      <c r="A17" s="476" t="s">
        <v>35</v>
      </c>
      <c r="B17" s="476"/>
      <c r="C17" s="60" t="s">
        <v>11</v>
      </c>
    </row>
    <row r="18" spans="1:5" ht="16.5" customHeight="1" x14ac:dyDescent="0.3">
      <c r="A18" s="476" t="s">
        <v>36</v>
      </c>
      <c r="B18" s="476"/>
      <c r="C18" s="97" t="s">
        <v>12</v>
      </c>
    </row>
    <row r="19" spans="1:5" ht="16.5" customHeight="1" x14ac:dyDescent="0.3">
      <c r="A19" s="476" t="s">
        <v>37</v>
      </c>
      <c r="B19" s="47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1" t="s">
        <v>1</v>
      </c>
      <c r="B21" s="471"/>
      <c r="C21" s="59" t="s">
        <v>38</v>
      </c>
      <c r="D21" s="66"/>
    </row>
    <row r="22" spans="1:5" ht="15.75" customHeight="1" x14ac:dyDescent="0.3">
      <c r="A22" s="475"/>
      <c r="B22" s="475"/>
      <c r="C22" s="57"/>
      <c r="D22" s="475"/>
      <c r="E22" s="475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603.16</v>
      </c>
      <c r="D24" s="87">
        <f t="shared" ref="D24:D43" si="0">(C24-$C$46)/$C$46</f>
        <v>-7.1203345594257538E-3</v>
      </c>
      <c r="E24" s="53"/>
    </row>
    <row r="25" spans="1:5" ht="15.75" customHeight="1" x14ac:dyDescent="0.3">
      <c r="C25" s="95">
        <v>631.74</v>
      </c>
      <c r="D25" s="88">
        <f t="shared" si="0"/>
        <v>3.9926055848246593E-2</v>
      </c>
      <c r="E25" s="53"/>
    </row>
    <row r="26" spans="1:5" ht="15.75" customHeight="1" x14ac:dyDescent="0.3">
      <c r="C26" s="95">
        <v>608.54999999999995</v>
      </c>
      <c r="D26" s="88">
        <f t="shared" si="0"/>
        <v>1.752305199054056E-3</v>
      </c>
      <c r="E26" s="53"/>
    </row>
    <row r="27" spans="1:5" ht="15.75" customHeight="1" x14ac:dyDescent="0.3">
      <c r="C27" s="95">
        <v>587.53</v>
      </c>
      <c r="D27" s="88">
        <f t="shared" si="0"/>
        <v>-3.2849343729191939E-2</v>
      </c>
      <c r="E27" s="53"/>
    </row>
    <row r="28" spans="1:5" ht="15.75" customHeight="1" x14ac:dyDescent="0.3">
      <c r="C28" s="95">
        <v>628.16</v>
      </c>
      <c r="D28" s="88">
        <f t="shared" si="0"/>
        <v>3.4032911073597585E-2</v>
      </c>
      <c r="E28" s="53"/>
    </row>
    <row r="29" spans="1:5" ht="15.75" customHeight="1" x14ac:dyDescent="0.3">
      <c r="C29" s="95">
        <v>625.03</v>
      </c>
      <c r="D29" s="88">
        <f t="shared" si="0"/>
        <v>2.8880524720343071E-2</v>
      </c>
      <c r="E29" s="53"/>
    </row>
    <row r="30" spans="1:5" ht="15.75" customHeight="1" x14ac:dyDescent="0.3">
      <c r="C30" s="95">
        <v>611.47</v>
      </c>
      <c r="D30" s="88">
        <f t="shared" si="0"/>
        <v>6.5590042889913016E-3</v>
      </c>
      <c r="E30" s="53"/>
    </row>
    <row r="31" spans="1:5" ht="15.75" customHeight="1" x14ac:dyDescent="0.3">
      <c r="C31" s="95">
        <v>596.33000000000004</v>
      </c>
      <c r="D31" s="88">
        <f t="shared" si="0"/>
        <v>-1.836340126636761E-2</v>
      </c>
      <c r="E31" s="53"/>
    </row>
    <row r="32" spans="1:5" ht="15.75" customHeight="1" x14ac:dyDescent="0.3">
      <c r="C32" s="95">
        <v>593.79</v>
      </c>
      <c r="D32" s="88">
        <f t="shared" si="0"/>
        <v>-2.254457102268291E-2</v>
      </c>
      <c r="E32" s="53"/>
    </row>
    <row r="33" spans="1:7" ht="15.75" customHeight="1" x14ac:dyDescent="0.3">
      <c r="C33" s="95">
        <v>596.30999999999995</v>
      </c>
      <c r="D33" s="88">
        <f t="shared" si="0"/>
        <v>-1.8396323862874184E-2</v>
      </c>
      <c r="E33" s="53"/>
    </row>
    <row r="34" spans="1:7" ht="15.75" customHeight="1" x14ac:dyDescent="0.3">
      <c r="C34" s="95">
        <v>612.80999999999995</v>
      </c>
      <c r="D34" s="88">
        <f t="shared" si="0"/>
        <v>8.7648182549212184E-3</v>
      </c>
      <c r="E34" s="53"/>
    </row>
    <row r="35" spans="1:7" ht="15.75" customHeight="1" x14ac:dyDescent="0.3">
      <c r="C35" s="95">
        <v>605.29</v>
      </c>
      <c r="D35" s="88">
        <f t="shared" si="0"/>
        <v>-3.6140780314921728E-3</v>
      </c>
      <c r="E35" s="53"/>
    </row>
    <row r="36" spans="1:7" ht="15.75" customHeight="1" x14ac:dyDescent="0.3">
      <c r="C36" s="95">
        <v>612.75</v>
      </c>
      <c r="D36" s="88">
        <f t="shared" si="0"/>
        <v>8.6660504654020518E-3</v>
      </c>
      <c r="E36" s="53"/>
    </row>
    <row r="37" spans="1:7" ht="15.75" customHeight="1" x14ac:dyDescent="0.3">
      <c r="C37" s="95">
        <v>586.54</v>
      </c>
      <c r="D37" s="88">
        <f t="shared" si="0"/>
        <v>-3.4479012256259677E-2</v>
      </c>
      <c r="E37" s="53"/>
    </row>
    <row r="38" spans="1:7" ht="15.75" customHeight="1" x14ac:dyDescent="0.3">
      <c r="C38" s="95">
        <v>609.05999999999995</v>
      </c>
      <c r="D38" s="88">
        <f t="shared" si="0"/>
        <v>2.5918314099677171E-3</v>
      </c>
      <c r="E38" s="53"/>
    </row>
    <row r="39" spans="1:7" ht="15.75" customHeight="1" x14ac:dyDescent="0.3">
      <c r="C39" s="95">
        <v>634.46</v>
      </c>
      <c r="D39" s="88">
        <f t="shared" si="0"/>
        <v>4.4403528973119583E-2</v>
      </c>
      <c r="E39" s="53"/>
    </row>
    <row r="40" spans="1:7" ht="15.75" customHeight="1" x14ac:dyDescent="0.3">
      <c r="C40" s="95">
        <v>596.63</v>
      </c>
      <c r="D40" s="88">
        <f t="shared" si="0"/>
        <v>-1.7869562318771404E-2</v>
      </c>
      <c r="E40" s="53"/>
    </row>
    <row r="41" spans="1:7" ht="15.75" customHeight="1" x14ac:dyDescent="0.3">
      <c r="C41" s="95">
        <v>596.67999999999995</v>
      </c>
      <c r="D41" s="88">
        <f t="shared" si="0"/>
        <v>-1.7787255827505434E-2</v>
      </c>
      <c r="E41" s="53"/>
    </row>
    <row r="42" spans="1:7" ht="15.75" customHeight="1" x14ac:dyDescent="0.3">
      <c r="C42" s="95">
        <v>623.91999999999996</v>
      </c>
      <c r="D42" s="88">
        <f t="shared" si="0"/>
        <v>2.7053320614236813E-2</v>
      </c>
      <c r="E42" s="53"/>
    </row>
    <row r="43" spans="1:7" ht="16.5" customHeight="1" x14ac:dyDescent="0.3">
      <c r="C43" s="96">
        <v>589.5</v>
      </c>
      <c r="D43" s="89">
        <f t="shared" si="0"/>
        <v>-2.9606467973309653E-2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12149.71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607.4855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9">
        <f>C46</f>
        <v>607.4855</v>
      </c>
      <c r="C49" s="93">
        <f>-IF(C46&lt;=80,10%,IF(C46&lt;250,7.5%,5%))</f>
        <v>-0.05</v>
      </c>
      <c r="D49" s="81">
        <f>IF(C46&lt;=80,C46*0.9,IF(C46&lt;250,C46*0.925,C46*0.95))</f>
        <v>577.11122499999999</v>
      </c>
    </row>
    <row r="50" spans="1:6" ht="17.25" customHeight="1" x14ac:dyDescent="0.3">
      <c r="B50" s="470"/>
      <c r="C50" s="94">
        <f>IF(C46&lt;=80, 10%, IF(C46&lt;250, 7.5%, 5%))</f>
        <v>0.05</v>
      </c>
      <c r="D50" s="81">
        <f>IF(C46&lt;=80, C46*1.1, IF(C46&lt;250, C46*1.075, C46*1.05))</f>
        <v>637.85977500000001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J78" sqref="J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44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45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98"/>
    </row>
    <row r="16" spans="1:9" ht="19.5" customHeight="1" x14ac:dyDescent="0.3">
      <c r="A16" s="513" t="s">
        <v>30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46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100" t="s">
        <v>32</v>
      </c>
      <c r="B18" s="512" t="s">
        <v>5</v>
      </c>
      <c r="C18" s="512"/>
      <c r="D18" s="267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517" t="s">
        <v>129</v>
      </c>
      <c r="C20" s="517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517" t="s">
        <v>11</v>
      </c>
      <c r="C21" s="517"/>
      <c r="D21" s="517"/>
      <c r="E21" s="517"/>
      <c r="F21" s="517"/>
      <c r="G21" s="517"/>
      <c r="H21" s="517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11" t="s">
        <v>124</v>
      </c>
      <c r="C26" s="512"/>
    </row>
    <row r="27" spans="1:14" ht="26.25" customHeight="1" x14ac:dyDescent="0.4">
      <c r="A27" s="109" t="s">
        <v>47</v>
      </c>
      <c r="B27" s="508" t="s">
        <v>126</v>
      </c>
      <c r="C27" s="509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48</v>
      </c>
      <c r="B29" s="111">
        <v>0</v>
      </c>
      <c r="C29" s="485" t="s">
        <v>49</v>
      </c>
      <c r="D29" s="486"/>
      <c r="E29" s="486"/>
      <c r="F29" s="486"/>
      <c r="G29" s="487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8" t="s">
        <v>52</v>
      </c>
      <c r="D31" s="489"/>
      <c r="E31" s="489"/>
      <c r="F31" s="489"/>
      <c r="G31" s="489"/>
      <c r="H31" s="490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8" t="s">
        <v>54</v>
      </c>
      <c r="D32" s="489"/>
      <c r="E32" s="489"/>
      <c r="F32" s="489"/>
      <c r="G32" s="489"/>
      <c r="H32" s="49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91" t="s">
        <v>58</v>
      </c>
      <c r="E36" s="510"/>
      <c r="F36" s="491" t="s">
        <v>59</v>
      </c>
      <c r="G36" s="49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62504017</v>
      </c>
      <c r="E38" s="133">
        <f>IF(ISBLANK(D38),"-",$D$48/$D$45*D38)</f>
        <v>49989161.646661125</v>
      </c>
      <c r="F38" s="132">
        <v>51503611</v>
      </c>
      <c r="G38" s="134">
        <f>IF(ISBLANK(F38),"-",$D$48/$F$45*F38)</f>
        <v>50305982.756757714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62616890</v>
      </c>
      <c r="E39" s="138">
        <f>IF(ISBLANK(D39),"-",$D$48/$D$45*D39)</f>
        <v>50079434.670914009</v>
      </c>
      <c r="F39" s="137">
        <v>51527413</v>
      </c>
      <c r="G39" s="139">
        <f>IF(ISBLANK(F39),"-",$D$48/$F$45*F39)</f>
        <v>50329231.282022789</v>
      </c>
      <c r="I39" s="493">
        <f>ABS((F43/D43*D42)-F42)/D42</f>
        <v>5.6999139745656079E-3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62532180</v>
      </c>
      <c r="E40" s="138">
        <f>IF(ISBLANK(D40),"-",$D$48/$D$45*D40)</f>
        <v>50011685.715145476</v>
      </c>
      <c r="F40" s="137">
        <v>51691807</v>
      </c>
      <c r="G40" s="139">
        <f>IF(ISBLANK(F40),"-",$D$48/$F$45*F40)</f>
        <v>50489802.581175283</v>
      </c>
      <c r="I40" s="493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62551029</v>
      </c>
      <c r="E42" s="148">
        <f>AVERAGE(E38:E41)</f>
        <v>50026760.677573532</v>
      </c>
      <c r="F42" s="147">
        <f>AVERAGE(F38:F41)</f>
        <v>51574277</v>
      </c>
      <c r="G42" s="149">
        <f>AVERAGE(G38:G41)</f>
        <v>50375005.539985262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20.09</v>
      </c>
      <c r="E43" s="140"/>
      <c r="F43" s="152">
        <v>16.45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20.09</v>
      </c>
      <c r="E44" s="155"/>
      <c r="F44" s="154">
        <f>F43*$B$34</f>
        <v>16.45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20.005621999999999</v>
      </c>
      <c r="E45" s="158"/>
      <c r="F45" s="157">
        <f>F44*$B$30/100</f>
        <v>16.38091</v>
      </c>
      <c r="H45" s="150"/>
    </row>
    <row r="46" spans="1:14" ht="19.5" customHeight="1" x14ac:dyDescent="0.3">
      <c r="A46" s="479" t="s">
        <v>77</v>
      </c>
      <c r="B46" s="480"/>
      <c r="C46" s="153" t="s">
        <v>78</v>
      </c>
      <c r="D46" s="159">
        <f>D45/$B$45</f>
        <v>0.20005621999999998</v>
      </c>
      <c r="E46" s="160"/>
      <c r="F46" s="161">
        <f>F45/$B$45</f>
        <v>0.16380910000000001</v>
      </c>
      <c r="H46" s="150"/>
    </row>
    <row r="47" spans="1:14" ht="27" customHeight="1" x14ac:dyDescent="0.4">
      <c r="A47" s="481"/>
      <c r="B47" s="482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50200883.108779393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4.0468924929680005E-3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Trimethoprim  80 MG
Sulfamethoxazole 400mg</v>
      </c>
    </row>
    <row r="56" spans="1:12" ht="26.25" customHeight="1" x14ac:dyDescent="0.4">
      <c r="A56" s="177" t="s">
        <v>86</v>
      </c>
      <c r="B56" s="178">
        <v>400</v>
      </c>
      <c r="C56" s="99" t="str">
        <f>B20</f>
        <v xml:space="preserve">Sulfamethoxazole </v>
      </c>
      <c r="H56" s="179"/>
    </row>
    <row r="57" spans="1:12" ht="18.75" x14ac:dyDescent="0.3">
      <c r="A57" s="176" t="s">
        <v>87</v>
      </c>
      <c r="B57" s="268">
        <f>Uniformity!C46</f>
        <v>607.4855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6" t="s">
        <v>93</v>
      </c>
      <c r="D60" s="499">
        <v>616.30999999999995</v>
      </c>
      <c r="E60" s="182">
        <v>1</v>
      </c>
      <c r="F60" s="183">
        <v>50476878</v>
      </c>
      <c r="G60" s="269">
        <f>IF(ISBLANK(F60),"-",(F60/$D$50*$D$47*$B$68)*($B$57/$D$60))</f>
        <v>396.44032356626263</v>
      </c>
      <c r="H60" s="184">
        <f t="shared" ref="H60:H71" si="0">IF(ISBLANK(F60),"-",G60/$B$56)</f>
        <v>0.99110080891565655</v>
      </c>
      <c r="L60" s="112"/>
    </row>
    <row r="61" spans="1:12" s="14" customFormat="1" ht="26.25" customHeight="1" x14ac:dyDescent="0.4">
      <c r="A61" s="124" t="s">
        <v>94</v>
      </c>
      <c r="B61" s="125">
        <v>100</v>
      </c>
      <c r="C61" s="497"/>
      <c r="D61" s="500"/>
      <c r="E61" s="185">
        <v>2</v>
      </c>
      <c r="F61" s="137">
        <v>50496384</v>
      </c>
      <c r="G61" s="270">
        <f>IF(ISBLANK(F61),"-",(F61/$D$50*$D$47*$B$68)*($B$57/$D$60))</f>
        <v>396.5935217286268</v>
      </c>
      <c r="H61" s="186">
        <f t="shared" si="0"/>
        <v>0.99148380432156702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7"/>
      <c r="D62" s="500"/>
      <c r="E62" s="185">
        <v>3</v>
      </c>
      <c r="F62" s="187">
        <v>50744475</v>
      </c>
      <c r="G62" s="270">
        <f>IF(ISBLANK(F62),"-",(F62/$D$50*$D$47*$B$68)*($B$57/$D$60))</f>
        <v>398.54200349316619</v>
      </c>
      <c r="H62" s="186">
        <f t="shared" si="0"/>
        <v>0.99635500873291549</v>
      </c>
      <c r="L62" s="112"/>
    </row>
    <row r="63" spans="1:12" ht="27" customHeight="1" x14ac:dyDescent="0.4">
      <c r="A63" s="124" t="s">
        <v>96</v>
      </c>
      <c r="B63" s="125">
        <v>1</v>
      </c>
      <c r="C63" s="507"/>
      <c r="D63" s="50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6" t="s">
        <v>98</v>
      </c>
      <c r="D64" s="499">
        <v>615.4</v>
      </c>
      <c r="E64" s="182">
        <v>1</v>
      </c>
      <c r="F64" s="183">
        <v>50678683</v>
      </c>
      <c r="G64" s="271">
        <f>IF(ISBLANK(F64),"-",(F64/$D$50*$D$47*$B$68)*($B$57/$D$64))</f>
        <v>398.61384490987757</v>
      </c>
      <c r="H64" s="190">
        <f t="shared" si="0"/>
        <v>0.99653461227469398</v>
      </c>
    </row>
    <row r="65" spans="1:10" ht="26.25" customHeight="1" x14ac:dyDescent="0.4">
      <c r="A65" s="124" t="s">
        <v>99</v>
      </c>
      <c r="B65" s="125">
        <v>1</v>
      </c>
      <c r="C65" s="497"/>
      <c r="D65" s="500"/>
      <c r="E65" s="185">
        <v>2</v>
      </c>
      <c r="F65" s="137">
        <v>50331024</v>
      </c>
      <c r="G65" s="272">
        <f>IF(ISBLANK(F65),"-",(F65/$D$50*$D$47*$B$68)*($B$57/$D$64))</f>
        <v>395.87932849184983</v>
      </c>
      <c r="H65" s="191">
        <f t="shared" si="0"/>
        <v>0.98969832122962453</v>
      </c>
    </row>
    <row r="66" spans="1:10" ht="26.25" customHeight="1" x14ac:dyDescent="0.4">
      <c r="A66" s="124" t="s">
        <v>100</v>
      </c>
      <c r="B66" s="125">
        <v>1</v>
      </c>
      <c r="C66" s="497"/>
      <c r="D66" s="500"/>
      <c r="E66" s="185">
        <v>3</v>
      </c>
      <c r="F66" s="137">
        <v>50446293</v>
      </c>
      <c r="G66" s="272">
        <f>IF(ISBLANK(F66),"-",(F66/$D$50*$D$47*$B$68)*($B$57/$D$64))</f>
        <v>396.78597832110677</v>
      </c>
      <c r="H66" s="191">
        <f t="shared" si="0"/>
        <v>0.99196494580276695</v>
      </c>
    </row>
    <row r="67" spans="1:10" ht="27" customHeight="1" x14ac:dyDescent="0.4">
      <c r="A67" s="124" t="s">
        <v>101</v>
      </c>
      <c r="B67" s="125">
        <v>1</v>
      </c>
      <c r="C67" s="507"/>
      <c r="D67" s="50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10" ht="26.25" customHeight="1" x14ac:dyDescent="0.4">
      <c r="A68" s="124" t="s">
        <v>102</v>
      </c>
      <c r="B68" s="193">
        <f>(B67/B66)*(B65/B64)*(B63/B62)*(B61/B60)*B59</f>
        <v>2500</v>
      </c>
      <c r="C68" s="496" t="s">
        <v>103</v>
      </c>
      <c r="D68" s="499">
        <v>588.62</v>
      </c>
      <c r="E68" s="182">
        <v>1</v>
      </c>
      <c r="F68" s="183">
        <v>48434415</v>
      </c>
      <c r="G68" s="271">
        <f>IF(ISBLANK(F68),"-",(F68/$D$50*$D$47*$B$68)*($B$57/$D$68))</f>
        <v>398.29384463718611</v>
      </c>
      <c r="H68" s="186">
        <f t="shared" si="0"/>
        <v>0.99573461159296528</v>
      </c>
    </row>
    <row r="69" spans="1:10" ht="27" customHeight="1" x14ac:dyDescent="0.4">
      <c r="A69" s="172" t="s">
        <v>104</v>
      </c>
      <c r="B69" s="194">
        <f>(D47*B68)/B56*B57</f>
        <v>607.4855</v>
      </c>
      <c r="C69" s="497"/>
      <c r="D69" s="500"/>
      <c r="E69" s="185">
        <v>2</v>
      </c>
      <c r="F69" s="137">
        <v>48201190</v>
      </c>
      <c r="G69" s="272">
        <f>IF(ISBLANK(F69),"-",(F69/$D$50*$D$47*$B$68)*($B$57/$D$68))</f>
        <v>396.37595047214859</v>
      </c>
      <c r="H69" s="186">
        <f t="shared" si="0"/>
        <v>0.99093987618037149</v>
      </c>
    </row>
    <row r="70" spans="1:10" ht="26.25" customHeight="1" x14ac:dyDescent="0.4">
      <c r="A70" s="502" t="s">
        <v>77</v>
      </c>
      <c r="B70" s="503"/>
      <c r="C70" s="497"/>
      <c r="D70" s="500"/>
      <c r="E70" s="185">
        <v>3</v>
      </c>
      <c r="F70" s="137">
        <v>48509935</v>
      </c>
      <c r="G70" s="272">
        <f>IF(ISBLANK(F70),"-",(F70/$D$50*$D$47*$B$68)*($B$57/$D$68))</f>
        <v>398.91487311759624</v>
      </c>
      <c r="H70" s="186">
        <f t="shared" si="0"/>
        <v>0.99728718279399065</v>
      </c>
    </row>
    <row r="71" spans="1:10" ht="27" customHeight="1" x14ac:dyDescent="0.4">
      <c r="A71" s="504"/>
      <c r="B71" s="505"/>
      <c r="C71" s="498"/>
      <c r="D71" s="50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10" ht="26.25" customHeight="1" x14ac:dyDescent="0.4">
      <c r="A72" s="196"/>
      <c r="B72" s="196"/>
      <c r="C72" s="196"/>
      <c r="D72" s="196"/>
      <c r="E72" s="196"/>
      <c r="F72" s="198" t="s">
        <v>70</v>
      </c>
      <c r="G72" s="278">
        <f>AVERAGE(G60:G71)</f>
        <v>397.38218541531347</v>
      </c>
      <c r="H72" s="199">
        <f>AVERAGE(H60:H71)</f>
        <v>0.99345546353828362</v>
      </c>
    </row>
    <row r="73" spans="1:10" ht="26.25" customHeight="1" x14ac:dyDescent="0.4">
      <c r="C73" s="196"/>
      <c r="D73" s="196"/>
      <c r="E73" s="196"/>
      <c r="F73" s="200" t="s">
        <v>83</v>
      </c>
      <c r="G73" s="274">
        <f>STDEV(G60:G71)/G72</f>
        <v>2.9746088720887937E-3</v>
      </c>
      <c r="H73" s="274">
        <f>STDEV(H60:H71)/H72</f>
        <v>2.9746088720888123E-3</v>
      </c>
    </row>
    <row r="74" spans="1:10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10" ht="26.25" customHeight="1" x14ac:dyDescent="0.4">
      <c r="A76" s="108" t="s">
        <v>105</v>
      </c>
      <c r="B76" s="204" t="s">
        <v>106</v>
      </c>
      <c r="C76" s="483" t="str">
        <f>B20</f>
        <v xml:space="preserve">Sulfamethoxazole </v>
      </c>
      <c r="D76" s="483"/>
      <c r="E76" s="205" t="s">
        <v>107</v>
      </c>
      <c r="F76" s="205"/>
      <c r="G76" s="206">
        <f>H72</f>
        <v>0.99345546353828362</v>
      </c>
      <c r="H76" s="207"/>
    </row>
    <row r="77" spans="1:10" ht="18.75" x14ac:dyDescent="0.3">
      <c r="A77" s="107" t="s">
        <v>108</v>
      </c>
      <c r="B77" s="107" t="s">
        <v>109</v>
      </c>
    </row>
    <row r="78" spans="1:10" ht="18.75" x14ac:dyDescent="0.3">
      <c r="A78" s="107"/>
      <c r="B78" s="107"/>
      <c r="J78" s="466"/>
    </row>
    <row r="79" spans="1:10" ht="26.25" customHeight="1" x14ac:dyDescent="0.4">
      <c r="A79" s="108" t="s">
        <v>4</v>
      </c>
      <c r="B79" s="506" t="str">
        <f>B26</f>
        <v>Sulfamethoxazole</v>
      </c>
      <c r="C79" s="506"/>
    </row>
    <row r="80" spans="1:10" ht="26.25" customHeight="1" x14ac:dyDescent="0.4">
      <c r="A80" s="109" t="s">
        <v>47</v>
      </c>
      <c r="B80" s="506" t="str">
        <f>B27</f>
        <v>S12 2</v>
      </c>
      <c r="C80" s="506"/>
    </row>
    <row r="81" spans="1:12" ht="27" customHeight="1" x14ac:dyDescent="0.4">
      <c r="A81" s="109" t="s">
        <v>6</v>
      </c>
      <c r="B81" s="208">
        <f>B28</f>
        <v>99.58</v>
      </c>
    </row>
    <row r="82" spans="1:12" s="14" customFormat="1" ht="27" customHeight="1" x14ac:dyDescent="0.4">
      <c r="A82" s="109" t="s">
        <v>48</v>
      </c>
      <c r="B82" s="111">
        <v>0</v>
      </c>
      <c r="C82" s="485" t="s">
        <v>49</v>
      </c>
      <c r="D82" s="486"/>
      <c r="E82" s="486"/>
      <c r="F82" s="486"/>
      <c r="G82" s="487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8" t="s">
        <v>110</v>
      </c>
      <c r="D84" s="489"/>
      <c r="E84" s="489"/>
      <c r="F84" s="489"/>
      <c r="G84" s="489"/>
      <c r="H84" s="490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8" t="s">
        <v>111</v>
      </c>
      <c r="D85" s="489"/>
      <c r="E85" s="489"/>
      <c r="F85" s="489"/>
      <c r="G85" s="489"/>
      <c r="H85" s="49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9" t="s">
        <v>58</v>
      </c>
      <c r="E89" s="210"/>
      <c r="F89" s="491" t="s">
        <v>59</v>
      </c>
      <c r="G89" s="492"/>
    </row>
    <row r="90" spans="1:12" ht="27" customHeight="1" x14ac:dyDescent="0.4">
      <c r="A90" s="124" t="s">
        <v>60</v>
      </c>
      <c r="B90" s="125">
        <v>10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20</v>
      </c>
      <c r="C91" s="213">
        <v>1</v>
      </c>
      <c r="D91" s="132">
        <v>62083533</v>
      </c>
      <c r="E91" s="133">
        <f>IF(ISBLANK(D91),"-",$D$101/$D$98*D91)</f>
        <v>55169854.420589045</v>
      </c>
      <c r="F91" s="132">
        <v>51571336</v>
      </c>
      <c r="G91" s="134">
        <f>IF(ISBLANK(F91),"-",$D$101/$F$98*F91)</f>
        <v>55969036.586557843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62263224</v>
      </c>
      <c r="E92" s="138">
        <f>IF(ISBLANK(D92),"-",$D$101/$D$98*D92)</f>
        <v>55329534.867748678</v>
      </c>
      <c r="F92" s="137">
        <v>51657091</v>
      </c>
      <c r="G92" s="139">
        <f>IF(ISBLANK(F92),"-",$D$101/$F$98*F92)</f>
        <v>56062104.269203879</v>
      </c>
      <c r="I92" s="493">
        <f>ABS((F96/D96*D95)-F95)/D95</f>
        <v>9.689511772318431E-3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62491481</v>
      </c>
      <c r="E93" s="138">
        <f>IF(ISBLANK(D93),"-",$D$101/$D$98*D93)</f>
        <v>55532372.961071759</v>
      </c>
      <c r="F93" s="137">
        <v>51567958</v>
      </c>
      <c r="G93" s="139">
        <f>IF(ISBLANK(F93),"-",$D$101/$F$98*F93)</f>
        <v>55965370.530561358</v>
      </c>
      <c r="I93" s="493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62279412.666666664</v>
      </c>
      <c r="E95" s="148">
        <f>AVERAGE(E91:E94)</f>
        <v>55343920.749803163</v>
      </c>
      <c r="F95" s="218">
        <f>AVERAGE(F91:F94)</f>
        <v>51598795</v>
      </c>
      <c r="G95" s="219">
        <f>AVERAGE(G91:G94)</f>
        <v>55998837.128774367</v>
      </c>
    </row>
    <row r="96" spans="1:12" ht="26.25" customHeight="1" x14ac:dyDescent="0.4">
      <c r="A96" s="124" t="s">
        <v>71</v>
      </c>
      <c r="B96" s="110">
        <v>1</v>
      </c>
      <c r="C96" s="220" t="s">
        <v>112</v>
      </c>
      <c r="D96" s="221">
        <v>20.09</v>
      </c>
      <c r="E96" s="140"/>
      <c r="F96" s="152">
        <v>16.45</v>
      </c>
    </row>
    <row r="97" spans="1:10" ht="26.25" customHeight="1" x14ac:dyDescent="0.4">
      <c r="A97" s="124" t="s">
        <v>73</v>
      </c>
      <c r="B97" s="110">
        <v>1</v>
      </c>
      <c r="C97" s="222" t="s">
        <v>113</v>
      </c>
      <c r="D97" s="223">
        <f>D96*$B$87</f>
        <v>20.09</v>
      </c>
      <c r="E97" s="155"/>
      <c r="F97" s="154">
        <f>F96*$B$87</f>
        <v>16.45</v>
      </c>
    </row>
    <row r="98" spans="1:10" ht="19.5" customHeight="1" x14ac:dyDescent="0.3">
      <c r="A98" s="124" t="s">
        <v>75</v>
      </c>
      <c r="B98" s="224">
        <f>(B97/B96)*(B95/B94)*(B93/B92)*(B91/B90)*B89</f>
        <v>100</v>
      </c>
      <c r="C98" s="222" t="s">
        <v>114</v>
      </c>
      <c r="D98" s="225">
        <f>D97*$B$83/100</f>
        <v>20.005621999999999</v>
      </c>
      <c r="E98" s="158"/>
      <c r="F98" s="157">
        <f>F97*$B$83/100</f>
        <v>16.38091</v>
      </c>
    </row>
    <row r="99" spans="1:10" ht="19.5" customHeight="1" x14ac:dyDescent="0.3">
      <c r="A99" s="479" t="s">
        <v>77</v>
      </c>
      <c r="B99" s="494"/>
      <c r="C99" s="222" t="s">
        <v>115</v>
      </c>
      <c r="D99" s="226">
        <f>D98/$B$98</f>
        <v>0.20005621999999998</v>
      </c>
      <c r="E99" s="158"/>
      <c r="F99" s="161">
        <f>F98/$B$98</f>
        <v>0.16380910000000001</v>
      </c>
      <c r="G99" s="227"/>
      <c r="H99" s="150"/>
    </row>
    <row r="100" spans="1:10" ht="19.5" customHeight="1" x14ac:dyDescent="0.3">
      <c r="A100" s="481"/>
      <c r="B100" s="495"/>
      <c r="C100" s="222" t="s">
        <v>79</v>
      </c>
      <c r="D100" s="228">
        <f>$B$56/$B$116</f>
        <v>0.17777777777777778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17.777777777777779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17.777777777777779</v>
      </c>
      <c r="F102" s="170"/>
      <c r="G102" s="227"/>
      <c r="H102" s="150"/>
      <c r="J102" s="232"/>
    </row>
    <row r="103" spans="1:10" ht="18.75" x14ac:dyDescent="0.3">
      <c r="C103" s="233" t="s">
        <v>116</v>
      </c>
      <c r="D103" s="234">
        <f>AVERAGE(E91:E94,G91:G94)</f>
        <v>55671378.939288758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6.7945201159654708E-3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39" t="s">
        <v>118</v>
      </c>
      <c r="D107" s="240" t="s">
        <v>62</v>
      </c>
      <c r="E107" s="241" t="s">
        <v>119</v>
      </c>
      <c r="F107" s="242" t="s">
        <v>120</v>
      </c>
    </row>
    <row r="108" spans="1:10" ht="26.25" customHeight="1" x14ac:dyDescent="0.4">
      <c r="A108" s="124" t="s">
        <v>121</v>
      </c>
      <c r="B108" s="125">
        <v>4</v>
      </c>
      <c r="C108" s="243">
        <v>1</v>
      </c>
      <c r="D108" s="244">
        <v>55816819</v>
      </c>
      <c r="E108" s="275">
        <f t="shared" ref="E108:E113" si="1">IF(ISBLANK(D108),"-",D108/$D$103*$D$100*$B$116)</f>
        <v>401.0449898204954</v>
      </c>
      <c r="F108" s="245">
        <f t="shared" ref="F108:F113" si="2">IF(ISBLANK(D108), "-", E108/$B$56)</f>
        <v>1.0026124745512386</v>
      </c>
    </row>
    <row r="109" spans="1:10" ht="26.25" customHeight="1" x14ac:dyDescent="0.4">
      <c r="A109" s="124" t="s">
        <v>94</v>
      </c>
      <c r="B109" s="125">
        <v>10</v>
      </c>
      <c r="C109" s="243">
        <v>2</v>
      </c>
      <c r="D109" s="244">
        <v>53446177</v>
      </c>
      <c r="E109" s="276">
        <f t="shared" si="1"/>
        <v>384.01187840728426</v>
      </c>
      <c r="F109" s="246">
        <f t="shared" si="2"/>
        <v>0.96002969601821064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244">
        <v>56328842</v>
      </c>
      <c r="E110" s="276">
        <f t="shared" si="1"/>
        <v>404.72388558169706</v>
      </c>
      <c r="F110" s="246">
        <f t="shared" si="2"/>
        <v>1.0118097139542426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244">
        <v>49389983</v>
      </c>
      <c r="E111" s="276">
        <f t="shared" si="1"/>
        <v>354.86804128822604</v>
      </c>
      <c r="F111" s="246">
        <f t="shared" si="2"/>
        <v>0.88717010322056511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244">
        <v>52299966</v>
      </c>
      <c r="E112" s="276">
        <f t="shared" si="1"/>
        <v>375.77632885317695</v>
      </c>
      <c r="F112" s="246">
        <f t="shared" si="2"/>
        <v>0.93944082213294233</v>
      </c>
    </row>
    <row r="113" spans="1:10" ht="26.25" customHeight="1" x14ac:dyDescent="0.4">
      <c r="A113" s="124" t="s">
        <v>99</v>
      </c>
      <c r="B113" s="125">
        <v>1</v>
      </c>
      <c r="C113" s="247">
        <v>6</v>
      </c>
      <c r="D113" s="248">
        <v>53186638</v>
      </c>
      <c r="E113" s="277">
        <f t="shared" si="1"/>
        <v>382.14708536680268</v>
      </c>
      <c r="F113" s="249">
        <f t="shared" si="2"/>
        <v>0.95536771341700666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101</v>
      </c>
      <c r="B115" s="125">
        <v>1</v>
      </c>
      <c r="C115" s="243"/>
      <c r="D115" s="251" t="s">
        <v>70</v>
      </c>
      <c r="E115" s="279">
        <f>AVERAGE(E108:E113)</f>
        <v>383.76203488628039</v>
      </c>
      <c r="F115" s="252">
        <f>AVERAGE(F108:F113)</f>
        <v>0.95940508721570106</v>
      </c>
    </row>
    <row r="116" spans="1:10" ht="27" customHeight="1" x14ac:dyDescent="0.4">
      <c r="A116" s="124" t="s">
        <v>102</v>
      </c>
      <c r="B116" s="156">
        <f>(B115/B114)*(B113/B112)*(B111/B110)*(B109/B108)*B107</f>
        <v>2250</v>
      </c>
      <c r="C116" s="253"/>
      <c r="D116" s="216" t="s">
        <v>83</v>
      </c>
      <c r="E116" s="254">
        <f>STDEV(E108:E113)/E115</f>
        <v>4.7184141733702861E-2</v>
      </c>
      <c r="F116" s="254">
        <f>STDEV(F108:F113)/F115</f>
        <v>4.7184141733702854E-2</v>
      </c>
      <c r="I116" s="98"/>
    </row>
    <row r="117" spans="1:10" ht="27" customHeight="1" x14ac:dyDescent="0.4">
      <c r="A117" s="479" t="s">
        <v>77</v>
      </c>
      <c r="B117" s="480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81"/>
      <c r="B118" s="48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105</v>
      </c>
      <c r="B120" s="204" t="s">
        <v>122</v>
      </c>
      <c r="C120" s="483" t="str">
        <f>B20</f>
        <v xml:space="preserve">Sulfamethoxazole </v>
      </c>
      <c r="D120" s="483"/>
      <c r="E120" s="205" t="s">
        <v>123</v>
      </c>
      <c r="F120" s="205"/>
      <c r="G120" s="206">
        <f>F115</f>
        <v>0.95940508721570106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484" t="s">
        <v>25</v>
      </c>
      <c r="C122" s="484"/>
      <c r="E122" s="211" t="s">
        <v>26</v>
      </c>
      <c r="F122" s="260"/>
      <c r="G122" s="484" t="s">
        <v>27</v>
      </c>
      <c r="H122" s="484"/>
    </row>
    <row r="123" spans="1:10" ht="69.95" customHeight="1" x14ac:dyDescent="0.3">
      <c r="A123" s="261" t="s">
        <v>28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29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0" zoomScale="55" zoomScaleNormal="40" zoomScalePageLayoutView="55" workbookViewId="0">
      <selection activeCell="G115" sqref="G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44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45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281"/>
    </row>
    <row r="16" spans="1:9" ht="19.5" customHeight="1" x14ac:dyDescent="0.3">
      <c r="A16" s="513" t="s">
        <v>30</v>
      </c>
      <c r="B16" s="514"/>
      <c r="C16" s="514"/>
      <c r="D16" s="514"/>
      <c r="E16" s="514"/>
      <c r="F16" s="514"/>
      <c r="G16" s="514"/>
      <c r="H16" s="515"/>
    </row>
    <row r="17" spans="1:14" ht="20.25" customHeight="1" x14ac:dyDescent="0.25">
      <c r="A17" s="516" t="s">
        <v>46</v>
      </c>
      <c r="B17" s="516"/>
      <c r="C17" s="516"/>
      <c r="D17" s="516"/>
      <c r="E17" s="516"/>
      <c r="F17" s="516"/>
      <c r="G17" s="516"/>
      <c r="H17" s="516"/>
    </row>
    <row r="18" spans="1:14" ht="26.25" customHeight="1" x14ac:dyDescent="0.4">
      <c r="A18" s="283" t="s">
        <v>32</v>
      </c>
      <c r="B18" s="512" t="s">
        <v>5</v>
      </c>
      <c r="C18" s="512"/>
      <c r="D18" s="450"/>
      <c r="E18" s="284"/>
      <c r="F18" s="285"/>
      <c r="G18" s="285"/>
      <c r="H18" s="285"/>
    </row>
    <row r="19" spans="1:14" ht="26.25" customHeight="1" x14ac:dyDescent="0.4">
      <c r="A19" s="283" t="s">
        <v>33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34</v>
      </c>
      <c r="B20" s="517" t="s">
        <v>128</v>
      </c>
      <c r="C20" s="517"/>
      <c r="D20" s="285"/>
      <c r="E20" s="285"/>
      <c r="F20" s="285"/>
      <c r="G20" s="285"/>
      <c r="H20" s="285"/>
    </row>
    <row r="21" spans="1:14" ht="26.25" customHeight="1" x14ac:dyDescent="0.4">
      <c r="A21" s="283" t="s">
        <v>35</v>
      </c>
      <c r="B21" s="517" t="s">
        <v>11</v>
      </c>
      <c r="C21" s="517"/>
      <c r="D21" s="517"/>
      <c r="E21" s="517"/>
      <c r="F21" s="517"/>
      <c r="G21" s="517"/>
      <c r="H21" s="517"/>
      <c r="I21" s="287"/>
    </row>
    <row r="22" spans="1:14" ht="26.25" customHeight="1" x14ac:dyDescent="0.4">
      <c r="A22" s="283" t="s">
        <v>36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37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12" t="s">
        <v>125</v>
      </c>
      <c r="C26" s="512"/>
    </row>
    <row r="27" spans="1:14" ht="26.25" customHeight="1" x14ac:dyDescent="0.4">
      <c r="A27" s="292" t="s">
        <v>47</v>
      </c>
      <c r="B27" s="509" t="s">
        <v>127</v>
      </c>
      <c r="C27" s="509"/>
    </row>
    <row r="28" spans="1:14" ht="27" customHeight="1" x14ac:dyDescent="0.4">
      <c r="A28" s="292" t="s">
        <v>6</v>
      </c>
      <c r="B28" s="293">
        <v>99.66</v>
      </c>
    </row>
    <row r="29" spans="1:14" s="14" customFormat="1" ht="27" customHeight="1" x14ac:dyDescent="0.4">
      <c r="A29" s="292" t="s">
        <v>48</v>
      </c>
      <c r="B29" s="294">
        <v>0</v>
      </c>
      <c r="C29" s="485" t="s">
        <v>49</v>
      </c>
      <c r="D29" s="486"/>
      <c r="E29" s="486"/>
      <c r="F29" s="486"/>
      <c r="G29" s="487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99.66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8" t="s">
        <v>52</v>
      </c>
      <c r="D31" s="489"/>
      <c r="E31" s="489"/>
      <c r="F31" s="489"/>
      <c r="G31" s="489"/>
      <c r="H31" s="490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8" t="s">
        <v>54</v>
      </c>
      <c r="D32" s="489"/>
      <c r="E32" s="489"/>
      <c r="F32" s="489"/>
      <c r="G32" s="489"/>
      <c r="H32" s="490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50</v>
      </c>
      <c r="C36" s="282"/>
      <c r="D36" s="491" t="s">
        <v>58</v>
      </c>
      <c r="E36" s="510"/>
      <c r="F36" s="491" t="s">
        <v>59</v>
      </c>
      <c r="G36" s="492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2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3625786</v>
      </c>
      <c r="E38" s="316">
        <f>IF(ISBLANK(D38),"-",$D$48/$D$45*D38)</f>
        <v>3862673.6344846538</v>
      </c>
      <c r="F38" s="315">
        <v>4085017</v>
      </c>
      <c r="G38" s="317">
        <f>IF(ISBLANK(F38),"-",$D$48/$F$45*F38)</f>
        <v>3913082.0445840438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3643177</v>
      </c>
      <c r="E39" s="321">
        <f>IF(ISBLANK(D39),"-",$D$48/$D$45*D39)</f>
        <v>3881200.8606301909</v>
      </c>
      <c r="F39" s="320">
        <v>4095491</v>
      </c>
      <c r="G39" s="322">
        <f>IF(ISBLANK(F39),"-",$D$48/$F$45*F39)</f>
        <v>3923115.2026675898</v>
      </c>
      <c r="I39" s="493">
        <f>ABS((F43/D43*D42)-F42)/D42</f>
        <v>1.5385095847843604E-2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3647607</v>
      </c>
      <c r="E40" s="321">
        <f>IF(ISBLANK(D40),"-",$D$48/$D$45*D40)</f>
        <v>3885920.2909001429</v>
      </c>
      <c r="F40" s="320">
        <v>4128235</v>
      </c>
      <c r="G40" s="322">
        <f>IF(ISBLANK(F40),"-",$D$48/$F$45*F40)</f>
        <v>3954481.0350418147</v>
      </c>
      <c r="I40" s="493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3638856.6666666665</v>
      </c>
      <c r="E42" s="331">
        <f>AVERAGE(E38:E41)</f>
        <v>3876598.2620049957</v>
      </c>
      <c r="F42" s="330">
        <f>AVERAGE(F38:F41)</f>
        <v>4102914.3333333335</v>
      </c>
      <c r="G42" s="332">
        <f>AVERAGE(G38:G41)</f>
        <v>3930226.0940978159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15.07</v>
      </c>
      <c r="E43" s="323"/>
      <c r="F43" s="335">
        <v>16.760000000000002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15.07</v>
      </c>
      <c r="E44" s="338"/>
      <c r="F44" s="337">
        <f>F43*$B$34</f>
        <v>16.760000000000002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500</v>
      </c>
      <c r="C45" s="336" t="s">
        <v>76</v>
      </c>
      <c r="D45" s="340">
        <f>D44*$B$30/100</f>
        <v>15.018761999999999</v>
      </c>
      <c r="E45" s="341"/>
      <c r="F45" s="340">
        <f>F44*$B$30/100</f>
        <v>16.703016000000002</v>
      </c>
      <c r="H45" s="333"/>
    </row>
    <row r="46" spans="1:14" ht="19.5" customHeight="1" x14ac:dyDescent="0.3">
      <c r="A46" s="479" t="s">
        <v>77</v>
      </c>
      <c r="B46" s="480"/>
      <c r="C46" s="336" t="s">
        <v>78</v>
      </c>
      <c r="D46" s="342">
        <f>D45/$B$45</f>
        <v>3.0037523999999996E-2</v>
      </c>
      <c r="E46" s="343"/>
      <c r="F46" s="344">
        <f>F45/$B$45</f>
        <v>3.3406032000000002E-2</v>
      </c>
      <c r="H46" s="333"/>
    </row>
    <row r="47" spans="1:14" ht="27" customHeight="1" x14ac:dyDescent="0.4">
      <c r="A47" s="481"/>
      <c r="B47" s="482"/>
      <c r="C47" s="345" t="s">
        <v>79</v>
      </c>
      <c r="D47" s="346">
        <v>3.2000000000000001E-2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16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16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3903412.1780514061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8.5342522718419821E-3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Trimethoprim  80 MG
Sulfamethoxazole 400mg</v>
      </c>
    </row>
    <row r="56" spans="1:12" ht="26.25" customHeight="1" x14ac:dyDescent="0.4">
      <c r="A56" s="360" t="s">
        <v>86</v>
      </c>
      <c r="B56" s="361">
        <v>80</v>
      </c>
      <c r="C56" s="282" t="str">
        <f>B20</f>
        <v xml:space="preserve"> Trimethoprim </v>
      </c>
      <c r="H56" s="362"/>
    </row>
    <row r="57" spans="1:12" ht="18.75" x14ac:dyDescent="0.3">
      <c r="A57" s="359" t="s">
        <v>87</v>
      </c>
      <c r="B57" s="451">
        <f>Uniformity!C46</f>
        <v>607.4855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3" t="s">
        <v>89</v>
      </c>
      <c r="E59" s="364" t="s">
        <v>61</v>
      </c>
      <c r="F59" s="364" t="s">
        <v>62</v>
      </c>
      <c r="G59" s="364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4</v>
      </c>
      <c r="C60" s="496" t="s">
        <v>93</v>
      </c>
      <c r="D60" s="499">
        <f>SULPHAMETHOXAZOLE!D60</f>
        <v>616.30999999999995</v>
      </c>
      <c r="E60" s="365">
        <v>1</v>
      </c>
      <c r="F60" s="366">
        <v>3972321</v>
      </c>
      <c r="G60" s="452">
        <f>IF(ISBLANK(F60),"-",(F60/$D$50*$D$47*$B$68)*($B$57/$D$60))</f>
        <v>80.246594755003613</v>
      </c>
      <c r="H60" s="367">
        <f t="shared" ref="H60:H71" si="0">IF(ISBLANK(F60),"-",G60/$B$56)</f>
        <v>1.0030824344375451</v>
      </c>
      <c r="L60" s="295"/>
    </row>
    <row r="61" spans="1:12" s="14" customFormat="1" ht="26.25" customHeight="1" x14ac:dyDescent="0.4">
      <c r="A61" s="307" t="s">
        <v>94</v>
      </c>
      <c r="B61" s="308">
        <v>100</v>
      </c>
      <c r="C61" s="497"/>
      <c r="D61" s="500"/>
      <c r="E61" s="368">
        <v>2</v>
      </c>
      <c r="F61" s="320">
        <v>3972045</v>
      </c>
      <c r="G61" s="453">
        <f>IF(ISBLANK(F61),"-",(F61/$D$50*$D$47*$B$68)*($B$57/$D$60))</f>
        <v>80.241019158229747</v>
      </c>
      <c r="H61" s="369">
        <f t="shared" si="0"/>
        <v>1.0030127394778718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7"/>
      <c r="D62" s="500"/>
      <c r="E62" s="368">
        <v>3</v>
      </c>
      <c r="F62" s="370">
        <v>3990152</v>
      </c>
      <c r="G62" s="453">
        <f>IF(ISBLANK(F62),"-",(F62/$D$50*$D$47*$B$68)*($B$57/$D$60))</f>
        <v>80.606806588608322</v>
      </c>
      <c r="H62" s="369">
        <f t="shared" si="0"/>
        <v>1.007585082357604</v>
      </c>
      <c r="L62" s="295"/>
    </row>
    <row r="63" spans="1:12" ht="27" customHeight="1" x14ac:dyDescent="0.4">
      <c r="A63" s="307" t="s">
        <v>96</v>
      </c>
      <c r="B63" s="308">
        <v>1</v>
      </c>
      <c r="C63" s="507"/>
      <c r="D63" s="50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6" t="s">
        <v>98</v>
      </c>
      <c r="D64" s="499">
        <f>SULPHAMETHOXAZOLE!D64</f>
        <v>615.4</v>
      </c>
      <c r="E64" s="365">
        <v>1</v>
      </c>
      <c r="F64" s="366">
        <v>4006613</v>
      </c>
      <c r="G64" s="454">
        <f>IF(ISBLANK(F64),"-",(F64/$D$50*$D$47*$B$68)*($B$57/$D$64))</f>
        <v>81.059028513219999</v>
      </c>
      <c r="H64" s="373">
        <f t="shared" si="0"/>
        <v>1.01323785641525</v>
      </c>
    </row>
    <row r="65" spans="1:8" ht="26.25" customHeight="1" x14ac:dyDescent="0.4">
      <c r="A65" s="307" t="s">
        <v>99</v>
      </c>
      <c r="B65" s="308">
        <v>1</v>
      </c>
      <c r="C65" s="497"/>
      <c r="D65" s="500"/>
      <c r="E65" s="368">
        <v>2</v>
      </c>
      <c r="F65" s="320">
        <v>3982557</v>
      </c>
      <c r="G65" s="455">
        <f>IF(ISBLANK(F65),"-",(F65/$D$50*$D$47*$B$68)*($B$57/$D$64))</f>
        <v>80.572344126703499</v>
      </c>
      <c r="H65" s="374">
        <f t="shared" si="0"/>
        <v>1.0071543015837938</v>
      </c>
    </row>
    <row r="66" spans="1:8" ht="26.25" customHeight="1" x14ac:dyDescent="0.4">
      <c r="A66" s="307" t="s">
        <v>100</v>
      </c>
      <c r="B66" s="308">
        <v>1</v>
      </c>
      <c r="C66" s="497"/>
      <c r="D66" s="500"/>
      <c r="E66" s="368">
        <v>3</v>
      </c>
      <c r="F66" s="320">
        <v>3987182</v>
      </c>
      <c r="G66" s="455">
        <f>IF(ISBLANK(F66),"-",(F66/$D$50*$D$47*$B$68)*($B$57/$D$64))</f>
        <v>80.665913934137762</v>
      </c>
      <c r="H66" s="374">
        <f t="shared" si="0"/>
        <v>1.0083239241767221</v>
      </c>
    </row>
    <row r="67" spans="1:8" ht="27" customHeight="1" x14ac:dyDescent="0.4">
      <c r="A67" s="307" t="s">
        <v>101</v>
      </c>
      <c r="B67" s="308">
        <v>1</v>
      </c>
      <c r="C67" s="507"/>
      <c r="D67" s="50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102</v>
      </c>
      <c r="B68" s="376">
        <f>(B67/B66)*(B65/B64)*(B63/B62)*(B61/B60)*B59</f>
        <v>2500</v>
      </c>
      <c r="C68" s="496" t="s">
        <v>103</v>
      </c>
      <c r="D68" s="499">
        <f>SULPHAMETHOXAZOLE!D68</f>
        <v>588.62</v>
      </c>
      <c r="E68" s="365">
        <v>1</v>
      </c>
      <c r="F68" s="366">
        <v>3855758</v>
      </c>
      <c r="G68" s="454">
        <f>IF(ISBLANK(F68),"-",(F68/$D$50*$D$47*$B$68)*($B$57/$D$68))</f>
        <v>81.556061465218704</v>
      </c>
      <c r="H68" s="369">
        <f t="shared" si="0"/>
        <v>1.0194507683152338</v>
      </c>
    </row>
    <row r="69" spans="1:8" ht="27" customHeight="1" x14ac:dyDescent="0.4">
      <c r="A69" s="355" t="s">
        <v>104</v>
      </c>
      <c r="B69" s="377">
        <f>(D47*B68)/B56*B57</f>
        <v>607.4855</v>
      </c>
      <c r="C69" s="497"/>
      <c r="D69" s="500"/>
      <c r="E69" s="368">
        <v>2</v>
      </c>
      <c r="F69" s="320">
        <v>3838683</v>
      </c>
      <c r="G69" s="455">
        <f>IF(ISBLANK(F69),"-",(F69/$D$50*$D$47*$B$68)*($B$57/$D$68))</f>
        <v>81.194895191422845</v>
      </c>
      <c r="H69" s="369">
        <f t="shared" si="0"/>
        <v>1.0149361898927856</v>
      </c>
    </row>
    <row r="70" spans="1:8" ht="26.25" customHeight="1" x14ac:dyDescent="0.4">
      <c r="A70" s="502" t="s">
        <v>77</v>
      </c>
      <c r="B70" s="503"/>
      <c r="C70" s="497"/>
      <c r="D70" s="500"/>
      <c r="E70" s="368">
        <v>3</v>
      </c>
      <c r="F70" s="320">
        <v>3860032</v>
      </c>
      <c r="G70" s="455">
        <f>IF(ISBLANK(F70),"-",(F70/$D$50*$D$47*$B$68)*($B$57/$D$68))</f>
        <v>81.646464080398999</v>
      </c>
      <c r="H70" s="369">
        <f t="shared" si="0"/>
        <v>1.0205808010049875</v>
      </c>
    </row>
    <row r="71" spans="1:8" ht="27" customHeight="1" x14ac:dyDescent="0.4">
      <c r="A71" s="504"/>
      <c r="B71" s="505"/>
      <c r="C71" s="498"/>
      <c r="D71" s="50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70</v>
      </c>
      <c r="G72" s="461">
        <f>AVERAGE(G60:G71)</f>
        <v>80.865458645882612</v>
      </c>
      <c r="H72" s="382">
        <f>AVERAGE(H60:H71)</f>
        <v>1.0108182330735327</v>
      </c>
    </row>
    <row r="73" spans="1:8" ht="26.25" customHeight="1" x14ac:dyDescent="0.4">
      <c r="C73" s="379"/>
      <c r="D73" s="379"/>
      <c r="E73" s="379"/>
      <c r="F73" s="383" t="s">
        <v>83</v>
      </c>
      <c r="G73" s="457">
        <f>STDEV(G60:G71)/G72</f>
        <v>6.4826178834234494E-3</v>
      </c>
      <c r="H73" s="457">
        <f>STDEV(H60:H71)/H72</f>
        <v>6.4826178834234572E-3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105</v>
      </c>
      <c r="B76" s="387" t="s">
        <v>106</v>
      </c>
      <c r="C76" s="483" t="str">
        <f>B20</f>
        <v xml:space="preserve"> Trimethoprim </v>
      </c>
      <c r="D76" s="483"/>
      <c r="E76" s="388" t="s">
        <v>107</v>
      </c>
      <c r="F76" s="388"/>
      <c r="G76" s="389">
        <f>H72</f>
        <v>1.0108182330735327</v>
      </c>
      <c r="H76" s="390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6" t="str">
        <f>B26</f>
        <v>Trimethoprim</v>
      </c>
      <c r="C79" s="506"/>
    </row>
    <row r="80" spans="1:8" ht="26.25" customHeight="1" x14ac:dyDescent="0.4">
      <c r="A80" s="292" t="s">
        <v>47</v>
      </c>
      <c r="B80" s="506" t="str">
        <f>B27</f>
        <v>T7 2</v>
      </c>
      <c r="C80" s="506"/>
    </row>
    <row r="81" spans="1:12" ht="27" customHeight="1" x14ac:dyDescent="0.4">
      <c r="A81" s="292" t="s">
        <v>6</v>
      </c>
      <c r="B81" s="391">
        <f>B28</f>
        <v>99.66</v>
      </c>
    </row>
    <row r="82" spans="1:12" s="14" customFormat="1" ht="27" customHeight="1" x14ac:dyDescent="0.4">
      <c r="A82" s="292" t="s">
        <v>48</v>
      </c>
      <c r="B82" s="294">
        <v>0</v>
      </c>
      <c r="C82" s="485" t="s">
        <v>49</v>
      </c>
      <c r="D82" s="486"/>
      <c r="E82" s="486"/>
      <c r="F82" s="486"/>
      <c r="G82" s="487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99.66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8" t="s">
        <v>110</v>
      </c>
      <c r="D84" s="489"/>
      <c r="E84" s="489"/>
      <c r="F84" s="489"/>
      <c r="G84" s="489"/>
      <c r="H84" s="490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8" t="s">
        <v>111</v>
      </c>
      <c r="D85" s="489"/>
      <c r="E85" s="489"/>
      <c r="F85" s="489"/>
      <c r="G85" s="489"/>
      <c r="H85" s="490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50</v>
      </c>
      <c r="D89" s="392" t="s">
        <v>58</v>
      </c>
      <c r="E89" s="393"/>
      <c r="F89" s="491" t="s">
        <v>59</v>
      </c>
      <c r="G89" s="492"/>
    </row>
    <row r="90" spans="1:12" ht="27" customHeight="1" x14ac:dyDescent="0.4">
      <c r="A90" s="307" t="s">
        <v>60</v>
      </c>
      <c r="B90" s="308">
        <v>2</v>
      </c>
      <c r="C90" s="394" t="s">
        <v>61</v>
      </c>
      <c r="D90" s="310" t="s">
        <v>62</v>
      </c>
      <c r="E90" s="311" t="s">
        <v>63</v>
      </c>
      <c r="F90" s="310" t="s">
        <v>62</v>
      </c>
      <c r="G90" s="395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20</v>
      </c>
      <c r="C91" s="396">
        <v>1</v>
      </c>
      <c r="D91" s="315">
        <v>3656240</v>
      </c>
      <c r="E91" s="316">
        <f>IF(ISBLANK(D91),"-",$D$101/$D$98*D91)</f>
        <v>4327908.1339874901</v>
      </c>
      <c r="F91" s="315">
        <v>4068657</v>
      </c>
      <c r="G91" s="317">
        <f>IF(ISBLANK(F91),"-",$D$101/$F$98*F91)</f>
        <v>4330456.2481410541</v>
      </c>
      <c r="I91" s="318"/>
    </row>
    <row r="92" spans="1:12" ht="26.25" customHeight="1" x14ac:dyDescent="0.4">
      <c r="A92" s="307" t="s">
        <v>66</v>
      </c>
      <c r="B92" s="308">
        <v>1</v>
      </c>
      <c r="C92" s="380">
        <v>2</v>
      </c>
      <c r="D92" s="320">
        <v>3633631</v>
      </c>
      <c r="E92" s="321">
        <f>IF(ISBLANK(D92),"-",$D$101/$D$98*D92)</f>
        <v>4301145.7565173777</v>
      </c>
      <c r="F92" s="320">
        <v>4088917</v>
      </c>
      <c r="G92" s="322">
        <f>IF(ISBLANK(F92),"-",$D$101/$F$98*F92)</f>
        <v>4352019.8853774536</v>
      </c>
      <c r="I92" s="493">
        <f>ABS((F96/D96*D95)-F95)/D95</f>
        <v>5.2608076760852079E-3</v>
      </c>
    </row>
    <row r="93" spans="1:12" ht="26.25" customHeight="1" x14ac:dyDescent="0.4">
      <c r="A93" s="307" t="s">
        <v>67</v>
      </c>
      <c r="B93" s="308">
        <v>1</v>
      </c>
      <c r="C93" s="380">
        <v>3</v>
      </c>
      <c r="D93" s="320">
        <v>3652486</v>
      </c>
      <c r="E93" s="321">
        <f>IF(ISBLANK(D93),"-",$D$101/$D$98*D93)</f>
        <v>4323464.5068910774</v>
      </c>
      <c r="F93" s="320">
        <v>4069461</v>
      </c>
      <c r="G93" s="322">
        <f>IF(ISBLANK(F93),"-",$D$101/$F$98*F93)</f>
        <v>4331311.9818201298</v>
      </c>
      <c r="I93" s="493"/>
    </row>
    <row r="94" spans="1:12" ht="27" customHeight="1" x14ac:dyDescent="0.4">
      <c r="A94" s="307" t="s">
        <v>68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399" t="s">
        <v>70</v>
      </c>
      <c r="D95" s="400">
        <f>AVERAGE(D91:D94)</f>
        <v>3647452.3333333335</v>
      </c>
      <c r="E95" s="331">
        <f>AVERAGE(E91:E94)</f>
        <v>4317506.1324653151</v>
      </c>
      <c r="F95" s="401">
        <f>AVERAGE(F91:F94)</f>
        <v>4075678.3333333335</v>
      </c>
      <c r="G95" s="402">
        <f>AVERAGE(G91:G94)</f>
        <v>4337929.3717795461</v>
      </c>
    </row>
    <row r="96" spans="1:12" ht="26.25" customHeight="1" x14ac:dyDescent="0.4">
      <c r="A96" s="307" t="s">
        <v>71</v>
      </c>
      <c r="B96" s="293">
        <v>1</v>
      </c>
      <c r="C96" s="403" t="s">
        <v>112</v>
      </c>
      <c r="D96" s="404">
        <v>15.07</v>
      </c>
      <c r="E96" s="323"/>
      <c r="F96" s="335">
        <v>16.760000000000002</v>
      </c>
    </row>
    <row r="97" spans="1:10" ht="26.25" customHeight="1" x14ac:dyDescent="0.4">
      <c r="A97" s="307" t="s">
        <v>73</v>
      </c>
      <c r="B97" s="293">
        <v>1</v>
      </c>
      <c r="C97" s="405" t="s">
        <v>113</v>
      </c>
      <c r="D97" s="406">
        <f>D96*$B$87</f>
        <v>15.07</v>
      </c>
      <c r="E97" s="338"/>
      <c r="F97" s="337">
        <f>F96*$B$87</f>
        <v>16.760000000000002</v>
      </c>
    </row>
    <row r="98" spans="1:10" ht="19.5" customHeight="1" x14ac:dyDescent="0.3">
      <c r="A98" s="307" t="s">
        <v>75</v>
      </c>
      <c r="B98" s="407">
        <f>(B97/B96)*(B95/B94)*(B93/B92)*(B91/B90)*B89</f>
        <v>500</v>
      </c>
      <c r="C98" s="405" t="s">
        <v>114</v>
      </c>
      <c r="D98" s="408">
        <f>D97*$B$83/100</f>
        <v>15.018761999999999</v>
      </c>
      <c r="E98" s="341"/>
      <c r="F98" s="340">
        <f>F97*$B$83/100</f>
        <v>16.703016000000002</v>
      </c>
    </row>
    <row r="99" spans="1:10" ht="19.5" customHeight="1" x14ac:dyDescent="0.3">
      <c r="A99" s="479" t="s">
        <v>77</v>
      </c>
      <c r="B99" s="494"/>
      <c r="C99" s="405" t="s">
        <v>115</v>
      </c>
      <c r="D99" s="409">
        <f>D98/$B$98</f>
        <v>3.0037523999999996E-2</v>
      </c>
      <c r="E99" s="341"/>
      <c r="F99" s="344">
        <f>F98/$B$98</f>
        <v>3.3406032000000002E-2</v>
      </c>
      <c r="G99" s="410"/>
      <c r="H99" s="333"/>
    </row>
    <row r="100" spans="1:10" ht="19.5" customHeight="1" x14ac:dyDescent="0.3">
      <c r="A100" s="481"/>
      <c r="B100" s="495"/>
      <c r="C100" s="405" t="s">
        <v>79</v>
      </c>
      <c r="D100" s="411">
        <f>$B$56/$B$116</f>
        <v>3.5555555555555556E-2</v>
      </c>
      <c r="F100" s="349"/>
      <c r="G100" s="412"/>
      <c r="H100" s="333"/>
    </row>
    <row r="101" spans="1:10" ht="18.75" x14ac:dyDescent="0.3">
      <c r="C101" s="405" t="s">
        <v>80</v>
      </c>
      <c r="D101" s="406">
        <f>D100*$B$98</f>
        <v>17.777777777777779</v>
      </c>
      <c r="F101" s="349"/>
      <c r="G101" s="410"/>
      <c r="H101" s="333"/>
    </row>
    <row r="102" spans="1:10" ht="19.5" customHeight="1" x14ac:dyDescent="0.3">
      <c r="C102" s="413" t="s">
        <v>81</v>
      </c>
      <c r="D102" s="414">
        <f>D101/B34</f>
        <v>17.777777777777779</v>
      </c>
      <c r="F102" s="353"/>
      <c r="G102" s="410"/>
      <c r="H102" s="333"/>
      <c r="J102" s="415"/>
    </row>
    <row r="103" spans="1:10" ht="18.75" x14ac:dyDescent="0.3">
      <c r="C103" s="416" t="s">
        <v>116</v>
      </c>
      <c r="D103" s="417">
        <f>AVERAGE(E91:E94,G91:G94)</f>
        <v>4327717.7521224292</v>
      </c>
      <c r="F103" s="353"/>
      <c r="G103" s="418"/>
      <c r="H103" s="333"/>
      <c r="J103" s="419"/>
    </row>
    <row r="104" spans="1:10" ht="18.75" x14ac:dyDescent="0.3">
      <c r="C104" s="383" t="s">
        <v>83</v>
      </c>
      <c r="D104" s="420">
        <f>STDEV(E91:E94,G91:G94)/D103</f>
        <v>3.775988517709431E-3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2" t="s">
        <v>118</v>
      </c>
      <c r="D107" s="423" t="s">
        <v>62</v>
      </c>
      <c r="E107" s="424" t="s">
        <v>119</v>
      </c>
      <c r="F107" s="425" t="s">
        <v>120</v>
      </c>
    </row>
    <row r="108" spans="1:10" ht="26.25" customHeight="1" x14ac:dyDescent="0.4">
      <c r="A108" s="307" t="s">
        <v>121</v>
      </c>
      <c r="B108" s="308">
        <v>4</v>
      </c>
      <c r="C108" s="426">
        <v>1</v>
      </c>
      <c r="D108" s="427">
        <v>4541737</v>
      </c>
      <c r="E108" s="458">
        <f t="shared" ref="E108:E113" si="1">IF(ISBLANK(D108),"-",D108/$D$103*$D$100*$B$116)</f>
        <v>83.956251495793339</v>
      </c>
      <c r="F108" s="428">
        <f t="shared" ref="F108:F113" si="2">IF(ISBLANK(D108), "-", E108/$B$56)</f>
        <v>1.0494531436974168</v>
      </c>
    </row>
    <row r="109" spans="1:10" ht="26.25" customHeight="1" x14ac:dyDescent="0.4">
      <c r="A109" s="307" t="s">
        <v>94</v>
      </c>
      <c r="B109" s="308">
        <v>10</v>
      </c>
      <c r="C109" s="426">
        <v>2</v>
      </c>
      <c r="D109" s="427">
        <v>4372221</v>
      </c>
      <c r="E109" s="459">
        <f t="shared" si="1"/>
        <v>80.822664516062687</v>
      </c>
      <c r="F109" s="429">
        <f t="shared" si="2"/>
        <v>1.0102833064507837</v>
      </c>
    </row>
    <row r="110" spans="1:10" ht="26.25" customHeight="1" x14ac:dyDescent="0.4">
      <c r="A110" s="307" t="s">
        <v>95</v>
      </c>
      <c r="B110" s="308">
        <v>1</v>
      </c>
      <c r="C110" s="426">
        <v>3</v>
      </c>
      <c r="D110" s="427">
        <v>4571876</v>
      </c>
      <c r="E110" s="459">
        <f t="shared" si="1"/>
        <v>84.513385795694816</v>
      </c>
      <c r="F110" s="429">
        <f t="shared" si="2"/>
        <v>1.0564173224461852</v>
      </c>
    </row>
    <row r="111" spans="1:10" ht="26.25" customHeight="1" x14ac:dyDescent="0.4">
      <c r="A111" s="307" t="s">
        <v>96</v>
      </c>
      <c r="B111" s="308">
        <v>1</v>
      </c>
      <c r="C111" s="426">
        <v>4</v>
      </c>
      <c r="D111" s="427">
        <v>4061801</v>
      </c>
      <c r="E111" s="459">
        <f t="shared" si="1"/>
        <v>75.084397507355632</v>
      </c>
      <c r="F111" s="429">
        <f t="shared" si="2"/>
        <v>0.93855496884194545</v>
      </c>
    </row>
    <row r="112" spans="1:10" ht="26.25" customHeight="1" x14ac:dyDescent="0.4">
      <c r="A112" s="307" t="s">
        <v>97</v>
      </c>
      <c r="B112" s="308">
        <v>1</v>
      </c>
      <c r="C112" s="426">
        <v>5</v>
      </c>
      <c r="D112" s="427">
        <v>4328247</v>
      </c>
      <c r="E112" s="459">
        <f t="shared" si="1"/>
        <v>80.009783408399258</v>
      </c>
      <c r="F112" s="429">
        <f t="shared" si="2"/>
        <v>1.0001222926049906</v>
      </c>
    </row>
    <row r="113" spans="1:10" ht="26.25" customHeight="1" x14ac:dyDescent="0.4">
      <c r="A113" s="307" t="s">
        <v>99</v>
      </c>
      <c r="B113" s="308">
        <v>1</v>
      </c>
      <c r="C113" s="430">
        <v>6</v>
      </c>
      <c r="D113" s="431">
        <v>4282878</v>
      </c>
      <c r="E113" s="460">
        <f t="shared" si="1"/>
        <v>79.171115036780051</v>
      </c>
      <c r="F113" s="432">
        <f t="shared" si="2"/>
        <v>0.98963893795975066</v>
      </c>
    </row>
    <row r="114" spans="1:10" ht="26.25" customHeight="1" x14ac:dyDescent="0.4">
      <c r="A114" s="307" t="s">
        <v>100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101</v>
      </c>
      <c r="B115" s="308">
        <v>1</v>
      </c>
      <c r="C115" s="426"/>
      <c r="D115" s="434" t="s">
        <v>70</v>
      </c>
      <c r="E115" s="462">
        <f>AVERAGE(E108:E113)</f>
        <v>80.592932960014295</v>
      </c>
      <c r="F115" s="435">
        <f>AVERAGE(F108:F113)</f>
        <v>1.0074116620001787</v>
      </c>
    </row>
    <row r="116" spans="1:10" ht="27" customHeight="1" x14ac:dyDescent="0.4">
      <c r="A116" s="307" t="s">
        <v>102</v>
      </c>
      <c r="B116" s="339">
        <f>(B115/B114)*(B113/B112)*(B111/B110)*(B109/B108)*B107</f>
        <v>2250</v>
      </c>
      <c r="C116" s="436"/>
      <c r="D116" s="399" t="s">
        <v>83</v>
      </c>
      <c r="E116" s="437">
        <f>STDEV(E108:E113)/E115</f>
        <v>4.2781723961365058E-2</v>
      </c>
      <c r="F116" s="437">
        <f>STDEV(F108:F113)/F115</f>
        <v>4.2781723961365078E-2</v>
      </c>
      <c r="I116" s="281"/>
    </row>
    <row r="117" spans="1:10" ht="27" customHeight="1" x14ac:dyDescent="0.4">
      <c r="A117" s="479" t="s">
        <v>77</v>
      </c>
      <c r="B117" s="480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81"/>
      <c r="B118" s="482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105</v>
      </c>
      <c r="B120" s="387" t="s">
        <v>122</v>
      </c>
      <c r="C120" s="483" t="str">
        <f>B20</f>
        <v xml:space="preserve"> Trimethoprim </v>
      </c>
      <c r="D120" s="483"/>
      <c r="E120" s="388" t="s">
        <v>123</v>
      </c>
      <c r="F120" s="388"/>
      <c r="G120" s="389">
        <f>F115</f>
        <v>1.0074116620001787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484" t="s">
        <v>25</v>
      </c>
      <c r="C122" s="484"/>
      <c r="E122" s="394" t="s">
        <v>26</v>
      </c>
      <c r="F122" s="443"/>
      <c r="G122" s="484" t="s">
        <v>27</v>
      </c>
      <c r="H122" s="484"/>
    </row>
    <row r="123" spans="1:10" ht="69.95" customHeight="1" x14ac:dyDescent="0.3">
      <c r="A123" s="444" t="s">
        <v>28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29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SULPHAMETHOXAZOLE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2016-01-19T12:08:25Z</dcterms:modified>
</cp:coreProperties>
</file>