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F98" i="4"/>
  <c r="G94" i="4" s="1"/>
  <c r="D97" i="4"/>
  <c r="D98" i="4" s="1"/>
  <c r="D101" i="3"/>
  <c r="I92" i="3"/>
  <c r="F98" i="3"/>
  <c r="G92" i="3" s="1"/>
  <c r="I39" i="4"/>
  <c r="D49" i="4"/>
  <c r="D45" i="4"/>
  <c r="E39" i="4" s="1"/>
  <c r="I39" i="3"/>
  <c r="D102" i="3"/>
  <c r="D49" i="3"/>
  <c r="D45" i="3"/>
  <c r="E38" i="3" s="1"/>
  <c r="D98" i="3"/>
  <c r="E92" i="3" s="1"/>
  <c r="E38" i="4"/>
  <c r="D34" i="2"/>
  <c r="D27" i="2"/>
  <c r="D31" i="2"/>
  <c r="D35" i="2"/>
  <c r="D39" i="2"/>
  <c r="D43" i="2"/>
  <c r="C49" i="2"/>
  <c r="F44" i="3"/>
  <c r="F45" i="3" s="1"/>
  <c r="F44" i="4"/>
  <c r="F45" i="4" s="1"/>
  <c r="G38" i="4" s="1"/>
  <c r="D24" i="2"/>
  <c r="D28" i="2"/>
  <c r="D32" i="2"/>
  <c r="D36" i="2"/>
  <c r="D40" i="2"/>
  <c r="D49" i="2"/>
  <c r="E41" i="3"/>
  <c r="B57" i="3"/>
  <c r="B69" i="3" s="1"/>
  <c r="G94" i="3"/>
  <c r="B57" i="4"/>
  <c r="B69" i="4" s="1"/>
  <c r="C50" i="2"/>
  <c r="D26" i="2"/>
  <c r="D30" i="2"/>
  <c r="D38" i="2"/>
  <c r="D42" i="2"/>
  <c r="B49" i="2"/>
  <c r="G91" i="4" l="1"/>
  <c r="F99" i="4"/>
  <c r="G92" i="4"/>
  <c r="E94" i="4"/>
  <c r="E92" i="4"/>
  <c r="G93" i="4"/>
  <c r="F99" i="3"/>
  <c r="G91" i="3"/>
  <c r="G93" i="3"/>
  <c r="G95" i="3" s="1"/>
  <c r="G39" i="4"/>
  <c r="E40" i="4"/>
  <c r="D46" i="4"/>
  <c r="E41" i="4"/>
  <c r="E91" i="4"/>
  <c r="G40" i="4"/>
  <c r="E40" i="3"/>
  <c r="E39" i="3"/>
  <c r="D46" i="3"/>
  <c r="G41" i="3"/>
  <c r="F46" i="3"/>
  <c r="D99" i="3"/>
  <c r="E93" i="3"/>
  <c r="G40" i="3"/>
  <c r="E42" i="3"/>
  <c r="G38" i="3"/>
  <c r="G39" i="3"/>
  <c r="E94" i="3"/>
  <c r="D99" i="4"/>
  <c r="E93" i="4"/>
  <c r="E91" i="3"/>
  <c r="G41" i="4"/>
  <c r="F46" i="4"/>
  <c r="G95" i="4" l="1"/>
  <c r="D103" i="4"/>
  <c r="E113" i="4" s="1"/>
  <c r="F113" i="4" s="1"/>
  <c r="E95" i="4"/>
  <c r="D52" i="4"/>
  <c r="E42" i="4"/>
  <c r="D50" i="4"/>
  <c r="G71" i="4" s="1"/>
  <c r="H71" i="4" s="1"/>
  <c r="G42" i="4"/>
  <c r="D105" i="4"/>
  <c r="D50" i="3"/>
  <c r="G66" i="3" s="1"/>
  <c r="H66" i="3" s="1"/>
  <c r="G42" i="3"/>
  <c r="D52" i="3"/>
  <c r="E95" i="3"/>
  <c r="D105" i="3"/>
  <c r="D103" i="3"/>
  <c r="D104" i="4" l="1"/>
  <c r="E110" i="4"/>
  <c r="F110" i="4" s="1"/>
  <c r="E111" i="4"/>
  <c r="F111" i="4" s="1"/>
  <c r="E112" i="4"/>
  <c r="F112" i="4" s="1"/>
  <c r="E108" i="4"/>
  <c r="F108" i="4" s="1"/>
  <c r="E109" i="4"/>
  <c r="F109" i="4" s="1"/>
  <c r="G65" i="4"/>
  <c r="H65" i="4" s="1"/>
  <c r="G70" i="4"/>
  <c r="H70" i="4" s="1"/>
  <c r="G66" i="4"/>
  <c r="H66" i="4" s="1"/>
  <c r="G61" i="4"/>
  <c r="H61" i="4" s="1"/>
  <c r="G63" i="4"/>
  <c r="H63" i="4" s="1"/>
  <c r="G60" i="4"/>
  <c r="H60" i="4" s="1"/>
  <c r="G64" i="4"/>
  <c r="H64" i="4" s="1"/>
  <c r="D51" i="4"/>
  <c r="G68" i="4"/>
  <c r="H68" i="4" s="1"/>
  <c r="G69" i="4"/>
  <c r="H69" i="4" s="1"/>
  <c r="G67" i="4"/>
  <c r="H67" i="4" s="1"/>
  <c r="G62" i="4"/>
  <c r="H62" i="4" s="1"/>
  <c r="G67" i="3"/>
  <c r="H67" i="3" s="1"/>
  <c r="G60" i="3"/>
  <c r="G62" i="3"/>
  <c r="H62" i="3" s="1"/>
  <c r="G65" i="3"/>
  <c r="H65" i="3" s="1"/>
  <c r="G69" i="3"/>
  <c r="H69" i="3" s="1"/>
  <c r="G61" i="3"/>
  <c r="H61" i="3" s="1"/>
  <c r="G70" i="3"/>
  <c r="H70" i="3" s="1"/>
  <c r="G64" i="3"/>
  <c r="H64" i="3" s="1"/>
  <c r="G68" i="3"/>
  <c r="H68" i="3" s="1"/>
  <c r="G71" i="3"/>
  <c r="H71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E115" i="4" l="1"/>
  <c r="E116" i="4" s="1"/>
  <c r="E117" i="4"/>
  <c r="G74" i="4"/>
  <c r="G72" i="4"/>
  <c r="G73" i="4" s="1"/>
  <c r="G74" i="3"/>
  <c r="G72" i="3"/>
  <c r="G73" i="3" s="1"/>
  <c r="H74" i="4"/>
  <c r="H72" i="4"/>
  <c r="E115" i="3"/>
  <c r="E116" i="3" s="1"/>
  <c r="E117" i="3"/>
  <c r="F108" i="3"/>
  <c r="F117" i="4"/>
  <c r="F115" i="4"/>
  <c r="H74" i="3"/>
  <c r="H72" i="3"/>
  <c r="G120" i="4" l="1"/>
  <c r="F116" i="4"/>
  <c r="G76" i="4"/>
  <c r="H73" i="4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<sst xmlns="http://schemas.openxmlformats.org/spreadsheetml/2006/main" count="438" uniqueCount="132">
  <si>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</si>
  <si>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</si>
  <si>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</si>
  <si>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</si>
  <si>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</si>
  <si>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</si>
  <si>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</si>
  <si>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NDQA201509397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</si>
  <si>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</si>
  <si>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</si>
  <si>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</si>
  <si>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</si>
  <si>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2015-10-02 12:22:45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</si>
  <si>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</si>
  <si>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</si>
  <si>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</si>
  <si>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</si>
  <si>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</si>
  <si>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</si>
  <si>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</si>
  <si>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</si>
  <si>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</si>
  <si>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</si>
  <si>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</si>
  <si>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</si>
  <si>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</si>
  <si>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</si>
  <si>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</si>
  <si>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</si>
  <si>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</si>
  <si>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</si>
  <si>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</si>
  <si>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</si>
  <si>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</si>
  <si>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</si>
  <si>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</si>
  <si>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</si>
  <si>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</si>
  <si>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</si>
  <si>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</si>
  <si>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</si>
  <si>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</si>
  <si>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</si>
  <si>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</si>
  <si>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</si>
  <si>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</si>
  <si>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</si>
  <si>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</si>
  <si>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</si>
  <si>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</si>
  <si>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</si>
  <si>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</si>
  <si>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</si>
  <si>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</si>
  <si>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</si>
  <si>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</si>
  <si>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</si>
  <si>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</si>
  <si>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</si>
  <si>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</si>
  <si>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</si>
  <si>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</si>
  <si>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</si>
  <si>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</si>
  <si>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</si>
  <si>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</si>
  <si>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</si>
  <si>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</si>
  <si>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</si>
  <si>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</si>
  <si>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</si>
  <si>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</si>
  <si>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</si>
  <si>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</si>
  <si>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</si>
  <si>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</si>
  <si>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</si>
  <si>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</si>
  <si>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</si>
  <si>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</si>
  <si>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</si>
  <si>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</si>
  <si>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</si>
  <si>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</si>
  <si>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</si>
  <si>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</si>
  <si>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</si>
  <si>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</si>
  <si>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</si>
  <si>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</si>
  <si>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</si>
  <si>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</si>
  <si>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</si>
  <si>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</si>
  <si>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</si>
  <si>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</si>
  <si>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</si>
  <si>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</si>
  <si>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</si>
  <si>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</si>
  <si>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</si>
  <si>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</si>
  <si>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</si>
  <si>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</si>
  <si>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</si>
  <si>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</si>
  <si>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</si>
  <si>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</si>
  <si>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</si>
  <si>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</si>
  <si>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</si>
  <si>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</si>
  <si>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</si>
  <si>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</si>
  <si>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</si>
  <si>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</si>
  <si>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</si>
  <si>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</si>
  <si>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</si>
  <si>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</si>
  <si>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</si>
  <si>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</si>
  <si>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</si>
  <si>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</si>
  <si>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</si>
  <si>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</si>
  <si>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 12 4</t>
  </si>
  <si>
    <t>Sulphamethoxazole 800 mg</t>
  </si>
  <si>
    <t>T14 9</t>
  </si>
  <si>
    <t xml:space="preserve"> Trimethoprim 160 mg</t>
  </si>
  <si>
    <t>Sulfran DS Tablets</t>
  </si>
  <si>
    <t>2015-10-02 10:44:06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</si>
</sst>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2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E38" sqref="E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5" t="s">
        <v>5</v>
      </c>
      <c r="D17" s="8"/>
      <c r="E17" s="9"/>
    </row>
    <row r="18" spans="1:6" ht="16.5" customHeight="1" x14ac:dyDescent="0.3">
      <c r="A18" s="10" t="s">
        <v>4</v>
      </c>
      <c r="B18" s="456" t="s">
        <v>124</v>
      </c>
      <c r="C18" s="9"/>
      <c r="D18" s="9"/>
      <c r="E18" s="9"/>
    </row>
    <row r="19" spans="1:6" ht="16.5" customHeight="1" x14ac:dyDescent="0.3">
      <c r="A19" s="10" t="s">
        <v>6</v>
      </c>
      <c r="B19" s="457">
        <v>99.65</v>
      </c>
      <c r="C19" s="9"/>
      <c r="D19" s="9"/>
      <c r="E19" s="9"/>
    </row>
    <row r="20" spans="1:6" ht="16.5" customHeight="1" x14ac:dyDescent="0.3">
      <c r="A20" s="7" t="s">
        <v>8</v>
      </c>
      <c r="B20" s="457">
        <v>20.49</v>
      </c>
      <c r="C20" s="9"/>
      <c r="D20" s="9"/>
      <c r="E20" s="9"/>
    </row>
    <row r="21" spans="1:6" ht="16.5" customHeight="1" x14ac:dyDescent="0.3">
      <c r="A21" s="7" t="s">
        <v>10</v>
      </c>
      <c r="B21" s="458">
        <f>B20/25*10/50</f>
        <v>0.16391999999999995</v>
      </c>
      <c r="C21" s="9"/>
      <c r="D21" s="9"/>
      <c r="E21" s="9"/>
    </row>
    <row r="22" spans="1:6" ht="15.75" customHeight="1" x14ac:dyDescent="0.25">
      <c r="A22" s="9"/>
      <c r="B22" s="9" t="s">
        <v>12</v>
      </c>
      <c r="C22" s="9"/>
      <c r="D22" s="9"/>
      <c r="E22" s="9"/>
    </row>
    <row r="23" spans="1:6" ht="16.5" customHeight="1" x14ac:dyDescent="0.3">
      <c r="A23" s="11" t="s">
        <v>13</v>
      </c>
      <c r="B23" s="12" t="s">
        <v>14</v>
      </c>
      <c r="C23" s="11" t="s">
        <v>15</v>
      </c>
      <c r="D23" s="11" t="s">
        <v>16</v>
      </c>
      <c r="E23" s="13" t="s">
        <v>17</v>
      </c>
    </row>
    <row r="24" spans="1:6" ht="16.5" customHeight="1" x14ac:dyDescent="0.3">
      <c r="A24" s="14">
        <v>1</v>
      </c>
      <c r="B24" s="459">
        <v>128878758</v>
      </c>
      <c r="C24" s="459">
        <v>11212.5</v>
      </c>
      <c r="D24" s="460">
        <v>1</v>
      </c>
      <c r="E24" s="461">
        <v>7.8</v>
      </c>
    </row>
    <row r="25" spans="1:6" ht="16.5" customHeight="1" x14ac:dyDescent="0.3">
      <c r="A25" s="14">
        <v>2</v>
      </c>
      <c r="B25" s="459">
        <v>129078980</v>
      </c>
      <c r="C25" s="459">
        <v>11206.3</v>
      </c>
      <c r="D25" s="460">
        <v>1</v>
      </c>
      <c r="E25" s="460">
        <v>7.8</v>
      </c>
    </row>
    <row r="26" spans="1:6" ht="16.5" customHeight="1" x14ac:dyDescent="0.3">
      <c r="A26" s="14">
        <v>3</v>
      </c>
      <c r="B26" s="459">
        <v>129419325</v>
      </c>
      <c r="C26" s="459">
        <v>11213.7</v>
      </c>
      <c r="D26" s="460">
        <v>1</v>
      </c>
      <c r="E26" s="460">
        <v>7.8</v>
      </c>
    </row>
    <row r="27" spans="1:6" ht="16.5" customHeight="1" x14ac:dyDescent="0.3">
      <c r="A27" s="14">
        <v>4</v>
      </c>
      <c r="B27" s="459">
        <v>129453116</v>
      </c>
      <c r="C27" s="459">
        <v>11225.3</v>
      </c>
      <c r="D27" s="460">
        <v>1</v>
      </c>
      <c r="E27" s="460">
        <v>7.8</v>
      </c>
    </row>
    <row r="28" spans="1:6" ht="16.5" customHeight="1" x14ac:dyDescent="0.3">
      <c r="A28" s="14">
        <v>5</v>
      </c>
      <c r="B28" s="459">
        <v>129436794</v>
      </c>
      <c r="C28" s="459">
        <v>11227</v>
      </c>
      <c r="D28" s="460">
        <v>1</v>
      </c>
      <c r="E28" s="460">
        <v>7.8</v>
      </c>
    </row>
    <row r="29" spans="1:6" ht="16.5" customHeight="1" x14ac:dyDescent="0.3">
      <c r="A29" s="14">
        <v>6</v>
      </c>
      <c r="B29" s="462">
        <v>129462891</v>
      </c>
      <c r="C29" s="462">
        <v>11223.9</v>
      </c>
      <c r="D29" s="463">
        <v>1</v>
      </c>
      <c r="E29" s="463">
        <v>7.8</v>
      </c>
    </row>
    <row r="30" spans="1:6" ht="16.5" customHeight="1" x14ac:dyDescent="0.3">
      <c r="A30" s="15" t="s">
        <v>18</v>
      </c>
      <c r="B30" s="16">
        <f>AVERAGE(B24:B29)</f>
        <v>129288310.66666667</v>
      </c>
      <c r="C30" s="17">
        <f>AVERAGE(C24:C29)</f>
        <v>11218.116666666667</v>
      </c>
      <c r="D30" s="18">
        <f>AVERAGE(D24:D29)</f>
        <v>1</v>
      </c>
      <c r="E30" s="18">
        <f>AVERAGE(E24:E29)</f>
        <v>7.8</v>
      </c>
    </row>
    <row r="31" spans="1:6" ht="16.5" customHeight="1" x14ac:dyDescent="0.3">
      <c r="A31" s="19" t="s">
        <v>19</v>
      </c>
      <c r="B31" s="20">
        <f>(STDEV(B24:B29)/B30)</f>
        <v>1.9209481404733305E-3</v>
      </c>
      <c r="C31" s="21"/>
      <c r="D31" s="21"/>
      <c r="E31" s="22"/>
      <c r="F31" s="2"/>
    </row>
    <row r="32" spans="1:6" s="2" customFormat="1" ht="16.5" customHeight="1" x14ac:dyDescent="0.3">
      <c r="A32" s="23" t="s">
        <v>20</v>
      </c>
      <c r="B32" s="24">
        <f>COUNT(B24:B29)</f>
        <v>6</v>
      </c>
      <c r="C32" s="25"/>
      <c r="D32" s="26"/>
      <c r="E32" s="27"/>
    </row>
    <row r="33" spans="1:6" s="2" customFormat="1" ht="15.75" customHeight="1" x14ac:dyDescent="0.25">
      <c r="A33" s="9"/>
      <c r="B33" s="9"/>
      <c r="C33" s="9"/>
      <c r="D33" s="9"/>
      <c r="E33" s="28"/>
    </row>
    <row r="34" spans="1:6" s="2" customFormat="1" ht="16.5" customHeight="1" x14ac:dyDescent="0.3">
      <c r="A34" s="10" t="s">
        <v>21</v>
      </c>
      <c r="B34" s="29" t="s">
        <v>22</v>
      </c>
      <c r="C34" s="30"/>
      <c r="D34" s="30"/>
      <c r="E34" s="31"/>
    </row>
    <row r="35" spans="1:6" ht="16.5" customHeight="1" x14ac:dyDescent="0.3">
      <c r="A35" s="10"/>
      <c r="B35" s="29" t="s">
        <v>23</v>
      </c>
      <c r="C35" s="30"/>
      <c r="D35" s="30"/>
      <c r="E35" s="31"/>
      <c r="F35" s="2"/>
    </row>
    <row r="36" spans="1:6" ht="16.5" customHeight="1" x14ac:dyDescent="0.3">
      <c r="A36" s="10"/>
      <c r="B36" s="32" t="s">
        <v>24</v>
      </c>
      <c r="C36" s="30"/>
      <c r="D36" s="30"/>
      <c r="E36" s="30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0" t="s">
        <v>4</v>
      </c>
      <c r="B39" s="455" t="s">
        <v>125</v>
      </c>
      <c r="C39" s="9"/>
      <c r="D39" s="9"/>
      <c r="E39" s="9"/>
    </row>
    <row r="40" spans="1:6" ht="16.5" customHeight="1" x14ac:dyDescent="0.3">
      <c r="A40" s="10" t="s">
        <v>6</v>
      </c>
      <c r="B40" s="457">
        <v>99.3</v>
      </c>
      <c r="C40" s="9"/>
      <c r="D40" s="9"/>
      <c r="E40" s="9"/>
    </row>
    <row r="41" spans="1:6" ht="16.5" customHeight="1" x14ac:dyDescent="0.3">
      <c r="A41" s="7" t="s">
        <v>8</v>
      </c>
      <c r="B41" s="457">
        <v>26.55</v>
      </c>
      <c r="C41" s="9"/>
      <c r="D41" s="9"/>
      <c r="E41" s="9"/>
    </row>
    <row r="42" spans="1:6" ht="16.5" customHeight="1" x14ac:dyDescent="0.3">
      <c r="A42" s="7" t="s">
        <v>10</v>
      </c>
      <c r="B42" s="458">
        <f>B41/25*2/50</f>
        <v>4.2480000000000004E-2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1" t="s">
        <v>13</v>
      </c>
      <c r="B44" s="12" t="s">
        <v>14</v>
      </c>
      <c r="C44" s="11" t="s">
        <v>15</v>
      </c>
      <c r="D44" s="11" t="s">
        <v>16</v>
      </c>
      <c r="E44" s="13" t="s">
        <v>17</v>
      </c>
    </row>
    <row r="45" spans="1:6" ht="16.5" customHeight="1" x14ac:dyDescent="0.3">
      <c r="A45" s="14">
        <v>1</v>
      </c>
      <c r="B45" s="459">
        <v>12754878</v>
      </c>
      <c r="C45" s="459">
        <v>8286.1</v>
      </c>
      <c r="D45" s="460">
        <v>1.1000000000000001</v>
      </c>
      <c r="E45" s="461">
        <v>4.0999999999999996</v>
      </c>
    </row>
    <row r="46" spans="1:6" ht="16.5" customHeight="1" x14ac:dyDescent="0.3">
      <c r="A46" s="14">
        <v>2</v>
      </c>
      <c r="B46" s="459">
        <v>12768826</v>
      </c>
      <c r="C46" s="459">
        <v>8355.2000000000007</v>
      </c>
      <c r="D46" s="460">
        <v>1.1000000000000001</v>
      </c>
      <c r="E46" s="460">
        <v>4.0999999999999996</v>
      </c>
    </row>
    <row r="47" spans="1:6" ht="16.5" customHeight="1" x14ac:dyDescent="0.3">
      <c r="A47" s="14">
        <v>3</v>
      </c>
      <c r="B47" s="459">
        <v>12797469</v>
      </c>
      <c r="C47" s="459">
        <v>8279.5</v>
      </c>
      <c r="D47" s="460">
        <v>1.1000000000000001</v>
      </c>
      <c r="E47" s="460">
        <v>4.0999999999999996</v>
      </c>
    </row>
    <row r="48" spans="1:6" ht="16.5" customHeight="1" x14ac:dyDescent="0.3">
      <c r="A48" s="14">
        <v>4</v>
      </c>
      <c r="B48" s="459">
        <v>12804055</v>
      </c>
      <c r="C48" s="459">
        <v>8362</v>
      </c>
      <c r="D48" s="460">
        <v>1.2</v>
      </c>
      <c r="E48" s="460">
        <v>4.0999999999999996</v>
      </c>
    </row>
    <row r="49" spans="1:7" ht="16.5" customHeight="1" x14ac:dyDescent="0.3">
      <c r="A49" s="14">
        <v>5</v>
      </c>
      <c r="B49" s="459">
        <v>12796383</v>
      </c>
      <c r="C49" s="459">
        <v>8284.2999999999993</v>
      </c>
      <c r="D49" s="460">
        <v>1.1000000000000001</v>
      </c>
      <c r="E49" s="460">
        <v>4.0999999999999996</v>
      </c>
    </row>
    <row r="50" spans="1:7" ht="16.5" customHeight="1" x14ac:dyDescent="0.3">
      <c r="A50" s="14">
        <v>6</v>
      </c>
      <c r="B50" s="462">
        <v>12795080</v>
      </c>
      <c r="C50" s="462">
        <v>8298.2000000000007</v>
      </c>
      <c r="D50" s="463">
        <v>1.1000000000000001</v>
      </c>
      <c r="E50" s="463">
        <v>4.0999999999999996</v>
      </c>
    </row>
    <row r="51" spans="1:7" ht="16.5" customHeight="1" x14ac:dyDescent="0.3">
      <c r="A51" s="15" t="s">
        <v>18</v>
      </c>
      <c r="B51" s="16">
        <f>AVERAGE(B45:B50)</f>
        <v>12786115.166666666</v>
      </c>
      <c r="C51" s="17">
        <f>AVERAGE(C45:C50)</f>
        <v>8310.8833333333332</v>
      </c>
      <c r="D51" s="18">
        <f>AVERAGE(D45:D50)</f>
        <v>1.1166666666666665</v>
      </c>
      <c r="E51" s="18">
        <f>AVERAGE(E45:E50)</f>
        <v>4.1000000000000005</v>
      </c>
    </row>
    <row r="52" spans="1:7" ht="16.5" customHeight="1" x14ac:dyDescent="0.3">
      <c r="A52" s="19" t="s">
        <v>19</v>
      </c>
      <c r="B52" s="20">
        <f>(STDEV(B45:B50)/B51)</f>
        <v>1.5290852093817445E-3</v>
      </c>
      <c r="C52" s="21"/>
      <c r="D52" s="21"/>
      <c r="E52" s="22"/>
      <c r="F52" s="2"/>
    </row>
    <row r="53" spans="1:7" s="2" customFormat="1" ht="16.5" customHeight="1" x14ac:dyDescent="0.3">
      <c r="A53" s="23" t="s">
        <v>20</v>
      </c>
      <c r="B53" s="24">
        <f>COUNT(B45:B50)</f>
        <v>6</v>
      </c>
      <c r="C53" s="25"/>
      <c r="D53" s="26"/>
      <c r="E53" s="27"/>
    </row>
    <row r="54" spans="1:7" s="2" customFormat="1" ht="15.75" customHeight="1" x14ac:dyDescent="0.25">
      <c r="A54" s="9"/>
      <c r="B54" s="9"/>
      <c r="C54" s="9"/>
      <c r="D54" s="9"/>
      <c r="E54" s="28"/>
    </row>
    <row r="55" spans="1:7" s="2" customFormat="1" ht="16.5" customHeight="1" x14ac:dyDescent="0.3">
      <c r="A55" s="10" t="s">
        <v>21</v>
      </c>
      <c r="B55" s="29" t="s">
        <v>22</v>
      </c>
      <c r="C55" s="30"/>
      <c r="D55" s="30"/>
      <c r="E55" s="31"/>
    </row>
    <row r="56" spans="1:7" ht="16.5" customHeight="1" x14ac:dyDescent="0.3">
      <c r="A56" s="10"/>
      <c r="B56" s="29" t="s">
        <v>23</v>
      </c>
      <c r="C56" s="30"/>
      <c r="D56" s="30"/>
      <c r="E56" s="31"/>
      <c r="F56" s="2"/>
    </row>
    <row r="57" spans="1:7" ht="16.5" customHeight="1" x14ac:dyDescent="0.3">
      <c r="A57" s="10"/>
      <c r="B57" s="32" t="s">
        <v>24</v>
      </c>
      <c r="C57" s="30"/>
      <c r="D57" s="31"/>
      <c r="E57" s="30"/>
    </row>
    <row r="58" spans="1:7" ht="14.25" customHeight="1" x14ac:dyDescent="0.25">
      <c r="A58" s="33"/>
      <c r="B58" s="34"/>
      <c r="D58" s="35"/>
      <c r="F58" s="36"/>
      <c r="G58" s="36"/>
    </row>
    <row r="59" spans="1:7" ht="15" customHeight="1" x14ac:dyDescent="0.3">
      <c r="B59" s="520" t="s">
        <v>25</v>
      </c>
      <c r="C59" s="520"/>
      <c r="E59" s="37" t="s">
        <v>26</v>
      </c>
      <c r="F59" s="38"/>
      <c r="G59" s="37" t="s">
        <v>27</v>
      </c>
    </row>
    <row r="60" spans="1:7" ht="15" customHeight="1" x14ac:dyDescent="0.3">
      <c r="A60" s="39" t="s">
        <v>28</v>
      </c>
      <c r="B60" s="40"/>
      <c r="C60" s="40"/>
      <c r="E60" s="40"/>
      <c r="F60" s="2"/>
      <c r="G60" s="41"/>
    </row>
    <row r="61" spans="1:7" ht="15" customHeight="1" x14ac:dyDescent="0.3">
      <c r="A61" s="39" t="s">
        <v>29</v>
      </c>
      <c r="B61" s="42"/>
      <c r="C61" s="42"/>
      <c r="E61" s="42"/>
      <c r="F61" s="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83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82"/>
    </row>
    <row r="14" spans="1:7" ht="16.5" customHeight="1" x14ac:dyDescent="0.3">
      <c r="A14" s="528" t="s">
        <v>32</v>
      </c>
      <c r="B14" s="528"/>
      <c r="C14" s="52" t="s">
        <v>5</v>
      </c>
    </row>
    <row r="15" spans="1:7" ht="16.5" customHeight="1" x14ac:dyDescent="0.3">
      <c r="A15" s="528" t="s">
        <v>33</v>
      </c>
      <c r="B15" s="528"/>
      <c r="C15" s="52" t="s">
        <v>7</v>
      </c>
    </row>
    <row r="16" spans="1:7" ht="16.5" customHeight="1" x14ac:dyDescent="0.3">
      <c r="A16" s="528" t="s">
        <v>34</v>
      </c>
      <c r="B16" s="528"/>
      <c r="C16" s="52" t="s">
        <v>9</v>
      </c>
    </row>
    <row r="17" spans="1:5" ht="16.5" customHeight="1" x14ac:dyDescent="0.3">
      <c r="A17" s="528" t="s">
        <v>35</v>
      </c>
      <c r="B17" s="528"/>
      <c r="C17" s="52" t="s">
        <v>11</v>
      </c>
    </row>
    <row r="18" spans="1:5" ht="16.5" customHeight="1" x14ac:dyDescent="0.3">
      <c r="A18" s="528" t="s">
        <v>36</v>
      </c>
      <c r="B18" s="528"/>
      <c r="C18" s="89" t="s">
        <v>12</v>
      </c>
    </row>
    <row r="19" spans="1:5" ht="16.5" customHeight="1" x14ac:dyDescent="0.3">
      <c r="A19" s="528" t="s">
        <v>37</v>
      </c>
      <c r="B19" s="528"/>
      <c r="C19" s="89" t="e">
        <f>#REF!</f>
        <v>#REF!</v>
      </c>
    </row>
    <row r="20" spans="1:5" ht="16.5" customHeight="1" x14ac:dyDescent="0.3">
      <c r="A20" s="54"/>
      <c r="B20" s="54"/>
      <c r="C20" s="69"/>
    </row>
    <row r="21" spans="1:5" ht="16.5" customHeight="1" x14ac:dyDescent="0.3">
      <c r="A21" s="523" t="s">
        <v>1</v>
      </c>
      <c r="B21" s="523"/>
      <c r="C21" s="51" t="s">
        <v>38</v>
      </c>
      <c r="D21" s="58"/>
    </row>
    <row r="22" spans="1:5" ht="15.75" customHeight="1" x14ac:dyDescent="0.3">
      <c r="A22" s="527"/>
      <c r="B22" s="527"/>
      <c r="C22" s="49"/>
      <c r="D22" s="527"/>
      <c r="E22" s="527"/>
    </row>
    <row r="23" spans="1:5" ht="33.75" customHeight="1" x14ac:dyDescent="0.3">
      <c r="C23" s="78" t="s">
        <v>39</v>
      </c>
      <c r="D23" s="77" t="s">
        <v>40</v>
      </c>
      <c r="E23" s="44"/>
    </row>
    <row r="24" spans="1:5" ht="15.75" customHeight="1" x14ac:dyDescent="0.3">
      <c r="C24" s="87">
        <v>1059.8</v>
      </c>
      <c r="D24" s="79">
        <f t="shared" ref="D24:D43" si="0">(C24-$C$46)/$C$46</f>
        <v>4.3669777632885272E-3</v>
      </c>
      <c r="E24" s="45"/>
    </row>
    <row r="25" spans="1:5" ht="15.75" customHeight="1" x14ac:dyDescent="0.3">
      <c r="C25" s="87">
        <v>1058.31</v>
      </c>
      <c r="D25" s="80">
        <f t="shared" si="0"/>
        <v>2.9549124709057103E-3</v>
      </c>
      <c r="E25" s="45"/>
    </row>
    <row r="26" spans="1:5" ht="15.75" customHeight="1" x14ac:dyDescent="0.3">
      <c r="C26" s="87">
        <v>1053.73</v>
      </c>
      <c r="D26" s="80">
        <f t="shared" si="0"/>
        <v>-1.3855298372239262E-3</v>
      </c>
      <c r="E26" s="45"/>
    </row>
    <row r="27" spans="1:5" ht="15.75" customHeight="1" x14ac:dyDescent="0.3">
      <c r="C27" s="87">
        <v>1045.8599999999999</v>
      </c>
      <c r="D27" s="80">
        <f t="shared" si="0"/>
        <v>-8.8438881265211523E-3</v>
      </c>
      <c r="E27" s="45"/>
    </row>
    <row r="28" spans="1:5" ht="15.75" customHeight="1" x14ac:dyDescent="0.3">
      <c r="C28" s="87">
        <v>1053</v>
      </c>
      <c r="D28" s="80">
        <f t="shared" si="0"/>
        <v>-2.0773470610088089E-3</v>
      </c>
      <c r="E28" s="45"/>
    </row>
    <row r="29" spans="1:5" ht="15.75" customHeight="1" x14ac:dyDescent="0.3">
      <c r="C29" s="87">
        <v>1059.82</v>
      </c>
      <c r="D29" s="80">
        <f t="shared" si="0"/>
        <v>4.3859316598305609E-3</v>
      </c>
      <c r="E29" s="45"/>
    </row>
    <row r="30" spans="1:5" ht="15.75" customHeight="1" x14ac:dyDescent="0.3">
      <c r="C30" s="87">
        <v>1055.5999999999999</v>
      </c>
      <c r="D30" s="80">
        <f t="shared" si="0"/>
        <v>3.8665948945774964E-4</v>
      </c>
      <c r="E30" s="45"/>
    </row>
    <row r="31" spans="1:5" ht="15.75" customHeight="1" x14ac:dyDescent="0.3">
      <c r="C31" s="87">
        <v>1063.77</v>
      </c>
      <c r="D31" s="80">
        <f t="shared" si="0"/>
        <v>8.1293262268856987E-3</v>
      </c>
      <c r="E31" s="45"/>
    </row>
    <row r="32" spans="1:5" ht="15.75" customHeight="1" x14ac:dyDescent="0.3">
      <c r="C32" s="87">
        <v>1062.3499999999999</v>
      </c>
      <c r="D32" s="80">
        <f t="shared" si="0"/>
        <v>6.7835995724000011E-3</v>
      </c>
      <c r="E32" s="45"/>
    </row>
    <row r="33" spans="1:7" ht="15.75" customHeight="1" x14ac:dyDescent="0.3">
      <c r="C33" s="87">
        <v>1047.28</v>
      </c>
      <c r="D33" s="80">
        <f t="shared" si="0"/>
        <v>-7.4981614720354538E-3</v>
      </c>
      <c r="E33" s="45"/>
    </row>
    <row r="34" spans="1:7" ht="15.75" customHeight="1" x14ac:dyDescent="0.3">
      <c r="C34" s="87">
        <v>1043.26</v>
      </c>
      <c r="D34" s="80">
        <f t="shared" si="0"/>
        <v>-1.1307894676987711E-2</v>
      </c>
      <c r="E34" s="45"/>
    </row>
    <row r="35" spans="1:7" ht="15.75" customHeight="1" x14ac:dyDescent="0.3">
      <c r="C35" s="87">
        <v>1042.8599999999999</v>
      </c>
      <c r="D35" s="80">
        <f t="shared" si="0"/>
        <v>-1.1686972607828819E-2</v>
      </c>
      <c r="E35" s="45"/>
    </row>
    <row r="36" spans="1:7" ht="15.75" customHeight="1" x14ac:dyDescent="0.3">
      <c r="C36" s="87">
        <v>1058.5899999999999</v>
      </c>
      <c r="D36" s="80">
        <f t="shared" si="0"/>
        <v>3.2202670224943998E-3</v>
      </c>
      <c r="E36" s="45"/>
    </row>
    <row r="37" spans="1:7" ht="15.75" customHeight="1" x14ac:dyDescent="0.3">
      <c r="C37" s="87">
        <v>1051.24</v>
      </c>
      <c r="D37" s="80">
        <f t="shared" si="0"/>
        <v>-3.7452899567092988E-3</v>
      </c>
      <c r="E37" s="45"/>
    </row>
    <row r="38" spans="1:7" ht="15.75" customHeight="1" x14ac:dyDescent="0.3">
      <c r="C38" s="87">
        <v>1052.51</v>
      </c>
      <c r="D38" s="80">
        <f t="shared" si="0"/>
        <v>-2.5417175262890698E-3</v>
      </c>
      <c r="E38" s="45"/>
    </row>
    <row r="39" spans="1:7" ht="15.75" customHeight="1" x14ac:dyDescent="0.3">
      <c r="C39" s="87">
        <v>1056.94</v>
      </c>
      <c r="D39" s="80">
        <f t="shared" si="0"/>
        <v>1.6565705577753123E-3</v>
      </c>
      <c r="E39" s="45"/>
    </row>
    <row r="40" spans="1:7" ht="15.75" customHeight="1" x14ac:dyDescent="0.3">
      <c r="C40" s="87">
        <v>1056.3499999999999</v>
      </c>
      <c r="D40" s="80">
        <f t="shared" si="0"/>
        <v>1.0974306097846665E-3</v>
      </c>
      <c r="E40" s="45"/>
    </row>
    <row r="41" spans="1:7" ht="15.75" customHeight="1" x14ac:dyDescent="0.3">
      <c r="C41" s="87">
        <v>1057.03</v>
      </c>
      <c r="D41" s="80">
        <f t="shared" si="0"/>
        <v>1.7418630922144648E-3</v>
      </c>
      <c r="E41" s="45"/>
    </row>
    <row r="42" spans="1:7" ht="15.75" customHeight="1" x14ac:dyDescent="0.3">
      <c r="C42" s="87">
        <v>1074.5899999999999</v>
      </c>
      <c r="D42" s="80">
        <f t="shared" si="0"/>
        <v>1.8383384256135293E-2</v>
      </c>
      <c r="E42" s="45"/>
    </row>
    <row r="43" spans="1:7" ht="16.5" customHeight="1" x14ac:dyDescent="0.3">
      <c r="C43" s="88">
        <v>1050.95</v>
      </c>
      <c r="D43" s="81">
        <f t="shared" si="0"/>
        <v>-4.0201214565690055E-3</v>
      </c>
      <c r="E43" s="45"/>
    </row>
    <row r="44" spans="1:7" ht="16.5" customHeight="1" x14ac:dyDescent="0.3">
      <c r="C44" s="46"/>
      <c r="D44" s="45"/>
      <c r="E44" s="47"/>
    </row>
    <row r="45" spans="1:7" ht="16.5" customHeight="1" x14ac:dyDescent="0.3">
      <c r="B45" s="74" t="s">
        <v>41</v>
      </c>
      <c r="C45" s="75">
        <f>SUM(C24:C44)</f>
        <v>21103.84</v>
      </c>
      <c r="D45" s="70"/>
      <c r="E45" s="46"/>
    </row>
    <row r="46" spans="1:7" ht="17.25" customHeight="1" x14ac:dyDescent="0.3">
      <c r="B46" s="74" t="s">
        <v>42</v>
      </c>
      <c r="C46" s="76">
        <f>AVERAGE(C24:C44)</f>
        <v>1055.192</v>
      </c>
      <c r="E46" s="48"/>
    </row>
    <row r="47" spans="1:7" ht="17.25" customHeight="1" x14ac:dyDescent="0.3">
      <c r="A47" s="52"/>
      <c r="B47" s="71"/>
      <c r="D47" s="50"/>
      <c r="E47" s="48"/>
    </row>
    <row r="48" spans="1:7" ht="33.75" customHeight="1" x14ac:dyDescent="0.3">
      <c r="B48" s="84" t="s">
        <v>42</v>
      </c>
      <c r="C48" s="77" t="s">
        <v>43</v>
      </c>
      <c r="D48" s="72"/>
      <c r="G48" s="50"/>
    </row>
    <row r="49" spans="1:6" ht="17.25" customHeight="1" x14ac:dyDescent="0.3">
      <c r="B49" s="521">
        <f>C46</f>
        <v>1055.192</v>
      </c>
      <c r="C49" s="85">
        <f>-IF(C46&lt;=80,10%,IF(C46&lt;250,7.5%,5%))</f>
        <v>-0.05</v>
      </c>
      <c r="D49" s="73">
        <f>IF(C46&lt;=80,C46*0.9,IF(C46&lt;250,C46*0.925,C46*0.95))</f>
        <v>1002.4323999999999</v>
      </c>
    </row>
    <row r="50" spans="1:6" ht="17.25" customHeight="1" x14ac:dyDescent="0.3">
      <c r="B50" s="522"/>
      <c r="C50" s="86">
        <f>IF(C46&lt;=80, 10%, IF(C46&lt;250, 7.5%, 5%))</f>
        <v>0.05</v>
      </c>
      <c r="D50" s="73">
        <f>IF(C46&lt;=80, C46*1.1, IF(C46&lt;250, C46*1.075, C46*1.05))</f>
        <v>1107.9516000000001</v>
      </c>
    </row>
    <row r="51" spans="1:6" ht="16.5" customHeight="1" x14ac:dyDescent="0.3">
      <c r="A51" s="55"/>
      <c r="B51" s="56"/>
      <c r="C51" s="52"/>
      <c r="D51" s="57"/>
      <c r="E51" s="52"/>
      <c r="F51" s="58"/>
    </row>
    <row r="52" spans="1:6" ht="16.5" customHeight="1" x14ac:dyDescent="0.3">
      <c r="A52" s="52"/>
      <c r="B52" s="59" t="s">
        <v>25</v>
      </c>
      <c r="C52" s="59"/>
      <c r="D52" s="60" t="s">
        <v>26</v>
      </c>
      <c r="E52" s="61"/>
      <c r="F52" s="60" t="s">
        <v>27</v>
      </c>
    </row>
    <row r="53" spans="1:6" ht="34.5" customHeight="1" x14ac:dyDescent="0.3">
      <c r="A53" s="62" t="s">
        <v>28</v>
      </c>
      <c r="B53" s="63"/>
      <c r="C53" s="64"/>
      <c r="D53" s="63"/>
      <c r="E53" s="53"/>
      <c r="F53" s="65"/>
    </row>
    <row r="54" spans="1:6" ht="34.5" customHeight="1" x14ac:dyDescent="0.3">
      <c r="A54" s="62" t="s">
        <v>29</v>
      </c>
      <c r="B54" s="66"/>
      <c r="C54" s="67"/>
      <c r="D54" s="66"/>
      <c r="E54" s="53"/>
      <c r="F54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4" zoomScale="55" zoomScaleNormal="40" zoomScalePageLayoutView="55" workbookViewId="0">
      <selection activeCell="G102" sqref="G10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90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92" t="s">
        <v>32</v>
      </c>
      <c r="B18" s="534" t="s">
        <v>5</v>
      </c>
      <c r="C18" s="534"/>
      <c r="D18" s="258"/>
      <c r="E18" s="93"/>
      <c r="F18" s="94"/>
      <c r="G18" s="94"/>
      <c r="H18" s="94"/>
    </row>
    <row r="19" spans="1:14" ht="26.25" customHeight="1" x14ac:dyDescent="0.4">
      <c r="A19" s="92" t="s">
        <v>33</v>
      </c>
      <c r="B19" s="95" t="s">
        <v>7</v>
      </c>
      <c r="C19" s="271">
        <v>29</v>
      </c>
      <c r="D19" s="94"/>
      <c r="E19" s="94"/>
      <c r="F19" s="94"/>
      <c r="G19" s="94"/>
      <c r="H19" s="94"/>
    </row>
    <row r="20" spans="1:14" ht="26.25" customHeight="1" x14ac:dyDescent="0.4">
      <c r="A20" s="92" t="s">
        <v>34</v>
      </c>
      <c r="B20" s="535" t="s">
        <v>127</v>
      </c>
      <c r="C20" s="535"/>
      <c r="D20" s="94"/>
      <c r="E20" s="94"/>
      <c r="F20" s="94"/>
      <c r="G20" s="94"/>
      <c r="H20" s="94"/>
    </row>
    <row r="21" spans="1:14" ht="26.25" customHeight="1" x14ac:dyDescent="0.4">
      <c r="A21" s="92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96"/>
    </row>
    <row r="22" spans="1:14" ht="26.25" customHeight="1" x14ac:dyDescent="0.4">
      <c r="A22" s="92" t="s">
        <v>36</v>
      </c>
      <c r="B22" s="279">
        <v>42349.515798611108</v>
      </c>
      <c r="C22" s="94"/>
      <c r="D22" s="94"/>
      <c r="E22" s="94"/>
      <c r="F22" s="94"/>
      <c r="G22" s="94"/>
      <c r="H22" s="94"/>
    </row>
    <row r="23" spans="1:14" ht="26.25" customHeight="1" x14ac:dyDescent="0.4">
      <c r="A23" s="92" t="s">
        <v>37</v>
      </c>
      <c r="B23" s="97"/>
      <c r="C23" s="94"/>
      <c r="D23" s="94"/>
      <c r="E23" s="94"/>
      <c r="F23" s="94"/>
      <c r="G23" s="94"/>
      <c r="H23" s="94"/>
    </row>
    <row r="24" spans="1:14" ht="18.75" x14ac:dyDescent="0.3">
      <c r="A24" s="92"/>
      <c r="B24" s="98"/>
    </row>
    <row r="25" spans="1:14" ht="18.75" x14ac:dyDescent="0.3">
      <c r="A25" s="99" t="s">
        <v>1</v>
      </c>
      <c r="B25" s="98"/>
    </row>
    <row r="26" spans="1:14" ht="26.25" customHeight="1" x14ac:dyDescent="0.4">
      <c r="A26" s="100" t="s">
        <v>4</v>
      </c>
      <c r="B26" s="529" t="s">
        <v>124</v>
      </c>
      <c r="C26" s="529"/>
    </row>
    <row r="27" spans="1:14" ht="26.25" customHeight="1" x14ac:dyDescent="0.4">
      <c r="A27" s="101" t="s">
        <v>47</v>
      </c>
      <c r="B27" s="536" t="s">
        <v>126</v>
      </c>
      <c r="C27" s="536"/>
    </row>
    <row r="28" spans="1:14" ht="27" customHeight="1" x14ac:dyDescent="0.4">
      <c r="A28" s="101" t="s">
        <v>6</v>
      </c>
      <c r="B28" s="102">
        <v>99.65</v>
      </c>
    </row>
    <row r="29" spans="1:14" s="11" customFormat="1" ht="27" customHeight="1" x14ac:dyDescent="0.4">
      <c r="A29" s="101" t="s">
        <v>48</v>
      </c>
      <c r="B29" s="103">
        <v>0</v>
      </c>
      <c r="C29" s="537" t="s">
        <v>49</v>
      </c>
      <c r="D29" s="538"/>
      <c r="E29" s="538"/>
      <c r="F29" s="538"/>
      <c r="G29" s="539"/>
      <c r="I29" s="104"/>
      <c r="J29" s="104"/>
      <c r="K29" s="104"/>
      <c r="L29" s="104"/>
    </row>
    <row r="30" spans="1:14" s="11" customFormat="1" ht="19.5" customHeight="1" x14ac:dyDescent="0.3">
      <c r="A30" s="101" t="s">
        <v>50</v>
      </c>
      <c r="B30" s="105">
        <f>B28-B29</f>
        <v>99.65</v>
      </c>
      <c r="C30" s="106"/>
      <c r="D30" s="106"/>
      <c r="E30" s="106"/>
      <c r="F30" s="106"/>
      <c r="G30" s="107"/>
      <c r="I30" s="104"/>
      <c r="J30" s="104"/>
      <c r="K30" s="104"/>
      <c r="L30" s="104"/>
    </row>
    <row r="31" spans="1:14" s="11" customFormat="1" ht="27" customHeight="1" x14ac:dyDescent="0.4">
      <c r="A31" s="101" t="s">
        <v>51</v>
      </c>
      <c r="B31" s="108">
        <v>1</v>
      </c>
      <c r="C31" s="540" t="s">
        <v>52</v>
      </c>
      <c r="D31" s="541"/>
      <c r="E31" s="541"/>
      <c r="F31" s="541"/>
      <c r="G31" s="541"/>
      <c r="H31" s="542"/>
      <c r="I31" s="104"/>
      <c r="J31" s="104"/>
      <c r="K31" s="104"/>
      <c r="L31" s="104"/>
    </row>
    <row r="32" spans="1:14" s="11" customFormat="1" ht="27" customHeight="1" x14ac:dyDescent="0.4">
      <c r="A32" s="101" t="s">
        <v>53</v>
      </c>
      <c r="B32" s="108">
        <v>1</v>
      </c>
      <c r="C32" s="540" t="s">
        <v>54</v>
      </c>
      <c r="D32" s="541"/>
      <c r="E32" s="541"/>
      <c r="F32" s="541"/>
      <c r="G32" s="541"/>
      <c r="H32" s="542"/>
      <c r="I32" s="104"/>
      <c r="J32" s="104"/>
      <c r="K32" s="104"/>
      <c r="L32" s="109"/>
      <c r="M32" s="109"/>
      <c r="N32" s="110"/>
    </row>
    <row r="33" spans="1:14" s="11" customFormat="1" ht="17.25" customHeight="1" x14ac:dyDescent="0.3">
      <c r="A33" s="101"/>
      <c r="B33" s="111"/>
      <c r="C33" s="112"/>
      <c r="D33" s="112"/>
      <c r="E33" s="112"/>
      <c r="F33" s="112"/>
      <c r="G33" s="112"/>
      <c r="H33" s="112"/>
      <c r="I33" s="104"/>
      <c r="J33" s="104"/>
      <c r="K33" s="104"/>
      <c r="L33" s="109"/>
      <c r="M33" s="109"/>
      <c r="N33" s="110"/>
    </row>
    <row r="34" spans="1:14" s="11" customFormat="1" ht="18.75" x14ac:dyDescent="0.3">
      <c r="A34" s="101" t="s">
        <v>55</v>
      </c>
      <c r="B34" s="113">
        <f>B31/B32</f>
        <v>1</v>
      </c>
      <c r="C34" s="91" t="s">
        <v>56</v>
      </c>
      <c r="D34" s="91"/>
      <c r="E34" s="91"/>
      <c r="F34" s="91"/>
      <c r="G34" s="91"/>
      <c r="I34" s="104"/>
      <c r="J34" s="104"/>
      <c r="K34" s="104"/>
      <c r="L34" s="109"/>
      <c r="M34" s="109"/>
      <c r="N34" s="110"/>
    </row>
    <row r="35" spans="1:14" s="11" customFormat="1" ht="19.5" customHeight="1" x14ac:dyDescent="0.3">
      <c r="A35" s="101"/>
      <c r="B35" s="105"/>
      <c r="G35" s="91"/>
      <c r="I35" s="104"/>
      <c r="J35" s="104"/>
      <c r="K35" s="104"/>
      <c r="L35" s="109"/>
      <c r="M35" s="109"/>
      <c r="N35" s="110"/>
    </row>
    <row r="36" spans="1:14" s="11" customFormat="1" ht="27" customHeight="1" x14ac:dyDescent="0.4">
      <c r="A36" s="114" t="s">
        <v>57</v>
      </c>
      <c r="B36" s="464">
        <v>25</v>
      </c>
      <c r="C36" s="91"/>
      <c r="D36" s="543" t="s">
        <v>58</v>
      </c>
      <c r="E36" s="544"/>
      <c r="F36" s="543" t="s">
        <v>59</v>
      </c>
      <c r="G36" s="545"/>
      <c r="J36" s="104"/>
      <c r="K36" s="104"/>
      <c r="L36" s="109"/>
      <c r="M36" s="109"/>
      <c r="N36" s="110"/>
    </row>
    <row r="37" spans="1:14" s="11" customFormat="1" ht="27" customHeight="1" x14ac:dyDescent="0.4">
      <c r="A37" s="116" t="s">
        <v>60</v>
      </c>
      <c r="B37" s="465">
        <v>10</v>
      </c>
      <c r="C37" s="118" t="s">
        <v>61</v>
      </c>
      <c r="D37" s="119" t="s">
        <v>62</v>
      </c>
      <c r="E37" s="120" t="s">
        <v>63</v>
      </c>
      <c r="F37" s="119" t="s">
        <v>62</v>
      </c>
      <c r="G37" s="121" t="s">
        <v>63</v>
      </c>
      <c r="I37" s="122" t="s">
        <v>64</v>
      </c>
      <c r="J37" s="104"/>
      <c r="K37" s="104"/>
      <c r="L37" s="109"/>
      <c r="M37" s="109"/>
      <c r="N37" s="110"/>
    </row>
    <row r="38" spans="1:14" s="11" customFormat="1" ht="26.25" customHeight="1" x14ac:dyDescent="0.4">
      <c r="A38" s="116" t="s">
        <v>65</v>
      </c>
      <c r="B38" s="465">
        <v>50</v>
      </c>
      <c r="C38" s="123">
        <v>1</v>
      </c>
      <c r="D38" s="306">
        <v>127465401</v>
      </c>
      <c r="E38" s="124">
        <f>IF(ISBLANK(D38),"-",$D$48/$D$45*D38)</f>
        <v>124854169.68173382</v>
      </c>
      <c r="F38" s="306">
        <v>132412639</v>
      </c>
      <c r="G38" s="125">
        <f>IF(ISBLANK(F38),"-",$D$48/$F$45*F38)</f>
        <v>128695119.60141367</v>
      </c>
      <c r="I38" s="126"/>
      <c r="J38" s="104"/>
      <c r="K38" s="104"/>
      <c r="L38" s="109"/>
      <c r="M38" s="109"/>
      <c r="N38" s="110"/>
    </row>
    <row r="39" spans="1:14" s="11" customFormat="1" ht="26.25" customHeight="1" x14ac:dyDescent="0.4">
      <c r="A39" s="116" t="s">
        <v>66</v>
      </c>
      <c r="B39" s="117">
        <v>1</v>
      </c>
      <c r="C39" s="127">
        <v>2</v>
      </c>
      <c r="D39" s="311">
        <v>127632919</v>
      </c>
      <c r="E39" s="129">
        <f>IF(ISBLANK(D39),"-",$D$48/$D$45*D39)</f>
        <v>125018255.94069239</v>
      </c>
      <c r="F39" s="311">
        <v>132190901</v>
      </c>
      <c r="G39" s="130">
        <f>IF(ISBLANK(F39),"-",$D$48/$F$45*F39)</f>
        <v>128479606.95363554</v>
      </c>
      <c r="I39" s="547">
        <f>ABS((F43/D43*D42)-F42)/D42</f>
        <v>2.8665808571728148E-2</v>
      </c>
      <c r="J39" s="104"/>
      <c r="K39" s="104"/>
      <c r="L39" s="109"/>
      <c r="M39" s="109"/>
      <c r="N39" s="110"/>
    </row>
    <row r="40" spans="1:14" ht="26.25" customHeight="1" x14ac:dyDescent="0.4">
      <c r="A40" s="116" t="s">
        <v>67</v>
      </c>
      <c r="B40" s="117">
        <v>1</v>
      </c>
      <c r="C40" s="127">
        <v>3</v>
      </c>
      <c r="D40" s="311">
        <v>127633743</v>
      </c>
      <c r="E40" s="129">
        <f>IF(ISBLANK(D40),"-",$D$48/$D$45*D40)</f>
        <v>125019063.06038928</v>
      </c>
      <c r="F40" s="311">
        <v>132088482</v>
      </c>
      <c r="G40" s="130">
        <f>IF(ISBLANK(F40),"-",$D$48/$F$45*F40)</f>
        <v>128380063.39379111</v>
      </c>
      <c r="I40" s="547"/>
      <c r="L40" s="109"/>
      <c r="M40" s="109"/>
      <c r="N40" s="131"/>
    </row>
    <row r="41" spans="1:14" ht="27" customHeight="1" x14ac:dyDescent="0.4">
      <c r="A41" s="116" t="s">
        <v>68</v>
      </c>
      <c r="B41" s="117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9"/>
      <c r="M41" s="109"/>
      <c r="N41" s="131"/>
    </row>
    <row r="42" spans="1:14" ht="27" customHeight="1" x14ac:dyDescent="0.4">
      <c r="A42" s="116" t="s">
        <v>69</v>
      </c>
      <c r="B42" s="117">
        <v>1</v>
      </c>
      <c r="C42" s="137" t="s">
        <v>70</v>
      </c>
      <c r="D42" s="138">
        <f>AVERAGE(D38:D41)</f>
        <v>127577354.33333333</v>
      </c>
      <c r="E42" s="139">
        <f>AVERAGE(E38:E41)</f>
        <v>124963829.56093849</v>
      </c>
      <c r="F42" s="138">
        <f>AVERAGE(F38:F41)</f>
        <v>132230674</v>
      </c>
      <c r="G42" s="140">
        <f>AVERAGE(G38:G41)</f>
        <v>128518263.31628011</v>
      </c>
      <c r="H42" s="141"/>
    </row>
    <row r="43" spans="1:14" ht="26.25" customHeight="1" x14ac:dyDescent="0.4">
      <c r="A43" s="116" t="s">
        <v>71</v>
      </c>
      <c r="B43" s="117">
        <v>1</v>
      </c>
      <c r="C43" s="142" t="s">
        <v>72</v>
      </c>
      <c r="D43" s="143">
        <v>20.49</v>
      </c>
      <c r="E43" s="131"/>
      <c r="F43" s="143">
        <v>20.65</v>
      </c>
      <c r="H43" s="141"/>
    </row>
    <row r="44" spans="1:14" ht="26.25" customHeight="1" x14ac:dyDescent="0.4">
      <c r="A44" s="116" t="s">
        <v>73</v>
      </c>
      <c r="B44" s="117">
        <v>1</v>
      </c>
      <c r="C44" s="144" t="s">
        <v>74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">
      <c r="A45" s="116" t="s">
        <v>75</v>
      </c>
      <c r="B45" s="147">
        <f>(B44/B43)*(B42/B41)*(B40/B39)*(B38/B37)*B36</f>
        <v>125</v>
      </c>
      <c r="C45" s="144" t="s">
        <v>76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">
      <c r="A46" s="548" t="s">
        <v>77</v>
      </c>
      <c r="B46" s="549"/>
      <c r="C46" s="144" t="s">
        <v>78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">
      <c r="A47" s="550"/>
      <c r="B47" s="551"/>
      <c r="C47" s="153" t="s">
        <v>79</v>
      </c>
      <c r="D47" s="154">
        <v>0.16</v>
      </c>
      <c r="E47" s="155"/>
      <c r="F47" s="151"/>
      <c r="H47" s="141"/>
    </row>
    <row r="48" spans="1:14" ht="18.75" x14ac:dyDescent="0.3">
      <c r="C48" s="156" t="s">
        <v>80</v>
      </c>
      <c r="D48" s="148">
        <f>D47*$B$45</f>
        <v>20</v>
      </c>
      <c r="F48" s="157"/>
      <c r="H48" s="141"/>
    </row>
    <row r="49" spans="1:12" ht="19.5" customHeight="1" x14ac:dyDescent="0.3">
      <c r="C49" s="158" t="s">
        <v>81</v>
      </c>
      <c r="D49" s="159">
        <f>D48/B34</f>
        <v>20</v>
      </c>
      <c r="F49" s="157"/>
      <c r="H49" s="141"/>
    </row>
    <row r="50" spans="1:12" ht="18.75" x14ac:dyDescent="0.3">
      <c r="C50" s="114" t="s">
        <v>82</v>
      </c>
      <c r="D50" s="160">
        <f>AVERAGE(E38:E41,G38:G41)</f>
        <v>126741046.4386093</v>
      </c>
      <c r="F50" s="161"/>
      <c r="H50" s="141"/>
    </row>
    <row r="51" spans="1:12" ht="18.75" x14ac:dyDescent="0.3">
      <c r="C51" s="116" t="s">
        <v>83</v>
      </c>
      <c r="D51" s="162">
        <f>STDEV(E38:E41,G38:G41)/D50</f>
        <v>1.538910427033428E-2</v>
      </c>
      <c r="F51" s="161"/>
      <c r="H51" s="141"/>
    </row>
    <row r="52" spans="1:12" ht="19.5" customHeight="1" x14ac:dyDescent="0.3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1" t="s">
        <v>85</v>
      </c>
      <c r="B55" s="167" t="str">
        <f>B21</f>
        <v>Each tablet contains Sulfamethoxazole BP 800mg  &amp; Trimethoprim BP 160mg</v>
      </c>
    </row>
    <row r="56" spans="1:12" ht="26.25" customHeight="1" x14ac:dyDescent="0.4">
      <c r="A56" s="168" t="s">
        <v>86</v>
      </c>
      <c r="B56" s="169">
        <v>800</v>
      </c>
      <c r="C56" s="91" t="str">
        <f>B20</f>
        <v>Sulphamethoxazole 800 mg</v>
      </c>
      <c r="H56" s="170"/>
    </row>
    <row r="57" spans="1:12" ht="18.75" x14ac:dyDescent="0.3">
      <c r="A57" s="167" t="s">
        <v>87</v>
      </c>
      <c r="B57" s="259">
        <f>Uniformity!C46</f>
        <v>1055.192</v>
      </c>
      <c r="H57" s="170"/>
    </row>
    <row r="58" spans="1:12" ht="19.5" customHeight="1" x14ac:dyDescent="0.3">
      <c r="H58" s="170"/>
    </row>
    <row r="59" spans="1:12" s="11" customFormat="1" ht="27" customHeight="1" x14ac:dyDescent="0.4">
      <c r="A59" s="114" t="s">
        <v>88</v>
      </c>
      <c r="B59" s="464">
        <v>200</v>
      </c>
      <c r="C59" s="91"/>
      <c r="D59" s="171" t="s">
        <v>89</v>
      </c>
      <c r="E59" s="172" t="s">
        <v>61</v>
      </c>
      <c r="F59" s="172" t="s">
        <v>62</v>
      </c>
      <c r="G59" s="172" t="s">
        <v>90</v>
      </c>
      <c r="H59" s="118" t="s">
        <v>91</v>
      </c>
      <c r="L59" s="104"/>
    </row>
    <row r="60" spans="1:12" s="11" customFormat="1" ht="26.25" customHeight="1" x14ac:dyDescent="0.4">
      <c r="A60" s="116" t="s">
        <v>92</v>
      </c>
      <c r="B60" s="465">
        <v>2</v>
      </c>
      <c r="C60" s="552" t="s">
        <v>93</v>
      </c>
      <c r="D60" s="555">
        <v>1065</v>
      </c>
      <c r="E60" s="173">
        <v>1</v>
      </c>
      <c r="F60" s="174">
        <v>126082136</v>
      </c>
      <c r="G60" s="260">
        <f>IF(ISBLANK(F60),"-",(F60/$D$50*$D$47*$B$68)*($B$57/$D$60))</f>
        <v>788.51169365711371</v>
      </c>
      <c r="H60" s="175">
        <f t="shared" ref="H60:H71" si="0">IF(ISBLANK(F60),"-",G60/$B$56)</f>
        <v>0.98563961707139214</v>
      </c>
      <c r="L60" s="104"/>
    </row>
    <row r="61" spans="1:12" s="11" customFormat="1" ht="26.25" customHeight="1" x14ac:dyDescent="0.4">
      <c r="A61" s="116" t="s">
        <v>94</v>
      </c>
      <c r="B61" s="465">
        <v>50</v>
      </c>
      <c r="C61" s="553"/>
      <c r="D61" s="556"/>
      <c r="E61" s="176">
        <v>2</v>
      </c>
      <c r="F61" s="128">
        <v>125943489</v>
      </c>
      <c r="G61" s="261">
        <f>IF(ISBLANK(F61),"-",(F61/$D$50*$D$47*$B$68)*($B$57/$D$60))</f>
        <v>787.64460190043155</v>
      </c>
      <c r="H61" s="177">
        <f t="shared" si="0"/>
        <v>0.98455575237553949</v>
      </c>
      <c r="L61" s="104"/>
    </row>
    <row r="62" spans="1:12" s="11" customFormat="1" ht="26.25" customHeight="1" x14ac:dyDescent="0.4">
      <c r="A62" s="116" t="s">
        <v>95</v>
      </c>
      <c r="B62" s="117">
        <v>1</v>
      </c>
      <c r="C62" s="553"/>
      <c r="D62" s="556"/>
      <c r="E62" s="176">
        <v>3</v>
      </c>
      <c r="F62" s="178">
        <v>125887252</v>
      </c>
      <c r="G62" s="261">
        <f>IF(ISBLANK(F62),"-",(F62/$D$50*$D$47*$B$68)*($B$57/$D$60))</f>
        <v>787.29289837189856</v>
      </c>
      <c r="H62" s="177">
        <f t="shared" si="0"/>
        <v>0.98411612296487316</v>
      </c>
      <c r="L62" s="104"/>
    </row>
    <row r="63" spans="1:12" ht="27" customHeight="1" x14ac:dyDescent="0.4">
      <c r="A63" s="116" t="s">
        <v>96</v>
      </c>
      <c r="B63" s="117">
        <v>1</v>
      </c>
      <c r="C63" s="554"/>
      <c r="D63" s="557"/>
      <c r="E63" s="179">
        <v>4</v>
      </c>
      <c r="F63" s="180"/>
      <c r="G63" s="26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6" t="s">
        <v>97</v>
      </c>
      <c r="B64" s="117">
        <v>1</v>
      </c>
      <c r="C64" s="552" t="s">
        <v>98</v>
      </c>
      <c r="D64" s="555">
        <v>1054.6500000000001</v>
      </c>
      <c r="E64" s="173">
        <v>1</v>
      </c>
      <c r="F64" s="174">
        <v>124656465</v>
      </c>
      <c r="G64" s="262">
        <f>IF(ISBLANK(F64),"-",(F64/$D$50*$D$47*$B$68)*($B$57/$D$64))</f>
        <v>787.24631855630071</v>
      </c>
      <c r="H64" s="181">
        <f t="shared" si="0"/>
        <v>0.98405789819537592</v>
      </c>
    </row>
    <row r="65" spans="1:8" ht="26.25" customHeight="1" x14ac:dyDescent="0.4">
      <c r="A65" s="116" t="s">
        <v>99</v>
      </c>
      <c r="B65" s="117">
        <v>1</v>
      </c>
      <c r="C65" s="553"/>
      <c r="D65" s="556"/>
      <c r="E65" s="176">
        <v>2</v>
      </c>
      <c r="F65" s="128">
        <v>124593969</v>
      </c>
      <c r="G65" s="263">
        <f>IF(ISBLANK(F65),"-",(F65/$D$50*$D$47*$B$68)*($B$57/$D$64))</f>
        <v>786.8516358904277</v>
      </c>
      <c r="H65" s="182">
        <f t="shared" si="0"/>
        <v>0.98356454486303457</v>
      </c>
    </row>
    <row r="66" spans="1:8" ht="26.25" customHeight="1" x14ac:dyDescent="0.4">
      <c r="A66" s="116" t="s">
        <v>100</v>
      </c>
      <c r="B66" s="117">
        <v>1</v>
      </c>
      <c r="C66" s="553"/>
      <c r="D66" s="556"/>
      <c r="E66" s="176">
        <v>3</v>
      </c>
      <c r="F66" s="128">
        <v>124644917</v>
      </c>
      <c r="G66" s="263">
        <f>IF(ISBLANK(F66),"-",(F66/$D$50*$D$47*$B$68)*($B$57/$D$64))</f>
        <v>787.17338916201129</v>
      </c>
      <c r="H66" s="182">
        <f t="shared" si="0"/>
        <v>0.98396673645251409</v>
      </c>
    </row>
    <row r="67" spans="1:8" ht="27" customHeight="1" x14ac:dyDescent="0.4">
      <c r="A67" s="116" t="s">
        <v>101</v>
      </c>
      <c r="B67" s="117">
        <v>1</v>
      </c>
      <c r="C67" s="554"/>
      <c r="D67" s="557"/>
      <c r="E67" s="179">
        <v>4</v>
      </c>
      <c r="F67" s="180"/>
      <c r="G67" s="26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6" t="s">
        <v>102</v>
      </c>
      <c r="B68" s="184">
        <f>(B67/B66)*(B65/B64)*(B63/B62)*(B61/B60)*B59</f>
        <v>5000</v>
      </c>
      <c r="C68" s="552" t="s">
        <v>103</v>
      </c>
      <c r="D68" s="555">
        <v>1063.6600000000001</v>
      </c>
      <c r="E68" s="173">
        <v>1</v>
      </c>
      <c r="F68" s="174">
        <v>125299686</v>
      </c>
      <c r="G68" s="262">
        <f>IF(ISBLANK(F68),"-",(F68/$D$50*$D$47*$B$68)*($B$57/$D$68))</f>
        <v>784.60549165239081</v>
      </c>
      <c r="H68" s="177">
        <f t="shared" si="0"/>
        <v>0.9807568645654885</v>
      </c>
    </row>
    <row r="69" spans="1:8" ht="27" customHeight="1" x14ac:dyDescent="0.4">
      <c r="A69" s="163" t="s">
        <v>104</v>
      </c>
      <c r="B69" s="185">
        <f>(D47*B68)/B56*B57</f>
        <v>1055.192</v>
      </c>
      <c r="C69" s="553"/>
      <c r="D69" s="556"/>
      <c r="E69" s="176">
        <v>2</v>
      </c>
      <c r="F69" s="128">
        <v>125207612</v>
      </c>
      <c r="G69" s="263">
        <f>IF(ISBLANK(F69),"-",(F69/$D$50*$D$47*$B$68)*($B$57/$D$68))</f>
        <v>784.02893980023077</v>
      </c>
      <c r="H69" s="177">
        <f t="shared" si="0"/>
        <v>0.98003617475028848</v>
      </c>
    </row>
    <row r="70" spans="1:8" ht="26.25" customHeight="1" x14ac:dyDescent="0.4">
      <c r="A70" s="565" t="s">
        <v>77</v>
      </c>
      <c r="B70" s="566"/>
      <c r="C70" s="553"/>
      <c r="D70" s="556"/>
      <c r="E70" s="176">
        <v>3</v>
      </c>
      <c r="F70" s="128">
        <v>125396073</v>
      </c>
      <c r="G70" s="263">
        <f>IF(ISBLANK(F70),"-",(F70/$D$50*$D$47*$B$68)*($B$57/$D$68))</f>
        <v>785.20905078280964</v>
      </c>
      <c r="H70" s="177">
        <f t="shared" si="0"/>
        <v>0.98151131347851206</v>
      </c>
    </row>
    <row r="71" spans="1:8" ht="27" customHeight="1" x14ac:dyDescent="0.4">
      <c r="A71" s="567"/>
      <c r="B71" s="568"/>
      <c r="C71" s="564"/>
      <c r="D71" s="557"/>
      <c r="E71" s="179">
        <v>4</v>
      </c>
      <c r="F71" s="180"/>
      <c r="G71" s="26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9">
        <f>AVERAGE(G60:G71)</f>
        <v>786.50711330817944</v>
      </c>
      <c r="H72" s="190">
        <f>AVERAGE(H60:H71)</f>
        <v>0.98313389163522424</v>
      </c>
    </row>
    <row r="73" spans="1:8" ht="26.25" customHeight="1" x14ac:dyDescent="0.4">
      <c r="C73" s="187"/>
      <c r="D73" s="187"/>
      <c r="E73" s="187"/>
      <c r="F73" s="191" t="s">
        <v>83</v>
      </c>
      <c r="G73" s="265">
        <f>STDEV(G60:G71)/G72</f>
        <v>1.9324907867306613E-3</v>
      </c>
      <c r="H73" s="265">
        <f>STDEV(H60:H71)/H72</f>
        <v>1.9324907867306626E-3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0" t="s">
        <v>105</v>
      </c>
      <c r="B76" s="195" t="s">
        <v>106</v>
      </c>
      <c r="C76" s="560" t="str">
        <f>B20</f>
        <v>Sulphamethoxazole 800 mg</v>
      </c>
      <c r="D76" s="560"/>
      <c r="E76" s="196" t="s">
        <v>107</v>
      </c>
      <c r="F76" s="196"/>
      <c r="G76" s="197">
        <f>H72</f>
        <v>0.98313389163522424</v>
      </c>
      <c r="H76" s="198"/>
    </row>
    <row r="77" spans="1:8" ht="18.75" x14ac:dyDescent="0.3">
      <c r="A77" s="99" t="s">
        <v>108</v>
      </c>
      <c r="B77" s="99" t="s">
        <v>109</v>
      </c>
    </row>
    <row r="78" spans="1:8" ht="18.75" x14ac:dyDescent="0.3">
      <c r="A78" s="99"/>
      <c r="B78" s="99"/>
    </row>
    <row r="79" spans="1:8" ht="26.25" customHeight="1" x14ac:dyDescent="0.4">
      <c r="A79" s="100" t="s">
        <v>4</v>
      </c>
      <c r="B79" s="546" t="str">
        <f>B26</f>
        <v>Sulphamethoxazole</v>
      </c>
      <c r="C79" s="546"/>
    </row>
    <row r="80" spans="1:8" ht="26.25" customHeight="1" x14ac:dyDescent="0.4">
      <c r="A80" s="101" t="s">
        <v>47</v>
      </c>
      <c r="B80" s="546" t="str">
        <f>B27</f>
        <v>S 12 4</v>
      </c>
      <c r="C80" s="546"/>
    </row>
    <row r="81" spans="1:12" ht="27" customHeight="1" x14ac:dyDescent="0.4">
      <c r="A81" s="101" t="s">
        <v>6</v>
      </c>
      <c r="B81" s="199">
        <f>B28</f>
        <v>99.65</v>
      </c>
    </row>
    <row r="82" spans="1:12" s="11" customFormat="1" ht="27" customHeight="1" x14ac:dyDescent="0.4">
      <c r="A82" s="101" t="s">
        <v>48</v>
      </c>
      <c r="B82" s="103">
        <v>0</v>
      </c>
      <c r="C82" s="537" t="s">
        <v>49</v>
      </c>
      <c r="D82" s="538"/>
      <c r="E82" s="538"/>
      <c r="F82" s="538"/>
      <c r="G82" s="539"/>
      <c r="I82" s="104"/>
      <c r="J82" s="104"/>
      <c r="K82" s="104"/>
      <c r="L82" s="104"/>
    </row>
    <row r="83" spans="1:12" s="11" customFormat="1" ht="19.5" customHeight="1" x14ac:dyDescent="0.3">
      <c r="A83" s="101" t="s">
        <v>50</v>
      </c>
      <c r="B83" s="105">
        <f>B81-B82</f>
        <v>99.65</v>
      </c>
      <c r="C83" s="106"/>
      <c r="D83" s="106"/>
      <c r="E83" s="106"/>
      <c r="F83" s="106"/>
      <c r="G83" s="107"/>
      <c r="I83" s="104"/>
      <c r="J83" s="104"/>
      <c r="K83" s="104"/>
      <c r="L83" s="104"/>
    </row>
    <row r="84" spans="1:12" s="11" customFormat="1" ht="27" customHeight="1" x14ac:dyDescent="0.4">
      <c r="A84" s="101" t="s">
        <v>51</v>
      </c>
      <c r="B84" s="108">
        <v>1</v>
      </c>
      <c r="C84" s="540" t="s">
        <v>110</v>
      </c>
      <c r="D84" s="541"/>
      <c r="E84" s="541"/>
      <c r="F84" s="541"/>
      <c r="G84" s="541"/>
      <c r="H84" s="542"/>
      <c r="I84" s="104"/>
      <c r="J84" s="104"/>
      <c r="K84" s="104"/>
      <c r="L84" s="104"/>
    </row>
    <row r="85" spans="1:12" s="11" customFormat="1" ht="27" customHeight="1" x14ac:dyDescent="0.4">
      <c r="A85" s="101" t="s">
        <v>53</v>
      </c>
      <c r="B85" s="108">
        <v>1</v>
      </c>
      <c r="C85" s="540" t="s">
        <v>111</v>
      </c>
      <c r="D85" s="541"/>
      <c r="E85" s="541"/>
      <c r="F85" s="541"/>
      <c r="G85" s="541"/>
      <c r="H85" s="542"/>
      <c r="I85" s="104"/>
      <c r="J85" s="104"/>
      <c r="K85" s="104"/>
      <c r="L85" s="104"/>
    </row>
    <row r="86" spans="1:12" s="11" customFormat="1" ht="18.75" x14ac:dyDescent="0.3">
      <c r="A86" s="101"/>
      <c r="B86" s="111"/>
      <c r="C86" s="112"/>
      <c r="D86" s="112"/>
      <c r="E86" s="112"/>
      <c r="F86" s="112"/>
      <c r="G86" s="112"/>
      <c r="H86" s="112"/>
      <c r="I86" s="104"/>
      <c r="J86" s="104"/>
      <c r="K86" s="104"/>
      <c r="L86" s="104"/>
    </row>
    <row r="87" spans="1:12" s="11" customFormat="1" ht="18.75" x14ac:dyDescent="0.3">
      <c r="A87" s="101" t="s">
        <v>55</v>
      </c>
      <c r="B87" s="113">
        <f>B84/B85</f>
        <v>1</v>
      </c>
      <c r="C87" s="91" t="s">
        <v>56</v>
      </c>
      <c r="D87" s="91"/>
      <c r="E87" s="91"/>
      <c r="F87" s="91"/>
      <c r="G87" s="91"/>
      <c r="I87" s="104"/>
      <c r="J87" s="104"/>
      <c r="K87" s="104"/>
      <c r="L87" s="104"/>
    </row>
    <row r="88" spans="1:12" ht="19.5" customHeight="1" x14ac:dyDescent="0.3">
      <c r="A88" s="99"/>
      <c r="B88" s="99"/>
    </row>
    <row r="89" spans="1:12" ht="27" customHeight="1" x14ac:dyDescent="0.4">
      <c r="A89" s="114" t="s">
        <v>57</v>
      </c>
      <c r="B89" s="115">
        <v>25</v>
      </c>
      <c r="D89" s="200" t="s">
        <v>58</v>
      </c>
      <c r="E89" s="201"/>
      <c r="F89" s="543" t="s">
        <v>59</v>
      </c>
      <c r="G89" s="545"/>
    </row>
    <row r="90" spans="1:12" ht="27" customHeight="1" x14ac:dyDescent="0.4">
      <c r="A90" s="116" t="s">
        <v>60</v>
      </c>
      <c r="B90" s="117">
        <v>10</v>
      </c>
      <c r="C90" s="202" t="s">
        <v>61</v>
      </c>
      <c r="D90" s="119" t="s">
        <v>62</v>
      </c>
      <c r="E90" s="120" t="s">
        <v>63</v>
      </c>
      <c r="F90" s="119" t="s">
        <v>62</v>
      </c>
      <c r="G90" s="203" t="s">
        <v>63</v>
      </c>
      <c r="I90" s="122" t="s">
        <v>64</v>
      </c>
    </row>
    <row r="91" spans="1:12" ht="26.25" customHeight="1" x14ac:dyDescent="0.4">
      <c r="A91" s="116" t="s">
        <v>65</v>
      </c>
      <c r="B91" s="117">
        <v>50</v>
      </c>
      <c r="C91" s="204">
        <v>1</v>
      </c>
      <c r="D91" s="306">
        <v>124532956</v>
      </c>
      <c r="E91" s="124">
        <f>IF(ISBLANK(D91),"-",$D$101/$D$98*D91)</f>
        <v>139203956.8173933</v>
      </c>
      <c r="F91" s="306">
        <v>129060759</v>
      </c>
      <c r="G91" s="125">
        <f>IF(ISBLANK(F91),"-",$D$101/$F$98*F91)</f>
        <v>137839568.11804277</v>
      </c>
      <c r="I91" s="126"/>
    </row>
    <row r="92" spans="1:12" ht="26.25" customHeight="1" x14ac:dyDescent="0.4">
      <c r="A92" s="116" t="s">
        <v>66</v>
      </c>
      <c r="B92" s="117">
        <v>1</v>
      </c>
      <c r="C92" s="188">
        <v>2</v>
      </c>
      <c r="D92" s="311">
        <v>124669583</v>
      </c>
      <c r="E92" s="129">
        <f>IF(ISBLANK(D92),"-",$D$101/$D$98*D92)</f>
        <v>139356679.59551552</v>
      </c>
      <c r="F92" s="311">
        <v>128770372</v>
      </c>
      <c r="G92" s="130">
        <f>IF(ISBLANK(F92),"-",$D$101/$F$98*F92)</f>
        <v>137529428.77764809</v>
      </c>
      <c r="I92" s="547">
        <f>ABS((F96/D96*D95)-F95)/D95</f>
        <v>1.1475901469175879E-2</v>
      </c>
    </row>
    <row r="93" spans="1:12" ht="26.25" customHeight="1" x14ac:dyDescent="0.4">
      <c r="A93" s="116" t="s">
        <v>67</v>
      </c>
      <c r="B93" s="117">
        <v>1</v>
      </c>
      <c r="C93" s="188">
        <v>3</v>
      </c>
      <c r="D93" s="311">
        <v>124300506</v>
      </c>
      <c r="E93" s="129">
        <f>IF(ISBLANK(D93),"-",$D$101/$D$98*D93)</f>
        <v>138944122.30609974</v>
      </c>
      <c r="F93" s="311">
        <v>128797050</v>
      </c>
      <c r="G93" s="130">
        <f>IF(ISBLANK(F93),"-",$D$101/$F$98*F93)</f>
        <v>137557921.43511227</v>
      </c>
      <c r="I93" s="547"/>
    </row>
    <row r="94" spans="1:12" ht="27" customHeight="1" x14ac:dyDescent="0.4">
      <c r="A94" s="116" t="s">
        <v>68</v>
      </c>
      <c r="B94" s="117">
        <v>1</v>
      </c>
      <c r="C94" s="205">
        <v>4</v>
      </c>
      <c r="D94" s="133"/>
      <c r="E94" s="134" t="str">
        <f>IF(ISBLANK(D94),"-",$D$101/$D$98*D94)</f>
        <v>-</v>
      </c>
      <c r="F94" s="206"/>
      <c r="G94" s="135" t="str">
        <f>IF(ISBLANK(F94),"-",$D$101/$F$98*F94)</f>
        <v>-</v>
      </c>
      <c r="I94" s="136"/>
    </row>
    <row r="95" spans="1:12" ht="27" customHeight="1" x14ac:dyDescent="0.4">
      <c r="A95" s="116" t="s">
        <v>69</v>
      </c>
      <c r="B95" s="117">
        <v>1</v>
      </c>
      <c r="C95" s="207" t="s">
        <v>70</v>
      </c>
      <c r="D95" s="208">
        <f>AVERAGE(D91:D94)</f>
        <v>124501015</v>
      </c>
      <c r="E95" s="139">
        <f>AVERAGE(E91:E94)</f>
        <v>139168252.90633619</v>
      </c>
      <c r="F95" s="209">
        <f>AVERAGE(F91:F94)</f>
        <v>128876060.33333333</v>
      </c>
      <c r="G95" s="210">
        <f>AVERAGE(G91:G94)</f>
        <v>137642306.11026773</v>
      </c>
    </row>
    <row r="96" spans="1:12" ht="26.25" customHeight="1" x14ac:dyDescent="0.4">
      <c r="A96" s="116" t="s">
        <v>71</v>
      </c>
      <c r="B96" s="102">
        <v>1</v>
      </c>
      <c r="C96" s="211" t="s">
        <v>112</v>
      </c>
      <c r="D96" s="212">
        <v>19.95</v>
      </c>
      <c r="E96" s="131"/>
      <c r="F96" s="143">
        <v>20.88</v>
      </c>
    </row>
    <row r="97" spans="1:10" ht="26.25" customHeight="1" x14ac:dyDescent="0.4">
      <c r="A97" s="116" t="s">
        <v>73</v>
      </c>
      <c r="B97" s="102">
        <v>1</v>
      </c>
      <c r="C97" s="213" t="s">
        <v>113</v>
      </c>
      <c r="D97" s="214">
        <f>D96*$B$87</f>
        <v>19.95</v>
      </c>
      <c r="E97" s="146"/>
      <c r="F97" s="145">
        <f>F96*$B$87</f>
        <v>20.88</v>
      </c>
    </row>
    <row r="98" spans="1:10" ht="19.5" customHeight="1" x14ac:dyDescent="0.3">
      <c r="A98" s="116" t="s">
        <v>75</v>
      </c>
      <c r="B98" s="215">
        <f>(B97/B96)*(B95/B94)*(B93/B92)*(B91/B90)*B89</f>
        <v>125</v>
      </c>
      <c r="C98" s="213" t="s">
        <v>114</v>
      </c>
      <c r="D98" s="216">
        <f>D97*$B$83/100</f>
        <v>19.880175000000001</v>
      </c>
      <c r="E98" s="149"/>
      <c r="F98" s="148">
        <f>F97*$B$83/100</f>
        <v>20.806920000000002</v>
      </c>
    </row>
    <row r="99" spans="1:10" ht="19.5" customHeight="1" x14ac:dyDescent="0.3">
      <c r="A99" s="548" t="s">
        <v>77</v>
      </c>
      <c r="B99" s="562"/>
      <c r="C99" s="213" t="s">
        <v>115</v>
      </c>
      <c r="D99" s="217">
        <f>D98/$B$98</f>
        <v>0.1590414</v>
      </c>
      <c r="E99" s="149"/>
      <c r="F99" s="152">
        <f>F98/$B$98</f>
        <v>0.16645536000000002</v>
      </c>
      <c r="G99" s="218"/>
      <c r="H99" s="141"/>
    </row>
    <row r="100" spans="1:10" ht="19.5" customHeight="1" x14ac:dyDescent="0.3">
      <c r="A100" s="550"/>
      <c r="B100" s="563"/>
      <c r="C100" s="213" t="s">
        <v>79</v>
      </c>
      <c r="D100" s="219">
        <f>$B$56/$B$116</f>
        <v>0.17777777777777778</v>
      </c>
      <c r="F100" s="157"/>
      <c r="G100" s="220"/>
      <c r="H100" s="141"/>
    </row>
    <row r="101" spans="1:10" ht="18.75" x14ac:dyDescent="0.3">
      <c r="C101" s="213" t="s">
        <v>80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">
      <c r="C102" s="221" t="s">
        <v>81</v>
      </c>
      <c r="D102" s="222">
        <f>D101/B34</f>
        <v>22.222222222222221</v>
      </c>
      <c r="F102" s="161"/>
      <c r="G102" s="218"/>
      <c r="H102" s="141"/>
      <c r="J102" s="223"/>
    </row>
    <row r="103" spans="1:10" ht="18.75" x14ac:dyDescent="0.3">
      <c r="C103" s="224" t="s">
        <v>116</v>
      </c>
      <c r="D103" s="225">
        <f>AVERAGE(E91:E94,G91:G94)</f>
        <v>138405279.50830194</v>
      </c>
      <c r="F103" s="161"/>
      <c r="G103" s="226"/>
      <c r="H103" s="141"/>
      <c r="J103" s="227"/>
    </row>
    <row r="104" spans="1:10" ht="18.75" x14ac:dyDescent="0.3">
      <c r="C104" s="191" t="s">
        <v>83</v>
      </c>
      <c r="D104" s="228">
        <f>STDEV(E91:E94,G91:G94)/D103</f>
        <v>6.1634948127435142E-3</v>
      </c>
      <c r="F104" s="161"/>
      <c r="G104" s="218"/>
      <c r="H104" s="141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1"/>
      <c r="G105" s="218"/>
      <c r="H105" s="141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4" t="s">
        <v>117</v>
      </c>
      <c r="B107" s="115">
        <v>900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16" t="s">
        <v>121</v>
      </c>
      <c r="B108" s="117">
        <v>2</v>
      </c>
      <c r="C108" s="234">
        <v>1</v>
      </c>
      <c r="D108" s="235">
        <v>137021721</v>
      </c>
      <c r="E108" s="266">
        <f t="shared" ref="E108:E113" si="1">IF(ISBLANK(D108),"-",D108/$D$103*$D$100*$B$116)</f>
        <v>792.00285704003693</v>
      </c>
      <c r="F108" s="236">
        <f t="shared" ref="F108:F113" si="2">IF(ISBLANK(D108), "-", E108/$B$56)</f>
        <v>0.99000357130004613</v>
      </c>
    </row>
    <row r="109" spans="1:10" ht="26.25" customHeight="1" x14ac:dyDescent="0.4">
      <c r="A109" s="116" t="s">
        <v>94</v>
      </c>
      <c r="B109" s="117">
        <v>10</v>
      </c>
      <c r="C109" s="234">
        <v>2</v>
      </c>
      <c r="D109" s="235">
        <v>137002728</v>
      </c>
      <c r="E109" s="267">
        <f t="shared" si="1"/>
        <v>791.89307510069182</v>
      </c>
      <c r="F109" s="237">
        <f t="shared" si="2"/>
        <v>0.98986634387586481</v>
      </c>
    </row>
    <row r="110" spans="1:10" ht="26.25" customHeight="1" x14ac:dyDescent="0.4">
      <c r="A110" s="116" t="s">
        <v>95</v>
      </c>
      <c r="B110" s="117">
        <v>1</v>
      </c>
      <c r="C110" s="234">
        <v>3</v>
      </c>
      <c r="D110" s="235">
        <v>133309912</v>
      </c>
      <c r="E110" s="267">
        <f t="shared" si="1"/>
        <v>770.54813211516955</v>
      </c>
      <c r="F110" s="237">
        <f t="shared" si="2"/>
        <v>0.96318516514396191</v>
      </c>
    </row>
    <row r="111" spans="1:10" ht="26.25" customHeight="1" x14ac:dyDescent="0.4">
      <c r="A111" s="116" t="s">
        <v>96</v>
      </c>
      <c r="B111" s="117">
        <v>1</v>
      </c>
      <c r="C111" s="234">
        <v>4</v>
      </c>
      <c r="D111" s="235">
        <v>136212997</v>
      </c>
      <c r="E111" s="267">
        <f t="shared" si="1"/>
        <v>787.32833015566905</v>
      </c>
      <c r="F111" s="237">
        <f t="shared" si="2"/>
        <v>0.98416041269458632</v>
      </c>
    </row>
    <row r="112" spans="1:10" ht="26.25" customHeight="1" x14ac:dyDescent="0.4">
      <c r="A112" s="116" t="s">
        <v>97</v>
      </c>
      <c r="B112" s="117">
        <v>1</v>
      </c>
      <c r="C112" s="234">
        <v>5</v>
      </c>
      <c r="D112" s="235">
        <v>136143794</v>
      </c>
      <c r="E112" s="267">
        <f t="shared" si="1"/>
        <v>786.92832807340255</v>
      </c>
      <c r="F112" s="237">
        <f t="shared" si="2"/>
        <v>0.9836604100917532</v>
      </c>
    </row>
    <row r="113" spans="1:10" ht="26.25" customHeight="1" x14ac:dyDescent="0.4">
      <c r="A113" s="116" t="s">
        <v>99</v>
      </c>
      <c r="B113" s="117">
        <v>1</v>
      </c>
      <c r="C113" s="238">
        <v>6</v>
      </c>
      <c r="D113" s="239">
        <v>134671659</v>
      </c>
      <c r="E113" s="268">
        <f t="shared" si="1"/>
        <v>778.41920180174645</v>
      </c>
      <c r="F113" s="240">
        <f t="shared" si="2"/>
        <v>0.97302400225218311</v>
      </c>
    </row>
    <row r="114" spans="1:10" ht="26.25" customHeight="1" x14ac:dyDescent="0.4">
      <c r="A114" s="116" t="s">
        <v>100</v>
      </c>
      <c r="B114" s="117">
        <v>1</v>
      </c>
      <c r="C114" s="234"/>
      <c r="D114" s="188"/>
      <c r="E114" s="90"/>
      <c r="F114" s="241"/>
    </row>
    <row r="115" spans="1:10" ht="26.25" customHeight="1" x14ac:dyDescent="0.4">
      <c r="A115" s="116" t="s">
        <v>101</v>
      </c>
      <c r="B115" s="117">
        <v>1</v>
      </c>
      <c r="C115" s="234"/>
      <c r="D115" s="242" t="s">
        <v>70</v>
      </c>
      <c r="E115" s="270">
        <f>AVERAGE(E108:E113)</f>
        <v>784.51998738111934</v>
      </c>
      <c r="F115" s="243">
        <f>AVERAGE(F108:F113)</f>
        <v>0.98064998422639915</v>
      </c>
    </row>
    <row r="116" spans="1:10" ht="27" customHeight="1" x14ac:dyDescent="0.4">
      <c r="A116" s="116" t="s">
        <v>102</v>
      </c>
      <c r="B116" s="147">
        <f>(B115/B114)*(B113/B112)*(B111/B110)*(B109/B108)*B107</f>
        <v>4500</v>
      </c>
      <c r="C116" s="244"/>
      <c r="D116" s="207" t="s">
        <v>83</v>
      </c>
      <c r="E116" s="245">
        <f>STDEV(E108:E113)/E115</f>
        <v>1.0762805978229364E-2</v>
      </c>
      <c r="F116" s="245">
        <f>STDEV(F108:F113)/F115</f>
        <v>1.0762805978229369E-2</v>
      </c>
      <c r="I116" s="90"/>
    </row>
    <row r="117" spans="1:10" ht="27" customHeight="1" x14ac:dyDescent="0.4">
      <c r="A117" s="548" t="s">
        <v>77</v>
      </c>
      <c r="B117" s="549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0"/>
      <c r="J117" s="227"/>
    </row>
    <row r="118" spans="1:10" ht="19.5" customHeight="1" x14ac:dyDescent="0.3">
      <c r="A118" s="550"/>
      <c r="B118" s="551"/>
      <c r="C118" s="90"/>
      <c r="D118" s="90"/>
      <c r="E118" s="90"/>
      <c r="F118" s="188"/>
      <c r="G118" s="90"/>
      <c r="H118" s="90"/>
      <c r="I118" s="90"/>
    </row>
    <row r="119" spans="1:10" ht="18.75" x14ac:dyDescent="0.3">
      <c r="A119" s="257"/>
      <c r="B119" s="112"/>
      <c r="C119" s="90"/>
      <c r="D119" s="90"/>
      <c r="E119" s="90"/>
      <c r="F119" s="188"/>
      <c r="G119" s="90"/>
      <c r="H119" s="90"/>
      <c r="I119" s="90"/>
    </row>
    <row r="120" spans="1:10" ht="26.25" customHeight="1" x14ac:dyDescent="0.4">
      <c r="A120" s="100" t="s">
        <v>105</v>
      </c>
      <c r="B120" s="195" t="s">
        <v>122</v>
      </c>
      <c r="C120" s="560" t="str">
        <f>B20</f>
        <v>Sulphamethoxazole 800 mg</v>
      </c>
      <c r="D120" s="560"/>
      <c r="E120" s="196" t="s">
        <v>123</v>
      </c>
      <c r="F120" s="196"/>
      <c r="G120" s="197">
        <f>F115</f>
        <v>0.98064998422639915</v>
      </c>
      <c r="H120" s="90"/>
      <c r="I120" s="90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61" t="s">
        <v>25</v>
      </c>
      <c r="C122" s="561"/>
      <c r="E122" s="202" t="s">
        <v>26</v>
      </c>
      <c r="F122" s="251"/>
      <c r="G122" s="561" t="s">
        <v>27</v>
      </c>
      <c r="H122" s="561"/>
    </row>
    <row r="123" spans="1:10" ht="69.95" customHeight="1" x14ac:dyDescent="0.3">
      <c r="A123" s="252" t="s">
        <v>28</v>
      </c>
      <c r="B123" s="253"/>
      <c r="C123" s="253"/>
      <c r="E123" s="253"/>
      <c r="F123" s="90"/>
      <c r="G123" s="254"/>
      <c r="H123" s="254"/>
    </row>
    <row r="124" spans="1:10" ht="69.95" customHeight="1" x14ac:dyDescent="0.3">
      <c r="A124" s="252" t="s">
        <v>29</v>
      </c>
      <c r="B124" s="255"/>
      <c r="C124" s="255"/>
      <c r="E124" s="255"/>
      <c r="F124" s="90"/>
      <c r="G124" s="256"/>
      <c r="H124" s="256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0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0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0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0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0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0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0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0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9" zoomScale="55" zoomScaleNormal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8" t="s">
        <v>44</v>
      </c>
      <c r="B1" s="558"/>
      <c r="C1" s="558"/>
      <c r="D1" s="558"/>
      <c r="E1" s="558"/>
      <c r="F1" s="558"/>
      <c r="G1" s="558"/>
      <c r="H1" s="558"/>
      <c r="I1" s="558"/>
    </row>
    <row r="2" spans="1:9" ht="18.75" customHeight="1" x14ac:dyDescent="0.25">
      <c r="A2" s="558"/>
      <c r="B2" s="558"/>
      <c r="C2" s="558"/>
      <c r="D2" s="558"/>
      <c r="E2" s="558"/>
      <c r="F2" s="558"/>
      <c r="G2" s="558"/>
      <c r="H2" s="558"/>
      <c r="I2" s="558"/>
    </row>
    <row r="3" spans="1:9" ht="18.75" customHeight="1" x14ac:dyDescent="0.25">
      <c r="A3" s="558"/>
      <c r="B3" s="558"/>
      <c r="C3" s="558"/>
      <c r="D3" s="558"/>
      <c r="E3" s="558"/>
      <c r="F3" s="558"/>
      <c r="G3" s="558"/>
      <c r="H3" s="558"/>
      <c r="I3" s="558"/>
    </row>
    <row r="4" spans="1:9" ht="18.75" customHeight="1" x14ac:dyDescent="0.25">
      <c r="A4" s="558"/>
      <c r="B4" s="558"/>
      <c r="C4" s="558"/>
      <c r="D4" s="558"/>
      <c r="E4" s="558"/>
      <c r="F4" s="558"/>
      <c r="G4" s="558"/>
      <c r="H4" s="558"/>
      <c r="I4" s="558"/>
    </row>
    <row r="5" spans="1:9" ht="18.75" customHeight="1" x14ac:dyDescent="0.25">
      <c r="A5" s="558"/>
      <c r="B5" s="558"/>
      <c r="C5" s="558"/>
      <c r="D5" s="558"/>
      <c r="E5" s="558"/>
      <c r="F5" s="558"/>
      <c r="G5" s="558"/>
      <c r="H5" s="558"/>
      <c r="I5" s="558"/>
    </row>
    <row r="6" spans="1:9" ht="18.75" customHeight="1" x14ac:dyDescent="0.25">
      <c r="A6" s="558"/>
      <c r="B6" s="558"/>
      <c r="C6" s="558"/>
      <c r="D6" s="558"/>
      <c r="E6" s="558"/>
      <c r="F6" s="558"/>
      <c r="G6" s="558"/>
      <c r="H6" s="558"/>
      <c r="I6" s="558"/>
    </row>
    <row r="7" spans="1:9" ht="18.75" customHeight="1" x14ac:dyDescent="0.25">
      <c r="A7" s="558"/>
      <c r="B7" s="558"/>
      <c r="C7" s="558"/>
      <c r="D7" s="558"/>
      <c r="E7" s="558"/>
      <c r="F7" s="558"/>
      <c r="G7" s="558"/>
      <c r="H7" s="558"/>
      <c r="I7" s="558"/>
    </row>
    <row r="8" spans="1:9" x14ac:dyDescent="0.25">
      <c r="A8" s="559" t="s">
        <v>45</v>
      </c>
      <c r="B8" s="559"/>
      <c r="C8" s="559"/>
      <c r="D8" s="559"/>
      <c r="E8" s="559"/>
      <c r="F8" s="559"/>
      <c r="G8" s="559"/>
      <c r="H8" s="559"/>
      <c r="I8" s="559"/>
    </row>
    <row r="9" spans="1:9" x14ac:dyDescent="0.25">
      <c r="A9" s="559"/>
      <c r="B9" s="559"/>
      <c r="C9" s="559"/>
      <c r="D9" s="559"/>
      <c r="E9" s="559"/>
      <c r="F9" s="559"/>
      <c r="G9" s="559"/>
      <c r="H9" s="559"/>
      <c r="I9" s="559"/>
    </row>
    <row r="10" spans="1:9" x14ac:dyDescent="0.25">
      <c r="A10" s="559"/>
      <c r="B10" s="559"/>
      <c r="C10" s="559"/>
      <c r="D10" s="559"/>
      <c r="E10" s="559"/>
      <c r="F10" s="559"/>
      <c r="G10" s="559"/>
      <c r="H10" s="559"/>
      <c r="I10" s="559"/>
    </row>
    <row r="11" spans="1:9" x14ac:dyDescent="0.25">
      <c r="A11" s="559"/>
      <c r="B11" s="559"/>
      <c r="C11" s="559"/>
      <c r="D11" s="559"/>
      <c r="E11" s="559"/>
      <c r="F11" s="559"/>
      <c r="G11" s="559"/>
      <c r="H11" s="559"/>
      <c r="I11" s="559"/>
    </row>
    <row r="12" spans="1:9" x14ac:dyDescent="0.25">
      <c r="A12" s="559"/>
      <c r="B12" s="559"/>
      <c r="C12" s="559"/>
      <c r="D12" s="559"/>
      <c r="E12" s="559"/>
      <c r="F12" s="559"/>
      <c r="G12" s="559"/>
      <c r="H12" s="559"/>
      <c r="I12" s="559"/>
    </row>
    <row r="13" spans="1:9" x14ac:dyDescent="0.25">
      <c r="A13" s="559"/>
      <c r="B13" s="559"/>
      <c r="C13" s="559"/>
      <c r="D13" s="559"/>
      <c r="E13" s="559"/>
      <c r="F13" s="559"/>
      <c r="G13" s="559"/>
      <c r="H13" s="559"/>
      <c r="I13" s="559"/>
    </row>
    <row r="14" spans="1:9" x14ac:dyDescent="0.25">
      <c r="A14" s="559"/>
      <c r="B14" s="559"/>
      <c r="C14" s="559"/>
      <c r="D14" s="559"/>
      <c r="E14" s="559"/>
      <c r="F14" s="559"/>
      <c r="G14" s="559"/>
      <c r="H14" s="559"/>
      <c r="I14" s="559"/>
    </row>
    <row r="15" spans="1:9" ht="19.5" customHeight="1" x14ac:dyDescent="0.3">
      <c r="A15" s="272"/>
    </row>
    <row r="16" spans="1:9" ht="19.5" customHeight="1" x14ac:dyDescent="0.3">
      <c r="A16" s="530" t="s">
        <v>30</v>
      </c>
      <c r="B16" s="531"/>
      <c r="C16" s="531"/>
      <c r="D16" s="531"/>
      <c r="E16" s="531"/>
      <c r="F16" s="531"/>
      <c r="G16" s="531"/>
      <c r="H16" s="532"/>
    </row>
    <row r="17" spans="1:14" ht="20.25" customHeight="1" x14ac:dyDescent="0.25">
      <c r="A17" s="533" t="s">
        <v>46</v>
      </c>
      <c r="B17" s="533"/>
      <c r="C17" s="533"/>
      <c r="D17" s="533"/>
      <c r="E17" s="533"/>
      <c r="F17" s="533"/>
      <c r="G17" s="533"/>
      <c r="H17" s="533"/>
    </row>
    <row r="18" spans="1:14" ht="26.25" customHeight="1" x14ac:dyDescent="0.4">
      <c r="A18" s="274" t="s">
        <v>32</v>
      </c>
      <c r="B18" s="534" t="s">
        <v>5</v>
      </c>
      <c r="C18" s="534"/>
      <c r="D18" s="441"/>
      <c r="E18" s="275"/>
      <c r="F18" s="276"/>
      <c r="G18" s="276"/>
      <c r="H18" s="276"/>
    </row>
    <row r="19" spans="1:14" ht="26.25" customHeight="1" x14ac:dyDescent="0.4">
      <c r="A19" s="274" t="s">
        <v>33</v>
      </c>
      <c r="B19" s="277" t="s">
        <v>7</v>
      </c>
      <c r="C19" s="454">
        <v>29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34</v>
      </c>
      <c r="B20" s="535" t="s">
        <v>129</v>
      </c>
      <c r="C20" s="535"/>
      <c r="D20" s="276"/>
      <c r="E20" s="276"/>
      <c r="F20" s="276"/>
      <c r="G20" s="276"/>
      <c r="H20" s="276"/>
    </row>
    <row r="21" spans="1:14" ht="26.25" customHeight="1" x14ac:dyDescent="0.4">
      <c r="A21" s="274" t="s">
        <v>35</v>
      </c>
      <c r="B21" s="535" t="s">
        <v>11</v>
      </c>
      <c r="C21" s="535"/>
      <c r="D21" s="535"/>
      <c r="E21" s="535"/>
      <c r="F21" s="535"/>
      <c r="G21" s="535"/>
      <c r="H21" s="535"/>
      <c r="I21" s="278"/>
    </row>
    <row r="22" spans="1:14" ht="26.25" customHeight="1" x14ac:dyDescent="0.4">
      <c r="A22" s="274" t="s">
        <v>36</v>
      </c>
      <c r="B22" s="279">
        <v>42349.515798611108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37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529" t="s">
        <v>125</v>
      </c>
      <c r="C26" s="529"/>
    </row>
    <row r="27" spans="1:14" ht="26.25" customHeight="1" x14ac:dyDescent="0.4">
      <c r="A27" s="283" t="s">
        <v>47</v>
      </c>
      <c r="B27" s="536" t="s">
        <v>128</v>
      </c>
      <c r="C27" s="536"/>
    </row>
    <row r="28" spans="1:14" ht="27" customHeight="1" x14ac:dyDescent="0.4">
      <c r="A28" s="283" t="s">
        <v>6</v>
      </c>
      <c r="B28" s="284">
        <v>99.3</v>
      </c>
    </row>
    <row r="29" spans="1:14" s="11" customFormat="1" ht="27" customHeight="1" x14ac:dyDescent="0.4">
      <c r="A29" s="283" t="s">
        <v>48</v>
      </c>
      <c r="B29" s="285">
        <v>0</v>
      </c>
      <c r="C29" s="537" t="s">
        <v>49</v>
      </c>
      <c r="D29" s="538"/>
      <c r="E29" s="538"/>
      <c r="F29" s="538"/>
      <c r="G29" s="539"/>
      <c r="I29" s="286"/>
      <c r="J29" s="286"/>
      <c r="K29" s="286"/>
      <c r="L29" s="286"/>
    </row>
    <row r="30" spans="1:14" s="11" customFormat="1" ht="19.5" customHeight="1" x14ac:dyDescent="0.3">
      <c r="A30" s="283" t="s">
        <v>50</v>
      </c>
      <c r="B30" s="287">
        <f>B28-B29</f>
        <v>99.3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1" customFormat="1" ht="27" customHeight="1" x14ac:dyDescent="0.4">
      <c r="A31" s="283" t="s">
        <v>51</v>
      </c>
      <c r="B31" s="290">
        <v>1</v>
      </c>
      <c r="C31" s="540" t="s">
        <v>52</v>
      </c>
      <c r="D31" s="541"/>
      <c r="E31" s="541"/>
      <c r="F31" s="541"/>
      <c r="G31" s="541"/>
      <c r="H31" s="542"/>
      <c r="I31" s="286"/>
      <c r="J31" s="286"/>
      <c r="K31" s="286"/>
      <c r="L31" s="286"/>
    </row>
    <row r="32" spans="1:14" s="11" customFormat="1" ht="27" customHeight="1" x14ac:dyDescent="0.4">
      <c r="A32" s="283" t="s">
        <v>53</v>
      </c>
      <c r="B32" s="290">
        <v>1</v>
      </c>
      <c r="C32" s="540" t="s">
        <v>54</v>
      </c>
      <c r="D32" s="541"/>
      <c r="E32" s="541"/>
      <c r="F32" s="541"/>
      <c r="G32" s="541"/>
      <c r="H32" s="542"/>
      <c r="I32" s="286"/>
      <c r="J32" s="286"/>
      <c r="K32" s="286"/>
      <c r="L32" s="291"/>
      <c r="M32" s="291"/>
      <c r="N32" s="292"/>
    </row>
    <row r="33" spans="1:14" s="11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1" customFormat="1" ht="18.75" x14ac:dyDescent="0.3">
      <c r="A34" s="283" t="s">
        <v>55</v>
      </c>
      <c r="B34" s="295">
        <f>B31/B32</f>
        <v>1</v>
      </c>
      <c r="C34" s="273" t="s">
        <v>56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1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1" customFormat="1" ht="27" customHeight="1" x14ac:dyDescent="0.4">
      <c r="A36" s="296" t="s">
        <v>57</v>
      </c>
      <c r="B36" s="464">
        <v>25</v>
      </c>
      <c r="C36" s="273"/>
      <c r="D36" s="543" t="s">
        <v>58</v>
      </c>
      <c r="E36" s="544"/>
      <c r="F36" s="543" t="s">
        <v>59</v>
      </c>
      <c r="G36" s="545"/>
      <c r="J36" s="286"/>
      <c r="K36" s="286"/>
      <c r="L36" s="291"/>
      <c r="M36" s="291"/>
      <c r="N36" s="292"/>
    </row>
    <row r="37" spans="1:14" s="11" customFormat="1" ht="27" customHeight="1" x14ac:dyDescent="0.4">
      <c r="A37" s="298" t="s">
        <v>60</v>
      </c>
      <c r="B37" s="465">
        <v>2</v>
      </c>
      <c r="C37" s="300" t="s">
        <v>61</v>
      </c>
      <c r="D37" s="301" t="s">
        <v>62</v>
      </c>
      <c r="E37" s="302" t="s">
        <v>63</v>
      </c>
      <c r="F37" s="301" t="s">
        <v>62</v>
      </c>
      <c r="G37" s="303" t="s">
        <v>63</v>
      </c>
      <c r="I37" s="304" t="s">
        <v>64</v>
      </c>
      <c r="J37" s="286"/>
      <c r="K37" s="286"/>
      <c r="L37" s="291"/>
      <c r="M37" s="291"/>
      <c r="N37" s="292"/>
    </row>
    <row r="38" spans="1:14" s="11" customFormat="1" ht="26.25" customHeight="1" x14ac:dyDescent="0.4">
      <c r="A38" s="298" t="s">
        <v>65</v>
      </c>
      <c r="B38" s="465">
        <v>50</v>
      </c>
      <c r="C38" s="305">
        <v>1</v>
      </c>
      <c r="D38" s="306">
        <v>12979716</v>
      </c>
      <c r="E38" s="307">
        <f>IF(ISBLANK(D38),"-",$D$48/$D$45*D38)</f>
        <v>9846489.2666746322</v>
      </c>
      <c r="F38" s="306">
        <v>9544345</v>
      </c>
      <c r="G38" s="308">
        <f>IF(ISBLANK(F38),"-",$D$48/$F$45*F38)</f>
        <v>9635715.6738775428</v>
      </c>
      <c r="I38" s="309"/>
      <c r="J38" s="286"/>
      <c r="K38" s="286"/>
      <c r="L38" s="291"/>
      <c r="M38" s="291"/>
      <c r="N38" s="292"/>
    </row>
    <row r="39" spans="1:14" s="11" customFormat="1" ht="26.25" customHeight="1" x14ac:dyDescent="0.4">
      <c r="A39" s="298" t="s">
        <v>66</v>
      </c>
      <c r="B39" s="299">
        <v>1</v>
      </c>
      <c r="C39" s="310">
        <v>2</v>
      </c>
      <c r="D39" s="311">
        <v>12981876</v>
      </c>
      <c r="E39" s="312">
        <f>IF(ISBLANK(D39),"-",$D$48/$D$45*D39)</f>
        <v>9848127.8554400578</v>
      </c>
      <c r="F39" s="311">
        <v>9532005</v>
      </c>
      <c r="G39" s="313">
        <f>IF(ISBLANK(F39),"-",$D$48/$F$45*F39)</f>
        <v>9623257.5396194402</v>
      </c>
      <c r="I39" s="547">
        <f>ABS((F43/D43*D42)-F42)/D42</f>
        <v>1.6312386629469065E-2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67</v>
      </c>
      <c r="B40" s="299">
        <v>1</v>
      </c>
      <c r="C40" s="310">
        <v>3</v>
      </c>
      <c r="D40" s="311">
        <v>12956221</v>
      </c>
      <c r="E40" s="312">
        <f>IF(ISBLANK(D40),"-",$D$48/$D$45*D40)</f>
        <v>9828665.8208210785</v>
      </c>
      <c r="F40" s="311">
        <v>9532136</v>
      </c>
      <c r="G40" s="313">
        <f>IF(ISBLANK(F40),"-",$D$48/$F$45*F40)</f>
        <v>9623389.7937189396</v>
      </c>
      <c r="I40" s="547"/>
      <c r="L40" s="291"/>
      <c r="M40" s="291"/>
      <c r="N40" s="314"/>
    </row>
    <row r="41" spans="1:14" ht="27" customHeight="1" x14ac:dyDescent="0.4">
      <c r="A41" s="298" t="s">
        <v>68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69</v>
      </c>
      <c r="B42" s="299">
        <v>1</v>
      </c>
      <c r="C42" s="320" t="s">
        <v>70</v>
      </c>
      <c r="D42" s="321">
        <f>AVERAGE(D38:D41)</f>
        <v>12972604.333333334</v>
      </c>
      <c r="E42" s="322">
        <f>AVERAGE(E38:E41)</f>
        <v>9841094.3143119216</v>
      </c>
      <c r="F42" s="321">
        <f>AVERAGE(F38:F41)</f>
        <v>9536162</v>
      </c>
      <c r="G42" s="323">
        <f>AVERAGE(G38:G41)</f>
        <v>9627454.3357386421</v>
      </c>
      <c r="H42" s="324"/>
    </row>
    <row r="43" spans="1:14" ht="26.25" customHeight="1" x14ac:dyDescent="0.4">
      <c r="A43" s="298" t="s">
        <v>71</v>
      </c>
      <c r="B43" s="299">
        <v>1</v>
      </c>
      <c r="C43" s="325" t="s">
        <v>72</v>
      </c>
      <c r="D43" s="326">
        <v>26.55</v>
      </c>
      <c r="E43" s="314"/>
      <c r="F43" s="326">
        <v>19.95</v>
      </c>
      <c r="H43" s="324"/>
    </row>
    <row r="44" spans="1:14" ht="26.25" customHeight="1" x14ac:dyDescent="0.4">
      <c r="A44" s="298" t="s">
        <v>73</v>
      </c>
      <c r="B44" s="299">
        <v>1</v>
      </c>
      <c r="C44" s="327" t="s">
        <v>74</v>
      </c>
      <c r="D44" s="328">
        <f>D43*$B$34</f>
        <v>26.55</v>
      </c>
      <c r="E44" s="329"/>
      <c r="F44" s="328">
        <f>F43*$B$34</f>
        <v>19.95</v>
      </c>
      <c r="H44" s="324"/>
    </row>
    <row r="45" spans="1:14" ht="19.5" customHeight="1" x14ac:dyDescent="0.3">
      <c r="A45" s="298" t="s">
        <v>75</v>
      </c>
      <c r="B45" s="330">
        <f>(B44/B43)*(B42/B41)*(B40/B39)*(B38/B37)*B36</f>
        <v>625</v>
      </c>
      <c r="C45" s="327" t="s">
        <v>76</v>
      </c>
      <c r="D45" s="331">
        <f>D44*$B$30/100</f>
        <v>26.364149999999999</v>
      </c>
      <c r="E45" s="332"/>
      <c r="F45" s="331">
        <f>F44*$B$30/100</f>
        <v>19.81035</v>
      </c>
      <c r="H45" s="324"/>
    </row>
    <row r="46" spans="1:14" ht="19.5" customHeight="1" x14ac:dyDescent="0.3">
      <c r="A46" s="548" t="s">
        <v>77</v>
      </c>
      <c r="B46" s="549"/>
      <c r="C46" s="327" t="s">
        <v>78</v>
      </c>
      <c r="D46" s="333">
        <f>D45/$B$45</f>
        <v>4.218264E-2</v>
      </c>
      <c r="E46" s="334"/>
      <c r="F46" s="335">
        <f>F45/$B$45</f>
        <v>3.1696559999999999E-2</v>
      </c>
      <c r="H46" s="324"/>
    </row>
    <row r="47" spans="1:14" ht="27" customHeight="1" x14ac:dyDescent="0.4">
      <c r="A47" s="550"/>
      <c r="B47" s="551"/>
      <c r="C47" s="336" t="s">
        <v>79</v>
      </c>
      <c r="D47" s="337">
        <v>3.2000000000000001E-2</v>
      </c>
      <c r="E47" s="338"/>
      <c r="F47" s="334"/>
      <c r="H47" s="324"/>
    </row>
    <row r="48" spans="1:14" ht="18.75" x14ac:dyDescent="0.3">
      <c r="C48" s="339" t="s">
        <v>80</v>
      </c>
      <c r="D48" s="331">
        <f>D47*$B$45</f>
        <v>20</v>
      </c>
      <c r="F48" s="340"/>
      <c r="H48" s="324"/>
    </row>
    <row r="49" spans="1:12" ht="19.5" customHeight="1" x14ac:dyDescent="0.3">
      <c r="C49" s="341" t="s">
        <v>81</v>
      </c>
      <c r="D49" s="342">
        <f>D48/B34</f>
        <v>20</v>
      </c>
      <c r="F49" s="340"/>
      <c r="H49" s="324"/>
    </row>
    <row r="50" spans="1:12" ht="18.75" x14ac:dyDescent="0.3">
      <c r="C50" s="296" t="s">
        <v>82</v>
      </c>
      <c r="D50" s="343">
        <f>AVERAGE(E38:E41,G38:G41)</f>
        <v>9734274.3250252809</v>
      </c>
      <c r="F50" s="344"/>
      <c r="H50" s="324"/>
    </row>
    <row r="51" spans="1:12" ht="18.75" x14ac:dyDescent="0.3">
      <c r="C51" s="298" t="s">
        <v>83</v>
      </c>
      <c r="D51" s="345">
        <f>STDEV(E38:E41,G38:G41)/D50</f>
        <v>1.2050383334824137E-2</v>
      </c>
      <c r="F51" s="344"/>
      <c r="H51" s="324"/>
    </row>
    <row r="52" spans="1:12" ht="19.5" customHeight="1" x14ac:dyDescent="0.3">
      <c r="C52" s="346" t="s">
        <v>20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84</v>
      </c>
    </row>
    <row r="55" spans="1:12" ht="18.75" x14ac:dyDescent="0.3">
      <c r="A55" s="273" t="s">
        <v>85</v>
      </c>
      <c r="B55" s="350" t="str">
        <f>B21</f>
        <v>Each tablet contains Sulfamethoxazole BP 800mg  &amp; Trimethoprim BP 160mg</v>
      </c>
    </row>
    <row r="56" spans="1:12" ht="26.25" customHeight="1" x14ac:dyDescent="0.4">
      <c r="A56" s="351" t="s">
        <v>86</v>
      </c>
      <c r="B56" s="352">
        <v>160</v>
      </c>
      <c r="C56" s="273" t="str">
        <f>B20</f>
        <v xml:space="preserve"> Trimethoprim 160 mg</v>
      </c>
      <c r="H56" s="353"/>
    </row>
    <row r="57" spans="1:12" ht="18.75" x14ac:dyDescent="0.3">
      <c r="A57" s="350" t="s">
        <v>87</v>
      </c>
      <c r="B57" s="442">
        <f>Uniformity!C46</f>
        <v>1055.192</v>
      </c>
      <c r="H57" s="353"/>
    </row>
    <row r="58" spans="1:12" ht="19.5" customHeight="1" x14ac:dyDescent="0.3">
      <c r="H58" s="353"/>
    </row>
    <row r="59" spans="1:12" s="11" customFormat="1" ht="27" customHeight="1" x14ac:dyDescent="0.4">
      <c r="A59" s="296" t="s">
        <v>88</v>
      </c>
      <c r="B59" s="464">
        <v>200</v>
      </c>
      <c r="C59" s="273"/>
      <c r="D59" s="354" t="s">
        <v>89</v>
      </c>
      <c r="E59" s="355" t="s">
        <v>61</v>
      </c>
      <c r="F59" s="355" t="s">
        <v>62</v>
      </c>
      <c r="G59" s="355" t="s">
        <v>90</v>
      </c>
      <c r="H59" s="300" t="s">
        <v>91</v>
      </c>
      <c r="L59" s="286"/>
    </row>
    <row r="60" spans="1:12" s="11" customFormat="1" ht="26.25" customHeight="1" x14ac:dyDescent="0.4">
      <c r="A60" s="298" t="s">
        <v>92</v>
      </c>
      <c r="B60" s="465">
        <v>2</v>
      </c>
      <c r="C60" s="552" t="s">
        <v>93</v>
      </c>
      <c r="D60" s="555">
        <v>1065</v>
      </c>
      <c r="E60" s="356">
        <v>1</v>
      </c>
      <c r="F60" s="357">
        <v>9481918</v>
      </c>
      <c r="G60" s="443">
        <f>IF(ISBLANK(F60),"-",(F60/$D$50*$D$47*$B$68)*($B$57/$D$60))</f>
        <v>154.41677534242623</v>
      </c>
      <c r="H60" s="358">
        <f t="shared" ref="H60:H71" si="0">IF(ISBLANK(F60),"-",G60/$B$56)</f>
        <v>0.96510484589016399</v>
      </c>
      <c r="L60" s="286"/>
    </row>
    <row r="61" spans="1:12" s="11" customFormat="1" ht="26.25" customHeight="1" x14ac:dyDescent="0.4">
      <c r="A61" s="298" t="s">
        <v>94</v>
      </c>
      <c r="B61" s="465">
        <v>50</v>
      </c>
      <c r="C61" s="553"/>
      <c r="D61" s="556"/>
      <c r="E61" s="359">
        <v>2</v>
      </c>
      <c r="F61" s="311">
        <v>9473041</v>
      </c>
      <c r="G61" s="444">
        <f>IF(ISBLANK(F61),"-",(F61/$D$50*$D$47*$B$68)*($B$57/$D$60))</f>
        <v>154.27220989536008</v>
      </c>
      <c r="H61" s="360">
        <f t="shared" si="0"/>
        <v>0.96420131184600044</v>
      </c>
      <c r="L61" s="286"/>
    </row>
    <row r="62" spans="1:12" s="11" customFormat="1" ht="26.25" customHeight="1" x14ac:dyDescent="0.4">
      <c r="A62" s="298" t="s">
        <v>95</v>
      </c>
      <c r="B62" s="299">
        <v>1</v>
      </c>
      <c r="C62" s="553"/>
      <c r="D62" s="556"/>
      <c r="E62" s="359">
        <v>3</v>
      </c>
      <c r="F62" s="361">
        <v>9476308</v>
      </c>
      <c r="G62" s="444">
        <f>IF(ISBLANK(F62),"-",(F62/$D$50*$D$47*$B$68)*($B$57/$D$60))</f>
        <v>154.32541427922456</v>
      </c>
      <c r="H62" s="360">
        <f t="shared" si="0"/>
        <v>0.96453383924515346</v>
      </c>
      <c r="L62" s="286"/>
    </row>
    <row r="63" spans="1:12" ht="27" customHeight="1" x14ac:dyDescent="0.4">
      <c r="A63" s="298" t="s">
        <v>96</v>
      </c>
      <c r="B63" s="299">
        <v>1</v>
      </c>
      <c r="C63" s="554"/>
      <c r="D63" s="557"/>
      <c r="E63" s="362">
        <v>4</v>
      </c>
      <c r="F63" s="363"/>
      <c r="G63" s="444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98" t="s">
        <v>97</v>
      </c>
      <c r="B64" s="299">
        <v>1</v>
      </c>
      <c r="C64" s="552" t="s">
        <v>98</v>
      </c>
      <c r="D64" s="555">
        <v>1054.6500000000001</v>
      </c>
      <c r="E64" s="356">
        <v>1</v>
      </c>
      <c r="F64" s="357">
        <v>9422738</v>
      </c>
      <c r="G64" s="445">
        <f>IF(ISBLANK(F64),"-",(F64/$D$50*$D$47*$B$68)*($B$57/$D$64))</f>
        <v>154.95894473570772</v>
      </c>
      <c r="H64" s="364">
        <f t="shared" si="0"/>
        <v>0.96849340459817324</v>
      </c>
    </row>
    <row r="65" spans="1:8" ht="26.25" customHeight="1" x14ac:dyDescent="0.4">
      <c r="A65" s="298" t="s">
        <v>99</v>
      </c>
      <c r="B65" s="299">
        <v>1</v>
      </c>
      <c r="C65" s="553"/>
      <c r="D65" s="556"/>
      <c r="E65" s="359">
        <v>2</v>
      </c>
      <c r="F65" s="311">
        <v>9423904</v>
      </c>
      <c r="G65" s="446">
        <f>IF(ISBLANK(F65),"-",(F65/$D$50*$D$47*$B$68)*($B$57/$D$64))</f>
        <v>154.97811985546187</v>
      </c>
      <c r="H65" s="365">
        <f t="shared" si="0"/>
        <v>0.96861324909663671</v>
      </c>
    </row>
    <row r="66" spans="1:8" ht="26.25" customHeight="1" x14ac:dyDescent="0.4">
      <c r="A66" s="298" t="s">
        <v>100</v>
      </c>
      <c r="B66" s="299">
        <v>1</v>
      </c>
      <c r="C66" s="553"/>
      <c r="D66" s="556"/>
      <c r="E66" s="359">
        <v>3</v>
      </c>
      <c r="F66" s="311">
        <v>9430960</v>
      </c>
      <c r="G66" s="446">
        <f>IF(ISBLANK(F66),"-",(F66/$D$50*$D$47*$B$68)*($B$57/$D$64))</f>
        <v>155.09415728683851</v>
      </c>
      <c r="H66" s="365">
        <f t="shared" si="0"/>
        <v>0.96933848304274073</v>
      </c>
    </row>
    <row r="67" spans="1:8" ht="27" customHeight="1" x14ac:dyDescent="0.4">
      <c r="A67" s="298" t="s">
        <v>101</v>
      </c>
      <c r="B67" s="299">
        <v>1</v>
      </c>
      <c r="C67" s="554"/>
      <c r="D67" s="557"/>
      <c r="E67" s="362">
        <v>4</v>
      </c>
      <c r="F67" s="363"/>
      <c r="G67" s="447" t="str">
        <f>IF(ISBLANK(F67),"-",(F67/$D$50*$D$47*$B$68)*($B$57/$D$64))</f>
        <v>-</v>
      </c>
      <c r="H67" s="366" t="str">
        <f t="shared" si="0"/>
        <v>-</v>
      </c>
    </row>
    <row r="68" spans="1:8" ht="26.25" customHeight="1" x14ac:dyDescent="0.4">
      <c r="A68" s="298" t="s">
        <v>102</v>
      </c>
      <c r="B68" s="367">
        <f>(B67/B66)*(B65/B64)*(B63/B62)*(B61/B60)*B59</f>
        <v>5000</v>
      </c>
      <c r="C68" s="552" t="s">
        <v>103</v>
      </c>
      <c r="D68" s="555">
        <v>1063.6600000000001</v>
      </c>
      <c r="E68" s="356">
        <v>1</v>
      </c>
      <c r="F68" s="357">
        <v>9465807</v>
      </c>
      <c r="G68" s="445">
        <f>IF(ISBLANK(F68),"-",(F68/$D$50*$D$47*$B$68)*($B$57/$D$68))</f>
        <v>154.34860523035539</v>
      </c>
      <c r="H68" s="360">
        <f t="shared" si="0"/>
        <v>0.96467878268972118</v>
      </c>
    </row>
    <row r="69" spans="1:8" ht="27" customHeight="1" x14ac:dyDescent="0.4">
      <c r="A69" s="346" t="s">
        <v>104</v>
      </c>
      <c r="B69" s="368">
        <f>(D47*B68)/B56*B57</f>
        <v>1055.192</v>
      </c>
      <c r="C69" s="553"/>
      <c r="D69" s="556"/>
      <c r="E69" s="359">
        <v>2</v>
      </c>
      <c r="F69" s="311">
        <v>9465640</v>
      </c>
      <c r="G69" s="446">
        <f>IF(ISBLANK(F69),"-",(F69/$D$50*$D$47*$B$68)*($B$57/$D$68))</f>
        <v>154.34588214324054</v>
      </c>
      <c r="H69" s="360">
        <f t="shared" si="0"/>
        <v>0.96466176339525345</v>
      </c>
    </row>
    <row r="70" spans="1:8" ht="26.25" customHeight="1" x14ac:dyDescent="0.4">
      <c r="A70" s="565" t="s">
        <v>77</v>
      </c>
      <c r="B70" s="566"/>
      <c r="C70" s="553"/>
      <c r="D70" s="556"/>
      <c r="E70" s="359">
        <v>3</v>
      </c>
      <c r="F70" s="311">
        <v>9464932</v>
      </c>
      <c r="G70" s="446">
        <f>IF(ISBLANK(F70),"-",(F70/$D$50*$D$47*$B$68)*($B$57/$D$68))</f>
        <v>154.33433755834639</v>
      </c>
      <c r="H70" s="360">
        <f t="shared" si="0"/>
        <v>0.9645896097396649</v>
      </c>
    </row>
    <row r="71" spans="1:8" ht="27" customHeight="1" x14ac:dyDescent="0.4">
      <c r="A71" s="567"/>
      <c r="B71" s="568"/>
      <c r="C71" s="564"/>
      <c r="D71" s="557"/>
      <c r="E71" s="362">
        <v>4</v>
      </c>
      <c r="F71" s="363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52">
        <f>AVERAGE(G60:G71)</f>
        <v>154.56382736966236</v>
      </c>
      <c r="H72" s="373">
        <f>AVERAGE(H60:H71)</f>
        <v>0.9660239210603897</v>
      </c>
    </row>
    <row r="73" spans="1:8" ht="26.25" customHeight="1" x14ac:dyDescent="0.4">
      <c r="C73" s="370"/>
      <c r="D73" s="370"/>
      <c r="E73" s="370"/>
      <c r="F73" s="374" t="s">
        <v>83</v>
      </c>
      <c r="G73" s="448">
        <f>STDEV(G60:G71)/G72</f>
        <v>2.1928272053704095E-3</v>
      </c>
      <c r="H73" s="448">
        <f>STDEV(H60:H71)/H72</f>
        <v>2.1928272053704299E-3</v>
      </c>
    </row>
    <row r="74" spans="1:8" ht="27" customHeight="1" x14ac:dyDescent="0.4">
      <c r="A74" s="370"/>
      <c r="B74" s="370"/>
      <c r="C74" s="371"/>
      <c r="D74" s="371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">
      <c r="A76" s="282" t="s">
        <v>105</v>
      </c>
      <c r="B76" s="378" t="s">
        <v>106</v>
      </c>
      <c r="C76" s="560" t="str">
        <f>B20</f>
        <v xml:space="preserve"> Trimethoprim 160 mg</v>
      </c>
      <c r="D76" s="560"/>
      <c r="E76" s="379" t="s">
        <v>107</v>
      </c>
      <c r="F76" s="379"/>
      <c r="G76" s="380">
        <f>H72</f>
        <v>0.9660239210603897</v>
      </c>
      <c r="H76" s="381"/>
    </row>
    <row r="77" spans="1:8" ht="18.75" x14ac:dyDescent="0.3">
      <c r="A77" s="281" t="s">
        <v>108</v>
      </c>
      <c r="B77" s="281" t="s">
        <v>109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546" t="str">
        <f>B26</f>
        <v>Trimethoprim</v>
      </c>
      <c r="C79" s="546"/>
    </row>
    <row r="80" spans="1:8" ht="26.25" customHeight="1" x14ac:dyDescent="0.4">
      <c r="A80" s="283" t="s">
        <v>47</v>
      </c>
      <c r="B80" s="546" t="str">
        <f>B27</f>
        <v>T14 9</v>
      </c>
      <c r="C80" s="546"/>
    </row>
    <row r="81" spans="1:12" ht="27" customHeight="1" x14ac:dyDescent="0.4">
      <c r="A81" s="283" t="s">
        <v>6</v>
      </c>
      <c r="B81" s="382">
        <f>B28</f>
        <v>99.3</v>
      </c>
    </row>
    <row r="82" spans="1:12" s="11" customFormat="1" ht="27" customHeight="1" x14ac:dyDescent="0.4">
      <c r="A82" s="283" t="s">
        <v>48</v>
      </c>
      <c r="B82" s="285">
        <v>0</v>
      </c>
      <c r="C82" s="537" t="s">
        <v>49</v>
      </c>
      <c r="D82" s="538"/>
      <c r="E82" s="538"/>
      <c r="F82" s="538"/>
      <c r="G82" s="539"/>
      <c r="I82" s="286"/>
      <c r="J82" s="286"/>
      <c r="K82" s="286"/>
      <c r="L82" s="286"/>
    </row>
    <row r="83" spans="1:12" s="11" customFormat="1" ht="19.5" customHeight="1" x14ac:dyDescent="0.3">
      <c r="A83" s="283" t="s">
        <v>50</v>
      </c>
      <c r="B83" s="287">
        <f>B81-B82</f>
        <v>99.3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1" customFormat="1" ht="27" customHeight="1" x14ac:dyDescent="0.4">
      <c r="A84" s="283" t="s">
        <v>51</v>
      </c>
      <c r="B84" s="290">
        <v>1</v>
      </c>
      <c r="C84" s="540" t="s">
        <v>110</v>
      </c>
      <c r="D84" s="541"/>
      <c r="E84" s="541"/>
      <c r="F84" s="541"/>
      <c r="G84" s="541"/>
      <c r="H84" s="542"/>
      <c r="I84" s="286"/>
      <c r="J84" s="286"/>
      <c r="K84" s="286"/>
      <c r="L84" s="286"/>
    </row>
    <row r="85" spans="1:12" s="11" customFormat="1" ht="27" customHeight="1" x14ac:dyDescent="0.4">
      <c r="A85" s="283" t="s">
        <v>53</v>
      </c>
      <c r="B85" s="290">
        <v>1</v>
      </c>
      <c r="C85" s="540" t="s">
        <v>111</v>
      </c>
      <c r="D85" s="541"/>
      <c r="E85" s="541"/>
      <c r="F85" s="541"/>
      <c r="G85" s="541"/>
      <c r="H85" s="542"/>
      <c r="I85" s="286"/>
      <c r="J85" s="286"/>
      <c r="K85" s="286"/>
      <c r="L85" s="286"/>
    </row>
    <row r="86" spans="1:12" s="11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1" customFormat="1" ht="18.75" x14ac:dyDescent="0.3">
      <c r="A87" s="283" t="s">
        <v>55</v>
      </c>
      <c r="B87" s="295">
        <f>B84/B85</f>
        <v>1</v>
      </c>
      <c r="C87" s="273" t="s">
        <v>56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57</v>
      </c>
      <c r="B89" s="297">
        <v>25</v>
      </c>
      <c r="D89" s="383" t="s">
        <v>58</v>
      </c>
      <c r="E89" s="384"/>
      <c r="F89" s="543" t="s">
        <v>59</v>
      </c>
      <c r="G89" s="545"/>
    </row>
    <row r="90" spans="1:12" ht="27" customHeight="1" x14ac:dyDescent="0.4">
      <c r="A90" s="298" t="s">
        <v>60</v>
      </c>
      <c r="B90" s="299">
        <v>2</v>
      </c>
      <c r="C90" s="385" t="s">
        <v>61</v>
      </c>
      <c r="D90" s="301" t="s">
        <v>62</v>
      </c>
      <c r="E90" s="302" t="s">
        <v>63</v>
      </c>
      <c r="F90" s="301" t="s">
        <v>62</v>
      </c>
      <c r="G90" s="386" t="s">
        <v>63</v>
      </c>
      <c r="I90" s="304" t="s">
        <v>64</v>
      </c>
    </row>
    <row r="91" spans="1:12" ht="26.25" customHeight="1" x14ac:dyDescent="0.4">
      <c r="A91" s="298" t="s">
        <v>65</v>
      </c>
      <c r="B91" s="299">
        <v>50</v>
      </c>
      <c r="C91" s="387">
        <v>1</v>
      </c>
      <c r="D91" s="306">
        <v>9347003</v>
      </c>
      <c r="E91" s="307">
        <f>IF(ISBLANK(D91),"-",$D$101/$D$98*D91)</f>
        <v>10917296.744107382</v>
      </c>
      <c r="F91" s="306">
        <v>9928084</v>
      </c>
      <c r="G91" s="308">
        <f>IF(ISBLANK(F91),"-",$D$101/$F$98*F91)</f>
        <v>10853900.551977616</v>
      </c>
      <c r="I91" s="309"/>
    </row>
    <row r="92" spans="1:12" ht="26.25" customHeight="1" x14ac:dyDescent="0.4">
      <c r="A92" s="298" t="s">
        <v>66</v>
      </c>
      <c r="B92" s="299">
        <v>1</v>
      </c>
      <c r="C92" s="371">
        <v>2</v>
      </c>
      <c r="D92" s="311">
        <v>9358646</v>
      </c>
      <c r="E92" s="312">
        <f>IF(ISBLANK(D92),"-",$D$101/$D$98*D92)</f>
        <v>10930895.764669551</v>
      </c>
      <c r="F92" s="311">
        <v>9926611</v>
      </c>
      <c r="G92" s="313">
        <f>IF(ISBLANK(F92),"-",$D$101/$F$98*F92)</f>
        <v>10852290.191356869</v>
      </c>
      <c r="I92" s="547">
        <f>ABS((F96/D96*D95)-F95)/D95</f>
        <v>6.7432071637389601E-3</v>
      </c>
    </row>
    <row r="93" spans="1:12" ht="26.25" customHeight="1" x14ac:dyDescent="0.4">
      <c r="A93" s="298" t="s">
        <v>67</v>
      </c>
      <c r="B93" s="299">
        <v>1</v>
      </c>
      <c r="C93" s="371">
        <v>3</v>
      </c>
      <c r="D93" s="311">
        <v>9347440</v>
      </c>
      <c r="E93" s="312">
        <f>IF(ISBLANK(D93),"-",$D$101/$D$98*D93)</f>
        <v>10917807.159978351</v>
      </c>
      <c r="F93" s="311">
        <v>9927261</v>
      </c>
      <c r="G93" s="313">
        <f>IF(ISBLANK(F93),"-",$D$101/$F$98*F93)</f>
        <v>10853000.805344298</v>
      </c>
      <c r="I93" s="547"/>
    </row>
    <row r="94" spans="1:12" ht="27" customHeight="1" x14ac:dyDescent="0.4">
      <c r="A94" s="298" t="s">
        <v>68</v>
      </c>
      <c r="B94" s="299">
        <v>1</v>
      </c>
      <c r="C94" s="388">
        <v>4</v>
      </c>
      <c r="D94" s="316"/>
      <c r="E94" s="317" t="str">
        <f>IF(ISBLANK(D94),"-",$D$101/$D$98*D94)</f>
        <v>-</v>
      </c>
      <c r="F94" s="389"/>
      <c r="G94" s="318" t="str">
        <f>IF(ISBLANK(F94),"-",$D$101/$F$98*F94)</f>
        <v>-</v>
      </c>
      <c r="I94" s="319"/>
    </row>
    <row r="95" spans="1:12" ht="27" customHeight="1" x14ac:dyDescent="0.4">
      <c r="A95" s="298" t="s">
        <v>69</v>
      </c>
      <c r="B95" s="299">
        <v>1</v>
      </c>
      <c r="C95" s="390" t="s">
        <v>70</v>
      </c>
      <c r="D95" s="391">
        <f>AVERAGE(D91:D94)</f>
        <v>9351029.666666666</v>
      </c>
      <c r="E95" s="322">
        <f>AVERAGE(E91:E94)</f>
        <v>10921999.889585095</v>
      </c>
      <c r="F95" s="392">
        <f>AVERAGE(F91:F94)</f>
        <v>9927318.666666666</v>
      </c>
      <c r="G95" s="393">
        <f>AVERAGE(G91:G94)</f>
        <v>10853063.849559596</v>
      </c>
    </row>
    <row r="96" spans="1:12" ht="26.25" customHeight="1" x14ac:dyDescent="0.4">
      <c r="A96" s="298" t="s">
        <v>71</v>
      </c>
      <c r="B96" s="284">
        <v>1</v>
      </c>
      <c r="C96" s="394" t="s">
        <v>112</v>
      </c>
      <c r="D96" s="395">
        <v>19.16</v>
      </c>
      <c r="E96" s="314"/>
      <c r="F96" s="326">
        <v>20.47</v>
      </c>
    </row>
    <row r="97" spans="1:10" ht="26.25" customHeight="1" x14ac:dyDescent="0.4">
      <c r="A97" s="298" t="s">
        <v>73</v>
      </c>
      <c r="B97" s="284">
        <v>1</v>
      </c>
      <c r="C97" s="396" t="s">
        <v>113</v>
      </c>
      <c r="D97" s="397">
        <f>D96*$B$87</f>
        <v>19.16</v>
      </c>
      <c r="E97" s="329"/>
      <c r="F97" s="328">
        <f>F96*$B$87</f>
        <v>20.47</v>
      </c>
    </row>
    <row r="98" spans="1:10" ht="19.5" customHeight="1" x14ac:dyDescent="0.3">
      <c r="A98" s="298" t="s">
        <v>75</v>
      </c>
      <c r="B98" s="398">
        <f>(B97/B96)*(B95/B94)*(B93/B92)*(B91/B90)*B89</f>
        <v>625</v>
      </c>
      <c r="C98" s="396" t="s">
        <v>114</v>
      </c>
      <c r="D98" s="399">
        <f>D97*$B$83/100</f>
        <v>19.025880000000001</v>
      </c>
      <c r="E98" s="332"/>
      <c r="F98" s="331">
        <f>F97*$B$83/100</f>
        <v>20.326709999999999</v>
      </c>
    </row>
    <row r="99" spans="1:10" ht="19.5" customHeight="1" x14ac:dyDescent="0.3">
      <c r="A99" s="548" t="s">
        <v>77</v>
      </c>
      <c r="B99" s="562"/>
      <c r="C99" s="396" t="s">
        <v>115</v>
      </c>
      <c r="D99" s="400">
        <f>D98/$B$98</f>
        <v>3.0441408E-2</v>
      </c>
      <c r="E99" s="332"/>
      <c r="F99" s="335">
        <f>F98/$B$98</f>
        <v>3.2522735999999997E-2</v>
      </c>
      <c r="G99" s="401"/>
      <c r="H99" s="324"/>
    </row>
    <row r="100" spans="1:10" ht="19.5" customHeight="1" x14ac:dyDescent="0.3">
      <c r="A100" s="550"/>
      <c r="B100" s="563"/>
      <c r="C100" s="396" t="s">
        <v>79</v>
      </c>
      <c r="D100" s="402">
        <f>$B$56/$B$116</f>
        <v>3.5555555555555556E-2</v>
      </c>
      <c r="F100" s="340"/>
      <c r="G100" s="403"/>
      <c r="H100" s="324"/>
    </row>
    <row r="101" spans="1:10" ht="18.75" x14ac:dyDescent="0.3">
      <c r="C101" s="396" t="s">
        <v>80</v>
      </c>
      <c r="D101" s="397">
        <f>D100*$B$98</f>
        <v>22.222222222222221</v>
      </c>
      <c r="F101" s="340"/>
      <c r="G101" s="401"/>
      <c r="H101" s="324"/>
    </row>
    <row r="102" spans="1:10" ht="19.5" customHeight="1" x14ac:dyDescent="0.3">
      <c r="C102" s="404" t="s">
        <v>81</v>
      </c>
      <c r="D102" s="405">
        <f>D101/B34</f>
        <v>22.222222222222221</v>
      </c>
      <c r="F102" s="344"/>
      <c r="G102" s="401"/>
      <c r="H102" s="324"/>
      <c r="J102" s="406"/>
    </row>
    <row r="103" spans="1:10" ht="18.75" x14ac:dyDescent="0.3">
      <c r="C103" s="407" t="s">
        <v>116</v>
      </c>
      <c r="D103" s="408">
        <f>AVERAGE(E91:E94,G91:G94)</f>
        <v>10887531.869572343</v>
      </c>
      <c r="F103" s="344"/>
      <c r="G103" s="409"/>
      <c r="H103" s="324"/>
      <c r="J103" s="410"/>
    </row>
    <row r="104" spans="1:10" ht="18.75" x14ac:dyDescent="0.3">
      <c r="C104" s="374" t="s">
        <v>83</v>
      </c>
      <c r="D104" s="411">
        <f>STDEV(E91:E94,G91:G94)/D103</f>
        <v>3.4970895966975808E-3</v>
      </c>
      <c r="F104" s="344"/>
      <c r="G104" s="401"/>
      <c r="H104" s="324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44"/>
      <c r="G105" s="401"/>
      <c r="H105" s="324"/>
      <c r="J105" s="410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117</v>
      </c>
      <c r="B107" s="297">
        <v>900</v>
      </c>
      <c r="C107" s="413" t="s">
        <v>118</v>
      </c>
      <c r="D107" s="414" t="s">
        <v>62</v>
      </c>
      <c r="E107" s="415" t="s">
        <v>119</v>
      </c>
      <c r="F107" s="416" t="s">
        <v>120</v>
      </c>
    </row>
    <row r="108" spans="1:10" ht="26.25" customHeight="1" x14ac:dyDescent="0.4">
      <c r="A108" s="298" t="s">
        <v>121</v>
      </c>
      <c r="B108" s="299">
        <v>2</v>
      </c>
      <c r="C108" s="417">
        <v>1</v>
      </c>
      <c r="D108" s="418">
        <v>10688206</v>
      </c>
      <c r="E108" s="449">
        <f t="shared" ref="E108:E113" si="1">IF(ISBLANK(D108),"-",D108/$D$103*$D$100*$B$116)</f>
        <v>157.07076502612085</v>
      </c>
      <c r="F108" s="419">
        <f t="shared" ref="F108:F113" si="2">IF(ISBLANK(D108), "-", E108/$B$56)</f>
        <v>0.98169228141325537</v>
      </c>
    </row>
    <row r="109" spans="1:10" ht="26.25" customHeight="1" x14ac:dyDescent="0.4">
      <c r="A109" s="298" t="s">
        <v>94</v>
      </c>
      <c r="B109" s="299">
        <v>10</v>
      </c>
      <c r="C109" s="417">
        <v>2</v>
      </c>
      <c r="D109" s="418">
        <v>10659438</v>
      </c>
      <c r="E109" s="450">
        <f t="shared" si="1"/>
        <v>156.64799886982939</v>
      </c>
      <c r="F109" s="420">
        <f t="shared" si="2"/>
        <v>0.97904999293643369</v>
      </c>
    </row>
    <row r="110" spans="1:10" ht="26.25" customHeight="1" x14ac:dyDescent="0.4">
      <c r="A110" s="298" t="s">
        <v>95</v>
      </c>
      <c r="B110" s="299">
        <v>1</v>
      </c>
      <c r="C110" s="417">
        <v>3</v>
      </c>
      <c r="D110" s="418">
        <v>10777614</v>
      </c>
      <c r="E110" s="450">
        <f t="shared" si="1"/>
        <v>158.38467897570752</v>
      </c>
      <c r="F110" s="420">
        <f t="shared" si="2"/>
        <v>0.98990424359817197</v>
      </c>
    </row>
    <row r="111" spans="1:10" ht="26.25" customHeight="1" x14ac:dyDescent="0.4">
      <c r="A111" s="298" t="s">
        <v>96</v>
      </c>
      <c r="B111" s="299">
        <v>1</v>
      </c>
      <c r="C111" s="417">
        <v>4</v>
      </c>
      <c r="D111" s="418">
        <v>10612145</v>
      </c>
      <c r="E111" s="450">
        <f t="shared" si="1"/>
        <v>155.95299470445494</v>
      </c>
      <c r="F111" s="420">
        <f t="shared" si="2"/>
        <v>0.97470621690284331</v>
      </c>
    </row>
    <row r="112" spans="1:10" ht="26.25" customHeight="1" x14ac:dyDescent="0.4">
      <c r="A112" s="298" t="s">
        <v>97</v>
      </c>
      <c r="B112" s="299">
        <v>1</v>
      </c>
      <c r="C112" s="417">
        <v>5</v>
      </c>
      <c r="D112" s="418">
        <v>10620599</v>
      </c>
      <c r="E112" s="450">
        <f t="shared" si="1"/>
        <v>156.0772322282761</v>
      </c>
      <c r="F112" s="420">
        <f t="shared" si="2"/>
        <v>0.97548270142672566</v>
      </c>
    </row>
    <row r="113" spans="1:10" ht="26.25" customHeight="1" x14ac:dyDescent="0.4">
      <c r="A113" s="298" t="s">
        <v>99</v>
      </c>
      <c r="B113" s="299">
        <v>1</v>
      </c>
      <c r="C113" s="421">
        <v>6</v>
      </c>
      <c r="D113" s="422">
        <v>10463250</v>
      </c>
      <c r="E113" s="451">
        <f t="shared" si="1"/>
        <v>153.76487711404133</v>
      </c>
      <c r="F113" s="423">
        <f t="shared" si="2"/>
        <v>0.96103048196275831</v>
      </c>
    </row>
    <row r="114" spans="1:10" ht="26.25" customHeight="1" x14ac:dyDescent="0.4">
      <c r="A114" s="298" t="s">
        <v>100</v>
      </c>
      <c r="B114" s="299">
        <v>1</v>
      </c>
      <c r="C114" s="417"/>
      <c r="D114" s="371"/>
      <c r="E114" s="272"/>
      <c r="F114" s="424"/>
    </row>
    <row r="115" spans="1:10" ht="26.25" customHeight="1" x14ac:dyDescent="0.4">
      <c r="A115" s="298" t="s">
        <v>101</v>
      </c>
      <c r="B115" s="299">
        <v>1</v>
      </c>
      <c r="C115" s="417"/>
      <c r="D115" s="425" t="s">
        <v>70</v>
      </c>
      <c r="E115" s="453">
        <f>AVERAGE(E108:E113)</f>
        <v>156.31642448640503</v>
      </c>
      <c r="F115" s="426">
        <f>AVERAGE(F108:F113)</f>
        <v>0.97697765304003148</v>
      </c>
    </row>
    <row r="116" spans="1:10" ht="27" customHeight="1" x14ac:dyDescent="0.4">
      <c r="A116" s="298" t="s">
        <v>102</v>
      </c>
      <c r="B116" s="330">
        <f>(B115/B114)*(B113/B112)*(B111/B110)*(B109/B108)*B107</f>
        <v>4500</v>
      </c>
      <c r="C116" s="427"/>
      <c r="D116" s="390" t="s">
        <v>83</v>
      </c>
      <c r="E116" s="428">
        <f>STDEV(E108:E113)/E115</f>
        <v>9.7676797903197259E-3</v>
      </c>
      <c r="F116" s="428">
        <f>STDEV(F108:F113)/F115</f>
        <v>9.7676797903197225E-3</v>
      </c>
      <c r="I116" s="272"/>
    </row>
    <row r="117" spans="1:10" ht="27" customHeight="1" x14ac:dyDescent="0.4">
      <c r="A117" s="548" t="s">
        <v>77</v>
      </c>
      <c r="B117" s="549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2"/>
      <c r="J117" s="410"/>
    </row>
    <row r="118" spans="1:10" ht="19.5" customHeight="1" x14ac:dyDescent="0.3">
      <c r="A118" s="550"/>
      <c r="B118" s="551"/>
      <c r="C118" s="272"/>
      <c r="D118" s="272"/>
      <c r="E118" s="272"/>
      <c r="F118" s="371"/>
      <c r="G118" s="272"/>
      <c r="H118" s="272"/>
      <c r="I118" s="272"/>
    </row>
    <row r="119" spans="1:10" ht="18.75" x14ac:dyDescent="0.3">
      <c r="A119" s="440"/>
      <c r="B119" s="294"/>
      <c r="C119" s="272"/>
      <c r="D119" s="272"/>
      <c r="E119" s="272"/>
      <c r="F119" s="371"/>
      <c r="G119" s="272"/>
      <c r="H119" s="272"/>
      <c r="I119" s="272"/>
    </row>
    <row r="120" spans="1:10" ht="26.25" customHeight="1" x14ac:dyDescent="0.4">
      <c r="A120" s="282" t="s">
        <v>105</v>
      </c>
      <c r="B120" s="378" t="s">
        <v>122</v>
      </c>
      <c r="C120" s="560" t="str">
        <f>B20</f>
        <v xml:space="preserve"> Trimethoprim 160 mg</v>
      </c>
      <c r="D120" s="560"/>
      <c r="E120" s="379" t="s">
        <v>123</v>
      </c>
      <c r="F120" s="379"/>
      <c r="G120" s="380">
        <f>F115</f>
        <v>0.97697765304003148</v>
      </c>
      <c r="H120" s="272"/>
      <c r="I120" s="272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61" t="s">
        <v>25</v>
      </c>
      <c r="C122" s="561"/>
      <c r="E122" s="385" t="s">
        <v>26</v>
      </c>
      <c r="F122" s="434"/>
      <c r="G122" s="561" t="s">
        <v>27</v>
      </c>
      <c r="H122" s="561"/>
    </row>
    <row r="123" spans="1:10" ht="69.95" customHeight="1" x14ac:dyDescent="0.3">
      <c r="A123" s="435" t="s">
        <v>28</v>
      </c>
      <c r="B123" s="436"/>
      <c r="C123" s="436"/>
      <c r="E123" s="436"/>
      <c r="F123" s="272"/>
      <c r="G123" s="437"/>
      <c r="H123" s="437"/>
    </row>
    <row r="124" spans="1:10" ht="69.95" customHeight="1" x14ac:dyDescent="0.3">
      <c r="A124" s="435" t="s">
        <v>29</v>
      </c>
      <c r="B124" s="438"/>
      <c r="C124" s="438"/>
      <c r="E124" s="438"/>
      <c r="F124" s="272"/>
      <c r="G124" s="439"/>
      <c r="H124" s="439"/>
    </row>
    <row r="125" spans="1:10" ht="18.75" x14ac:dyDescent="0.3">
      <c r="A125" s="370"/>
      <c r="B125" s="370"/>
      <c r="C125" s="371"/>
      <c r="D125" s="371"/>
      <c r="E125" s="371"/>
      <c r="F125" s="375"/>
      <c r="G125" s="371"/>
      <c r="H125" s="371"/>
      <c r="I125" s="272"/>
    </row>
    <row r="126" spans="1:10" ht="18.75" x14ac:dyDescent="0.3">
      <c r="A126" s="370"/>
      <c r="B126" s="370"/>
      <c r="C126" s="371"/>
      <c r="D126" s="371"/>
      <c r="E126" s="371"/>
      <c r="F126" s="375"/>
      <c r="G126" s="371"/>
      <c r="H126" s="371"/>
      <c r="I126" s="272"/>
    </row>
    <row r="127" spans="1:10" ht="18.75" x14ac:dyDescent="0.3">
      <c r="A127" s="370"/>
      <c r="B127" s="370"/>
      <c r="C127" s="371"/>
      <c r="D127" s="371"/>
      <c r="E127" s="371"/>
      <c r="F127" s="375"/>
      <c r="G127" s="371"/>
      <c r="H127" s="371"/>
      <c r="I127" s="272"/>
    </row>
    <row r="128" spans="1:10" ht="18.75" x14ac:dyDescent="0.3">
      <c r="A128" s="370"/>
      <c r="B128" s="370"/>
      <c r="C128" s="371"/>
      <c r="D128" s="371"/>
      <c r="E128" s="371"/>
      <c r="F128" s="375"/>
      <c r="G128" s="371"/>
      <c r="H128" s="371"/>
      <c r="I128" s="272"/>
    </row>
    <row r="129" spans="1:9" ht="18.75" x14ac:dyDescent="0.3">
      <c r="A129" s="370"/>
      <c r="B129" s="370"/>
      <c r="C129" s="371"/>
      <c r="D129" s="371"/>
      <c r="E129" s="371"/>
      <c r="F129" s="375"/>
      <c r="G129" s="371"/>
      <c r="H129" s="371"/>
      <c r="I129" s="272"/>
    </row>
    <row r="130" spans="1:9" ht="18.75" x14ac:dyDescent="0.3">
      <c r="A130" s="370"/>
      <c r="B130" s="370"/>
      <c r="C130" s="371"/>
      <c r="D130" s="371"/>
      <c r="E130" s="371"/>
      <c r="F130" s="375"/>
      <c r="G130" s="371"/>
      <c r="H130" s="371"/>
      <c r="I130" s="272"/>
    </row>
    <row r="131" spans="1:9" ht="18.75" x14ac:dyDescent="0.3">
      <c r="A131" s="370"/>
      <c r="B131" s="370"/>
      <c r="C131" s="371"/>
      <c r="D131" s="371"/>
      <c r="E131" s="371"/>
      <c r="F131" s="375"/>
      <c r="G131" s="371"/>
      <c r="H131" s="371"/>
      <c r="I131" s="272"/>
    </row>
    <row r="132" spans="1:9" ht="18.75" x14ac:dyDescent="0.3">
      <c r="A132" s="370"/>
      <c r="B132" s="370"/>
      <c r="C132" s="371"/>
      <c r="D132" s="371"/>
      <c r="E132" s="371"/>
      <c r="F132" s="375"/>
      <c r="G132" s="371"/>
      <c r="H132" s="371"/>
      <c r="I132" s="272"/>
    </row>
    <row r="133" spans="1:9" ht="18.75" x14ac:dyDescent="0.3">
      <c r="A133" s="370"/>
      <c r="B133" s="370"/>
      <c r="C133" s="371"/>
      <c r="D133" s="371"/>
      <c r="E133" s="371"/>
      <c r="F133" s="375"/>
      <c r="G133" s="371"/>
      <c r="H133" s="371"/>
      <c r="I133" s="27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D49" sqref="D4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12"/>
  </cols>
  <sheetData>
    <row r="14" spans="1:6" ht="15" customHeight="1" x14ac:dyDescent="0.3">
      <c r="A14" s="466"/>
      <c r="C14" s="468"/>
      <c r="F14" s="468"/>
    </row>
    <row r="15" spans="1:6" ht="18.75" customHeight="1" x14ac:dyDescent="0.3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130</v>
      </c>
      <c r="D17" s="473"/>
      <c r="E17" s="474"/>
    </row>
    <row r="18" spans="1:5" ht="16.5" customHeight="1" x14ac:dyDescent="0.3">
      <c r="A18" s="475" t="s">
        <v>4</v>
      </c>
      <c r="B18" s="476" t="s">
        <v>124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99.65</v>
      </c>
      <c r="C19" s="474"/>
      <c r="D19" s="474"/>
      <c r="E19" s="474"/>
    </row>
    <row r="20" spans="1:5" ht="16.5" customHeight="1" x14ac:dyDescent="0.3">
      <c r="A20" s="471" t="s">
        <v>8</v>
      </c>
      <c r="B20" s="477">
        <v>19.95</v>
      </c>
      <c r="C20" s="474"/>
      <c r="D20" s="474"/>
      <c r="E20" s="474"/>
    </row>
    <row r="21" spans="1:5" ht="16.5" customHeight="1" x14ac:dyDescent="0.3">
      <c r="A21" s="471" t="s">
        <v>10</v>
      </c>
      <c r="B21" s="478">
        <f>B20/25*10/50</f>
        <v>0.15959999999999999</v>
      </c>
      <c r="C21" s="474"/>
      <c r="D21" s="474"/>
      <c r="E21" s="474"/>
    </row>
    <row r="22" spans="1:5" ht="15.75" customHeight="1" x14ac:dyDescent="0.25">
      <c r="A22" s="474"/>
      <c r="B22" s="474" t="s">
        <v>131</v>
      </c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81" t="s">
        <v>17</v>
      </c>
    </row>
    <row r="24" spans="1:5" ht="16.5" customHeight="1" x14ac:dyDescent="0.3">
      <c r="A24" s="482">
        <v>1</v>
      </c>
      <c r="B24" s="483">
        <v>124564490</v>
      </c>
      <c r="C24" s="483">
        <v>11200.7</v>
      </c>
      <c r="D24" s="484">
        <v>1</v>
      </c>
      <c r="E24" s="485">
        <v>7.9</v>
      </c>
    </row>
    <row r="25" spans="1:5" ht="16.5" customHeight="1" x14ac:dyDescent="0.3">
      <c r="A25" s="482">
        <v>2</v>
      </c>
      <c r="B25" s="483">
        <v>124751802</v>
      </c>
      <c r="C25" s="483">
        <v>11185.1</v>
      </c>
      <c r="D25" s="484">
        <v>1</v>
      </c>
      <c r="E25" s="486">
        <v>7.9</v>
      </c>
    </row>
    <row r="26" spans="1:5" ht="16.5" customHeight="1" x14ac:dyDescent="0.3">
      <c r="A26" s="482">
        <v>3</v>
      </c>
      <c r="B26" s="483">
        <v>124696532</v>
      </c>
      <c r="C26" s="483">
        <v>11211</v>
      </c>
      <c r="D26" s="484">
        <v>1</v>
      </c>
      <c r="E26" s="486">
        <v>7.9</v>
      </c>
    </row>
    <row r="27" spans="1:5" ht="16.5" customHeight="1" x14ac:dyDescent="0.3">
      <c r="A27" s="482">
        <v>4</v>
      </c>
      <c r="B27" s="483">
        <v>124863060</v>
      </c>
      <c r="C27" s="483">
        <v>11212.3</v>
      </c>
      <c r="D27" s="484">
        <v>1</v>
      </c>
      <c r="E27" s="486">
        <v>7.9</v>
      </c>
    </row>
    <row r="28" spans="1:5" ht="16.5" customHeight="1" x14ac:dyDescent="0.3">
      <c r="A28" s="482">
        <v>5</v>
      </c>
      <c r="B28" s="483">
        <v>124798906</v>
      </c>
      <c r="C28" s="483">
        <v>11221.1</v>
      </c>
      <c r="D28" s="484">
        <v>1</v>
      </c>
      <c r="E28" s="486">
        <v>7.9</v>
      </c>
    </row>
    <row r="29" spans="1:5" ht="16.5" customHeight="1" x14ac:dyDescent="0.3">
      <c r="A29" s="482">
        <v>6</v>
      </c>
      <c r="B29" s="487">
        <v>125066972</v>
      </c>
      <c r="C29" s="487">
        <v>11220</v>
      </c>
      <c r="D29" s="488">
        <v>1</v>
      </c>
      <c r="E29" s="489">
        <v>7.9</v>
      </c>
    </row>
    <row r="30" spans="1:5" ht="16.5" customHeight="1" x14ac:dyDescent="0.3">
      <c r="A30" s="490" t="s">
        <v>18</v>
      </c>
      <c r="B30" s="491">
        <f>AVERAGE(B24:B29)</f>
        <v>124790293.66666667</v>
      </c>
      <c r="C30" s="492">
        <f>AVERAGE(C24:C29)</f>
        <v>11208.366666666669</v>
      </c>
      <c r="D30" s="493">
        <f>AVERAGE(D24:D29)</f>
        <v>1</v>
      </c>
      <c r="E30" s="494">
        <f>AVERAGE(E24:E29)</f>
        <v>7.8999999999999995</v>
      </c>
    </row>
    <row r="31" spans="1:5" ht="16.5" customHeight="1" x14ac:dyDescent="0.3">
      <c r="A31" s="495" t="s">
        <v>19</v>
      </c>
      <c r="B31" s="496">
        <f>(STDEV(B24:B29)/B30)</f>
        <v>1.356049747129006E-3</v>
      </c>
      <c r="C31" s="497"/>
      <c r="D31" s="497"/>
      <c r="E31" s="498"/>
    </row>
    <row r="32" spans="1:5" s="467" customFormat="1" ht="16.5" customHeight="1" x14ac:dyDescent="0.3">
      <c r="A32" s="499" t="s">
        <v>20</v>
      </c>
      <c r="B32" s="500">
        <f>COUNT(B24:B29)</f>
        <v>6</v>
      </c>
      <c r="C32" s="501"/>
      <c r="D32" s="502"/>
      <c r="E32" s="503"/>
    </row>
    <row r="33" spans="1:5" s="467" customFormat="1" ht="15.75" customHeight="1" x14ac:dyDescent="0.25">
      <c r="A33" s="474"/>
      <c r="B33" s="474"/>
      <c r="C33" s="474"/>
      <c r="D33" s="474"/>
      <c r="E33" s="474"/>
    </row>
    <row r="34" spans="1:5" s="467" customFormat="1" ht="16.5" customHeight="1" x14ac:dyDescent="0.3">
      <c r="A34" s="475" t="s">
        <v>21</v>
      </c>
      <c r="B34" s="504" t="s">
        <v>22</v>
      </c>
      <c r="C34" s="505"/>
      <c r="D34" s="505"/>
      <c r="E34" s="505"/>
    </row>
    <row r="35" spans="1:5" ht="16.5" customHeight="1" x14ac:dyDescent="0.3">
      <c r="A35" s="475"/>
      <c r="B35" s="504" t="s">
        <v>23</v>
      </c>
      <c r="C35" s="505"/>
      <c r="D35" s="505"/>
      <c r="E35" s="505"/>
    </row>
    <row r="36" spans="1:5" ht="16.5" customHeight="1" x14ac:dyDescent="0.3">
      <c r="A36" s="475"/>
      <c r="B36" s="504" t="s">
        <v>24</v>
      </c>
      <c r="C36" s="505"/>
      <c r="D36" s="505"/>
      <c r="E36" s="505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/>
    </row>
    <row r="39" spans="1:5" ht="16.5" customHeight="1" x14ac:dyDescent="0.3">
      <c r="A39" s="475" t="s">
        <v>4</v>
      </c>
      <c r="B39" s="472" t="s">
        <v>125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99.3</v>
      </c>
      <c r="C40" s="474"/>
      <c r="D40" s="474"/>
      <c r="E40" s="474"/>
    </row>
    <row r="41" spans="1:5" ht="16.5" customHeight="1" x14ac:dyDescent="0.3">
      <c r="A41" s="471" t="s">
        <v>8</v>
      </c>
      <c r="B41" s="477">
        <v>19.16</v>
      </c>
      <c r="C41" s="474"/>
      <c r="D41" s="474"/>
      <c r="E41" s="474"/>
    </row>
    <row r="42" spans="1:5" ht="16.5" customHeight="1" x14ac:dyDescent="0.3">
      <c r="A42" s="471" t="s">
        <v>10</v>
      </c>
      <c r="B42" s="478">
        <f>B41/25*2/50</f>
        <v>3.0655999999999999E-2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2">
        <v>1</v>
      </c>
      <c r="B45" s="483">
        <v>9118617</v>
      </c>
      <c r="C45" s="483">
        <v>8541.1</v>
      </c>
      <c r="D45" s="506">
        <v>1.1000000000000001</v>
      </c>
      <c r="E45" s="507">
        <v>4.0999999999999996</v>
      </c>
    </row>
    <row r="46" spans="1:5" ht="16.5" customHeight="1" x14ac:dyDescent="0.3">
      <c r="A46" s="482">
        <v>2</v>
      </c>
      <c r="B46" s="483">
        <v>9117029</v>
      </c>
      <c r="C46" s="483">
        <v>8629.1</v>
      </c>
      <c r="D46" s="506">
        <v>1.2</v>
      </c>
      <c r="E46" s="506">
        <v>4.0999999999999996</v>
      </c>
    </row>
    <row r="47" spans="1:5" ht="16.5" customHeight="1" x14ac:dyDescent="0.3">
      <c r="A47" s="482">
        <v>3</v>
      </c>
      <c r="B47" s="483">
        <v>9099830</v>
      </c>
      <c r="C47" s="483">
        <v>8582.7000000000007</v>
      </c>
      <c r="D47" s="506">
        <v>1.2</v>
      </c>
      <c r="E47" s="506">
        <v>4.0999999999999996</v>
      </c>
    </row>
    <row r="48" spans="1:5" ht="16.5" customHeight="1" x14ac:dyDescent="0.3">
      <c r="A48" s="482">
        <v>4</v>
      </c>
      <c r="B48" s="483">
        <v>9108647</v>
      </c>
      <c r="C48" s="483">
        <v>8581.9</v>
      </c>
      <c r="D48" s="506">
        <v>1.1000000000000001</v>
      </c>
      <c r="E48" s="506">
        <v>4.0999999999999996</v>
      </c>
    </row>
    <row r="49" spans="1:7" ht="16.5" customHeight="1" x14ac:dyDescent="0.3">
      <c r="A49" s="482">
        <v>5</v>
      </c>
      <c r="B49" s="483">
        <v>9097392</v>
      </c>
      <c r="C49" s="483">
        <v>8591.9</v>
      </c>
      <c r="D49" s="506">
        <v>1.1000000000000001</v>
      </c>
      <c r="E49" s="506">
        <v>4.0999999999999996</v>
      </c>
    </row>
    <row r="50" spans="1:7" ht="16.5" customHeight="1" x14ac:dyDescent="0.3">
      <c r="A50" s="482">
        <v>6</v>
      </c>
      <c r="B50" s="487">
        <v>9104270</v>
      </c>
      <c r="C50" s="487">
        <v>8599.7999999999993</v>
      </c>
      <c r="D50" s="508">
        <v>1.1000000000000001</v>
      </c>
      <c r="E50" s="508">
        <v>4.0999999999999996</v>
      </c>
    </row>
    <row r="51" spans="1:7" ht="16.5" customHeight="1" x14ac:dyDescent="0.3">
      <c r="A51" s="490" t="s">
        <v>18</v>
      </c>
      <c r="B51" s="491">
        <f>AVERAGE(B45:B50)</f>
        <v>9107630.833333334</v>
      </c>
      <c r="C51" s="492">
        <f>AVERAGE(C45:C50)</f>
        <v>8587.75</v>
      </c>
      <c r="D51" s="493">
        <f>AVERAGE(D45:D50)</f>
        <v>1.1333333333333331</v>
      </c>
      <c r="E51" s="493">
        <f>AVERAGE(E45:E50)</f>
        <v>4.1000000000000005</v>
      </c>
    </row>
    <row r="52" spans="1:7" ht="16.5" customHeight="1" x14ac:dyDescent="0.3">
      <c r="A52" s="495" t="s">
        <v>19</v>
      </c>
      <c r="B52" s="496">
        <f>(STDEV(B45:B50)/B51)</f>
        <v>9.6601796640588523E-4</v>
      </c>
      <c r="C52" s="497"/>
      <c r="D52" s="497"/>
      <c r="E52" s="498"/>
    </row>
    <row r="53" spans="1:7" s="467" customFormat="1" ht="16.5" customHeight="1" x14ac:dyDescent="0.3">
      <c r="A53" s="499" t="s">
        <v>20</v>
      </c>
      <c r="B53" s="500">
        <f>COUNT(B45:B50)</f>
        <v>6</v>
      </c>
      <c r="C53" s="501"/>
      <c r="D53" s="502"/>
      <c r="E53" s="503"/>
    </row>
    <row r="54" spans="1:7" s="467" customFormat="1" ht="15.75" customHeight="1" x14ac:dyDescent="0.25">
      <c r="A54" s="474"/>
      <c r="B54" s="474"/>
      <c r="C54" s="474"/>
      <c r="D54" s="474"/>
      <c r="E54" s="474"/>
    </row>
    <row r="55" spans="1:7" s="467" customFormat="1" ht="16.5" customHeight="1" x14ac:dyDescent="0.3">
      <c r="A55" s="475" t="s">
        <v>21</v>
      </c>
      <c r="B55" s="504" t="s">
        <v>22</v>
      </c>
      <c r="C55" s="505"/>
      <c r="D55" s="505"/>
      <c r="E55" s="505"/>
    </row>
    <row r="56" spans="1:7" ht="16.5" customHeight="1" x14ac:dyDescent="0.3">
      <c r="A56" s="475"/>
      <c r="B56" s="504" t="s">
        <v>23</v>
      </c>
      <c r="C56" s="505"/>
      <c r="D56" s="505"/>
      <c r="E56" s="505"/>
    </row>
    <row r="57" spans="1:7" ht="16.5" customHeight="1" x14ac:dyDescent="0.3">
      <c r="A57" s="475"/>
      <c r="B57" s="504" t="s">
        <v>24</v>
      </c>
      <c r="C57" s="505"/>
      <c r="D57" s="505"/>
      <c r="E57" s="505"/>
    </row>
    <row r="58" spans="1:7" ht="14.25" customHeight="1" thickBot="1" x14ac:dyDescent="0.3">
      <c r="A58" s="509"/>
      <c r="B58" s="510"/>
      <c r="D58" s="511"/>
      <c r="F58" s="512"/>
      <c r="G58" s="512"/>
    </row>
    <row r="59" spans="1:7" ht="15" customHeight="1" x14ac:dyDescent="0.3">
      <c r="B59" s="570" t="s">
        <v>25</v>
      </c>
      <c r="C59" s="570"/>
      <c r="E59" s="513" t="s">
        <v>26</v>
      </c>
      <c r="F59" s="514"/>
      <c r="G59" s="513" t="s">
        <v>27</v>
      </c>
    </row>
    <row r="60" spans="1:7" ht="15" customHeight="1" x14ac:dyDescent="0.3">
      <c r="A60" s="515" t="s">
        <v>28</v>
      </c>
      <c r="B60" s="516"/>
      <c r="C60" s="516"/>
      <c r="E60" s="516"/>
      <c r="G60" s="516"/>
    </row>
    <row r="61" spans="1:7" ht="15" customHeight="1" x14ac:dyDescent="0.3">
      <c r="A61" s="515" t="s">
        <v>29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2016-01-11T11:42:34Z</dcterms:modified>
</cp:coreProperties>
</file>