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20730" windowHeight="8640" tabRatio="770" activeTab="4"/>
  </bookViews>
  <sheets>
    <sheet name="Uniformity" sheetId="2" r:id="rId1"/>
    <sheet name="SST " sheetId="15" r:id="rId2"/>
    <sheet name="Tadalafil CU" sheetId="16" r:id="rId3"/>
    <sheet name="Tadalafil CU Repeat" sheetId="18" r:id="rId4"/>
    <sheet name="Tadalafil Assay Diss" sheetId="17" r:id="rId5"/>
  </sheets>
  <externalReferences>
    <externalReference r:id="rId6"/>
    <externalReference r:id="rId7"/>
  </externalReferences>
  <definedNames>
    <definedName name="_xlnm.Print_Area" localSheetId="4">'Tadalafil Assay Diss'!$A$1:$H$144</definedName>
    <definedName name="_xlnm.Print_Area" localSheetId="2">'Tadalafil CU'!$A$1:$G$91</definedName>
    <definedName name="_xlnm.Print_Area" localSheetId="3">'Tadalafil CU Repeat'!$A$1:$G$161</definedName>
    <definedName name="_xlnm.Print_Area" localSheetId="0">Uniformity!$A$1:$F$44</definedName>
  </definedNames>
  <calcPr calcId="145621"/>
</workbook>
</file>

<file path=xl/calcChain.xml><?xml version="1.0" encoding="utf-8"?>
<calcChain xmlns="http://schemas.openxmlformats.org/spreadsheetml/2006/main">
  <c r="C151" i="18" l="1"/>
  <c r="B57" i="16"/>
  <c r="B28" i="15"/>
  <c r="B7" i="15"/>
  <c r="F37" i="2"/>
  <c r="F36" i="2"/>
  <c r="C142" i="18"/>
  <c r="B125" i="18"/>
  <c r="B105" i="18"/>
  <c r="F102" i="18"/>
  <c r="D102" i="18"/>
  <c r="G101" i="18"/>
  <c r="E101" i="18"/>
  <c r="B94" i="18"/>
  <c r="B90" i="18"/>
  <c r="C74" i="18"/>
  <c r="B67" i="18"/>
  <c r="B57" i="18"/>
  <c r="C56" i="18"/>
  <c r="B55" i="18"/>
  <c r="B45" i="18"/>
  <c r="D108" i="18" s="1"/>
  <c r="D109" i="18" s="1"/>
  <c r="F42" i="18"/>
  <c r="D42" i="18"/>
  <c r="G41" i="18"/>
  <c r="E41" i="18"/>
  <c r="B34" i="18"/>
  <c r="F44" i="18" s="1"/>
  <c r="B30" i="18"/>
  <c r="F45" i="18" l="1"/>
  <c r="F46" i="18" s="1"/>
  <c r="E98" i="18"/>
  <c r="G100" i="18"/>
  <c r="D44" i="18"/>
  <c r="D45" i="18" s="1"/>
  <c r="F104" i="18"/>
  <c r="F105" i="18" s="1"/>
  <c r="F106" i="18" s="1"/>
  <c r="D48" i="18"/>
  <c r="D104" i="18"/>
  <c r="D105" i="18" s="1"/>
  <c r="C138" i="17"/>
  <c r="B134" i="17"/>
  <c r="C121" i="17"/>
  <c r="B117" i="17"/>
  <c r="D101" i="17"/>
  <c r="B99" i="17"/>
  <c r="F96" i="17"/>
  <c r="D96" i="17"/>
  <c r="G95" i="17"/>
  <c r="E95" i="17"/>
  <c r="B88" i="17"/>
  <c r="F98" i="17" s="1"/>
  <c r="B83" i="17"/>
  <c r="B82" i="17"/>
  <c r="B84" i="17" s="1"/>
  <c r="B81" i="17"/>
  <c r="B80" i="17"/>
  <c r="C76" i="17"/>
  <c r="H71" i="17"/>
  <c r="G71" i="17"/>
  <c r="B68" i="17"/>
  <c r="H67" i="17"/>
  <c r="G67" i="17"/>
  <c r="H63" i="17"/>
  <c r="G63" i="17"/>
  <c r="B57" i="17"/>
  <c r="C56" i="17"/>
  <c r="B55" i="17"/>
  <c r="B45" i="17"/>
  <c r="D48" i="17" s="1"/>
  <c r="F42" i="17"/>
  <c r="D42" i="17"/>
  <c r="G41" i="17"/>
  <c r="E41" i="17"/>
  <c r="B34" i="17"/>
  <c r="F44" i="17" s="1"/>
  <c r="B30" i="17"/>
  <c r="C74" i="16"/>
  <c r="B67" i="16"/>
  <c r="C56" i="16"/>
  <c r="B55" i="16"/>
  <c r="B45" i="16"/>
  <c r="D48" i="16" s="1"/>
  <c r="F42" i="16"/>
  <c r="D42" i="16"/>
  <c r="G41" i="16"/>
  <c r="E41" i="16"/>
  <c r="B34" i="16"/>
  <c r="F44" i="16" s="1"/>
  <c r="B30" i="16"/>
  <c r="B39" i="15"/>
  <c r="E37" i="15"/>
  <c r="D37" i="15"/>
  <c r="C37" i="15"/>
  <c r="B37" i="15"/>
  <c r="B38" i="15" s="1"/>
  <c r="B27" i="15"/>
  <c r="B26" i="15"/>
  <c r="B25" i="15"/>
  <c r="B18" i="15"/>
  <c r="E16" i="15"/>
  <c r="D16" i="15"/>
  <c r="C16" i="15"/>
  <c r="B16" i="15"/>
  <c r="B17" i="15" s="1"/>
  <c r="C36" i="2"/>
  <c r="D27" i="2" s="1"/>
  <c r="C35" i="2"/>
  <c r="D31" i="2"/>
  <c r="D22" i="2"/>
  <c r="D19" i="2"/>
  <c r="D14" i="2"/>
  <c r="C9" i="2"/>
  <c r="D15" i="2" l="1"/>
  <c r="D23" i="2"/>
  <c r="F45" i="16"/>
  <c r="F46" i="16" s="1"/>
  <c r="D18" i="2"/>
  <c r="F99" i="17"/>
  <c r="F100" i="17" s="1"/>
  <c r="F45" i="17"/>
  <c r="F46" i="17" s="1"/>
  <c r="D102" i="17"/>
  <c r="G92" i="17" s="1"/>
  <c r="D106" i="18"/>
  <c r="E99" i="18"/>
  <c r="G99" i="18"/>
  <c r="G98" i="18"/>
  <c r="G102" i="18" s="1"/>
  <c r="E100" i="18"/>
  <c r="D49" i="18"/>
  <c r="G38" i="18"/>
  <c r="G39" i="18"/>
  <c r="G40" i="18"/>
  <c r="D46" i="18"/>
  <c r="E39" i="18"/>
  <c r="E40" i="18"/>
  <c r="E38" i="18"/>
  <c r="B69" i="17"/>
  <c r="G40" i="17"/>
  <c r="G38" i="17"/>
  <c r="G39" i="17"/>
  <c r="D49" i="17"/>
  <c r="E40" i="17"/>
  <c r="G94" i="17"/>
  <c r="E92" i="17"/>
  <c r="D44" i="17"/>
  <c r="D45" i="17" s="1"/>
  <c r="D46" i="17" s="1"/>
  <c r="D98" i="17"/>
  <c r="D99" i="17" s="1"/>
  <c r="D100" i="17" s="1"/>
  <c r="G38" i="16"/>
  <c r="D49" i="16"/>
  <c r="D44" i="16"/>
  <c r="D45" i="16" s="1"/>
  <c r="D46" i="16" s="1"/>
  <c r="D26" i="2"/>
  <c r="D30" i="2"/>
  <c r="D17" i="2"/>
  <c r="D21" i="2"/>
  <c r="D29" i="2"/>
  <c r="D33" i="2"/>
  <c r="C39" i="2"/>
  <c r="D16" i="2"/>
  <c r="D20" i="2"/>
  <c r="D24" i="2"/>
  <c r="D28" i="2"/>
  <c r="D32" i="2"/>
  <c r="B39" i="2"/>
  <c r="D40" i="2"/>
  <c r="C40" i="2"/>
  <c r="D39" i="2"/>
  <c r="D25" i="2"/>
  <c r="E102" i="18" l="1"/>
  <c r="G40" i="16"/>
  <c r="G93" i="17"/>
  <c r="G96" i="17" s="1"/>
  <c r="D103" i="17"/>
  <c r="G42" i="17"/>
  <c r="E93" i="17"/>
  <c r="D112" i="18"/>
  <c r="G39" i="16"/>
  <c r="D110" i="18"/>
  <c r="G42" i="18"/>
  <c r="E42" i="18"/>
  <c r="D50" i="18"/>
  <c r="D52" i="18"/>
  <c r="E38" i="17"/>
  <c r="E39" i="17"/>
  <c r="E94" i="17"/>
  <c r="E40" i="16"/>
  <c r="E38" i="16"/>
  <c r="E39" i="16"/>
  <c r="G42" i="16" l="1"/>
  <c r="E96" i="17"/>
  <c r="D51" i="18"/>
  <c r="E65" i="18"/>
  <c r="E62" i="18"/>
  <c r="E59" i="18"/>
  <c r="E67" i="18"/>
  <c r="E60" i="18"/>
  <c r="E66" i="18"/>
  <c r="E63" i="18"/>
  <c r="E61" i="18"/>
  <c r="E68" i="18"/>
  <c r="E64" i="18"/>
  <c r="D111" i="18"/>
  <c r="E132" i="18"/>
  <c r="E129" i="18"/>
  <c r="E123" i="18"/>
  <c r="E119" i="18"/>
  <c r="E136" i="18"/>
  <c r="G136" i="18" s="1"/>
  <c r="E133" i="18"/>
  <c r="E126" i="18"/>
  <c r="E124" i="18"/>
  <c r="E120" i="18"/>
  <c r="E134" i="18"/>
  <c r="E130" i="18"/>
  <c r="E127" i="18"/>
  <c r="E121" i="18"/>
  <c r="E117" i="18"/>
  <c r="E131" i="18"/>
  <c r="E128" i="18"/>
  <c r="E125" i="18"/>
  <c r="E122" i="18"/>
  <c r="E118" i="18"/>
  <c r="E135" i="18"/>
  <c r="D50" i="17"/>
  <c r="E42" i="17"/>
  <c r="D52" i="17"/>
  <c r="D104" i="17"/>
  <c r="D106" i="17"/>
  <c r="D50" i="16"/>
  <c r="E42" i="16"/>
  <c r="D52" i="16"/>
  <c r="G122" i="18" l="1"/>
  <c r="F122" i="18"/>
  <c r="G117" i="18"/>
  <c r="E140" i="18"/>
  <c r="E138" i="18"/>
  <c r="F136" i="18" s="1"/>
  <c r="E139" i="18"/>
  <c r="F117" i="18"/>
  <c r="G134" i="18"/>
  <c r="F134" i="18"/>
  <c r="G133" i="18"/>
  <c r="F133" i="18"/>
  <c r="G129" i="18"/>
  <c r="F129" i="18"/>
  <c r="G68" i="18"/>
  <c r="G60" i="18"/>
  <c r="G65" i="18"/>
  <c r="G118" i="18"/>
  <c r="F118" i="18"/>
  <c r="G131" i="18"/>
  <c r="F131" i="18"/>
  <c r="G130" i="18"/>
  <c r="F130" i="18"/>
  <c r="G126" i="18"/>
  <c r="F126" i="18"/>
  <c r="G123" i="18"/>
  <c r="F123" i="18"/>
  <c r="G64" i="18"/>
  <c r="G66" i="18"/>
  <c r="G62" i="18"/>
  <c r="G135" i="18"/>
  <c r="F135" i="18"/>
  <c r="G128" i="18"/>
  <c r="F128" i="18"/>
  <c r="G127" i="18"/>
  <c r="F127" i="18"/>
  <c r="G124" i="18"/>
  <c r="F124" i="18"/>
  <c r="G119" i="18"/>
  <c r="F119" i="18"/>
  <c r="G63" i="18"/>
  <c r="E70" i="18"/>
  <c r="F66" i="18" s="1"/>
  <c r="G59" i="18"/>
  <c r="E72" i="18"/>
  <c r="E71" i="18"/>
  <c r="G125" i="18"/>
  <c r="F125" i="18"/>
  <c r="G121" i="18"/>
  <c r="F121" i="18"/>
  <c r="G120" i="18"/>
  <c r="F120" i="18"/>
  <c r="G132" i="18"/>
  <c r="F132" i="18"/>
  <c r="G61" i="18"/>
  <c r="G67" i="18"/>
  <c r="F67" i="18"/>
  <c r="E131" i="17"/>
  <c r="F131" i="17" s="1"/>
  <c r="E129" i="17"/>
  <c r="F129" i="17" s="1"/>
  <c r="E127" i="17"/>
  <c r="F127" i="17" s="1"/>
  <c r="E113" i="17"/>
  <c r="F113" i="17" s="1"/>
  <c r="E111" i="17"/>
  <c r="F111" i="17" s="1"/>
  <c r="E109" i="17"/>
  <c r="F109" i="17" s="1"/>
  <c r="E130" i="17"/>
  <c r="F130" i="17" s="1"/>
  <c r="E128" i="17"/>
  <c r="F128" i="17" s="1"/>
  <c r="E126" i="17"/>
  <c r="F126" i="17" s="1"/>
  <c r="E114" i="17"/>
  <c r="F114" i="17" s="1"/>
  <c r="E112" i="17"/>
  <c r="F112" i="17" s="1"/>
  <c r="E110" i="17"/>
  <c r="F110" i="17" s="1"/>
  <c r="D105" i="17"/>
  <c r="G70" i="17"/>
  <c r="H70" i="17" s="1"/>
  <c r="G65" i="17"/>
  <c r="H65" i="17" s="1"/>
  <c r="G61" i="17"/>
  <c r="H61" i="17" s="1"/>
  <c r="D51" i="17"/>
  <c r="G69" i="17"/>
  <c r="H69" i="17" s="1"/>
  <c r="G66" i="17"/>
  <c r="H66" i="17" s="1"/>
  <c r="G64" i="17"/>
  <c r="H64" i="17" s="1"/>
  <c r="G62" i="17"/>
  <c r="H62" i="17" s="1"/>
  <c r="G60" i="17"/>
  <c r="H60" i="17" s="1"/>
  <c r="G68" i="17"/>
  <c r="H68" i="17" s="1"/>
  <c r="E65" i="16"/>
  <c r="E61" i="16"/>
  <c r="D51" i="16"/>
  <c r="E64" i="16"/>
  <c r="E60" i="16"/>
  <c r="E68" i="16"/>
  <c r="E63" i="16"/>
  <c r="E59" i="16"/>
  <c r="E67" i="16"/>
  <c r="E66" i="16"/>
  <c r="E62" i="16"/>
  <c r="F65" i="18" l="1"/>
  <c r="F61" i="18"/>
  <c r="G72" i="18"/>
  <c r="F68" i="18"/>
  <c r="F59" i="18"/>
  <c r="F63" i="18"/>
  <c r="F62" i="18"/>
  <c r="F64" i="18"/>
  <c r="F140" i="18"/>
  <c r="F138" i="18"/>
  <c r="F139" i="18" s="1"/>
  <c r="G140" i="18"/>
  <c r="G138" i="18"/>
  <c r="C147" i="18"/>
  <c r="G70" i="18"/>
  <c r="G71" i="18" s="1"/>
  <c r="C149" i="18"/>
  <c r="F60" i="18"/>
  <c r="C81" i="18"/>
  <c r="H72" i="17"/>
  <c r="H74" i="17"/>
  <c r="F116" i="17"/>
  <c r="F118" i="17"/>
  <c r="F135" i="17"/>
  <c r="F133" i="17"/>
  <c r="G66" i="16"/>
  <c r="G68" i="16"/>
  <c r="G61" i="16"/>
  <c r="G62" i="16"/>
  <c r="G63" i="16"/>
  <c r="G59" i="16"/>
  <c r="E70" i="16"/>
  <c r="E71" i="16" s="1"/>
  <c r="E72" i="16"/>
  <c r="G64" i="16"/>
  <c r="G67" i="16"/>
  <c r="G60" i="16"/>
  <c r="G65" i="16"/>
  <c r="F64" i="16" l="1"/>
  <c r="F62" i="16"/>
  <c r="F60" i="16"/>
  <c r="F59" i="16"/>
  <c r="F63" i="16"/>
  <c r="F70" i="18"/>
  <c r="F71" i="18" s="1"/>
  <c r="F72" i="18"/>
  <c r="C150" i="18"/>
  <c r="G142" i="18"/>
  <c r="C79" i="18"/>
  <c r="G74" i="18"/>
  <c r="C82" i="18"/>
  <c r="C83" i="18" s="1"/>
  <c r="G139" i="18"/>
  <c r="F134" i="17"/>
  <c r="G138" i="17"/>
  <c r="G76" i="17"/>
  <c r="H73" i="17"/>
  <c r="G121" i="17"/>
  <c r="F117" i="17"/>
  <c r="C81" i="16"/>
  <c r="G72" i="16"/>
  <c r="G70" i="16"/>
  <c r="F68" i="16"/>
  <c r="F65" i="16"/>
  <c r="F67" i="16"/>
  <c r="F61" i="16"/>
  <c r="F66" i="16"/>
  <c r="F72" i="16" l="1"/>
  <c r="F70" i="16"/>
  <c r="F71" i="16" s="1"/>
  <c r="C152" i="18"/>
  <c r="C153" i="18"/>
  <c r="C79" i="16"/>
  <c r="C82" i="16"/>
  <c r="C83" i="16" s="1"/>
  <c r="G71" i="16"/>
  <c r="G74" i="16"/>
</calcChain>
</file>

<file path=xl/sharedStrings.xml><?xml version="1.0" encoding="utf-8"?>
<sst xmlns="http://schemas.openxmlformats.org/spreadsheetml/2006/main" count="532" uniqueCount="158">
  <si>
    <t>HPLC System Suitability Report</t>
  </si>
  <si>
    <t>Analysis Data</t>
  </si>
  <si>
    <t>Assay</t>
  </si>
  <si>
    <t>Sample(s)</t>
  </si>
  <si>
    <t>Reference Substance:</t>
  </si>
  <si>
    <t>VIDALASTA</t>
  </si>
  <si>
    <t>% age Purity:</t>
  </si>
  <si>
    <t>NDQA201509399</t>
  </si>
  <si>
    <t>Weight (mg):</t>
  </si>
  <si>
    <t>Tadalafil 20mg</t>
  </si>
  <si>
    <t>Standard Conc (mg/mL):</t>
  </si>
  <si>
    <t>Each film coated tablet contains: Tadalafil 20mg</t>
  </si>
  <si>
    <t>2015-10-02 12:27:26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</si>
  <si>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</si>
  <si>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</si>
  <si>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</si>
  <si>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</si>
  <si>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</si>
  <si>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</si>
  <si>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</si>
  <si>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</si>
  <si>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</si>
  <si>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</si>
  <si>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</si>
  <si>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</si>
  <si>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</si>
  <si>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</si>
  <si>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</si>
  <si>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</si>
  <si>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</si>
  <si>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</si>
  <si>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</si>
  <si>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</si>
  <si>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</si>
  <si>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</si>
  <si>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</si>
  <si>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</si>
  <si>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</si>
  <si>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</si>
  <si>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</si>
  <si>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</si>
  <si>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</si>
  <si>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</si>
  <si>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</si>
  <si>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</si>
  <si>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</si>
  <si>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</si>
  <si>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</si>
  <si>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</si>
  <si>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</si>
  <si>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</si>
  <si>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</si>
  <si>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</si>
  <si>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</si>
  <si>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</si>
  <si>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</si>
  <si>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</si>
  <si>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</si>
  <si>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</si>
  <si>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</si>
  <si>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</si>
  <si>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</si>
  <si>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</si>
  <si>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</si>
  <si>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</si>
  <si>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</si>
  <si>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</si>
  <si>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</si>
  <si>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</si>
  <si>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</si>
  <si>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</si>
  <si>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</si>
  <si>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</si>
  <si>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</si>
  <si>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</si>
  <si>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</si>
  <si>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</si>
  <si>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</si>
  <si>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</si>
  <si>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</si>
  <si>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</si>
  <si>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</si>
  <si>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</si>
  <si>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</si>
  <si>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</si>
  <si>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</si>
  <si>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</si>
  <si>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</si>
  <si>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</si>
  <si>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</si>
  <si>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</si>
  <si>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</si>
  <si>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</si>
  <si>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</si>
  <si>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</si>
  <si>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</si>
  <si>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</si>
  <si>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</si>
  <si>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</si>
  <si>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</si>
  <si>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</si>
  <si>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</si>
  <si>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</si>
  <si>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</si>
  <si>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If correction for water content is not needed please enter 0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</si>
  <si>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</si>
  <si>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</si>
  <si>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</si>
  <si>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</si>
  <si>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</si>
  <si>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</si>
  <si>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</si>
  <si>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</si>
  <si>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</si>
  <si>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</si>
  <si>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</si>
  <si>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</si>
  <si>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</si>
  <si>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</si>
  <si>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</si>
  <si>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Powder Weight (mg)</t>
  </si>
  <si>
    <t>Determined Amt (mg)</t>
  </si>
  <si>
    <t>% Assay</t>
  </si>
  <si>
    <t>Assay Smp A</t>
  </si>
  <si>
    <t>Assay Smp B</t>
  </si>
  <si>
    <t>Assay Smp C</t>
  </si>
  <si>
    <t>Desired Sample Weight (mg):</t>
  </si>
  <si>
    <t>Average Normalised Peak Area:</t>
  </si>
  <si>
    <t>Initial    Standard dilution</t>
  </si>
  <si>
    <t>Inj</t>
  </si>
  <si>
    <t>Initial    Sample dilution</t>
  </si>
  <si>
    <t>Analysis Data:</t>
  </si>
  <si>
    <t>Determination of Active Ingredient Dissolved after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</si>
  <si>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 and</t>
    </r>
  </si>
  <si>
    <t xml:space="preserve">No Unit Less than nor </t>
  </si>
  <si>
    <t xml:space="preserve">No Unit greater than </t>
  </si>
  <si>
    <t>Tadalafil</t>
  </si>
  <si>
    <t>Dr. Sarah Mwangi</t>
  </si>
  <si>
    <t>8th February 2016</t>
  </si>
  <si>
    <t>4th February 2016</t>
  </si>
  <si>
    <t>T1-2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</si>
  <si>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</si>
  <si>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</si>
  <si>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</si>
  <si>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</si>
  <si>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</si>
  <si>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</si>
  <si>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</si>
  <si>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</si>
  <si>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</si>
  <si>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VIDALISTA</t>
  </si>
  <si>
    <t>NDQD201509399</t>
  </si>
  <si>
    <t>Tadalafil 20 mg</t>
  </si>
  <si>
    <t>Each film coated tablet contains Tadalafil 20 mg</t>
  </si>
  <si>
    <t>Tadalfil</t>
  </si>
  <si>
    <t>10 minutes</t>
  </si>
  <si>
    <t>30 minutes</t>
  </si>
  <si>
    <t>26th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</si>
</sst>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.00\ &quot;%&quot;"/>
    <numFmt numFmtId="173" formatCode="0\ &quot;%&quot;"/>
  </numFmts>
  <fonts count="4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Calibri"/>
      <family val="2"/>
    </font>
    <font>
      <b/>
      <sz val="18"/>
      <color rgb="FF000000"/>
      <name val="Book Antiqua"/>
      <family val="1"/>
    </font>
    <font>
      <b/>
      <u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5" fillId="2" borderId="0"/>
    <xf numFmtId="0" fontId="28" fillId="2" borderId="0"/>
    <xf numFmtId="0" fontId="25" fillId="2" borderId="0"/>
    <xf numFmtId="0" fontId="25" fillId="2" borderId="0"/>
  </cellStyleXfs>
  <cellXfs count="6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3" fillId="3" borderId="0" xfId="0" applyFont="1" applyFill="1" applyProtection="1">
      <protection locked="0"/>
    </xf>
    <xf numFmtId="0" fontId="11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7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8" fillId="2" borderId="0" xfId="2" applyFill="1"/>
    <xf numFmtId="0" fontId="31" fillId="2" borderId="0" xfId="2" applyFont="1" applyFill="1"/>
    <xf numFmtId="0" fontId="33" fillId="2" borderId="0" xfId="2" applyFont="1" applyFill="1"/>
    <xf numFmtId="0" fontId="34" fillId="2" borderId="0" xfId="2" applyFont="1" applyFill="1"/>
    <xf numFmtId="0" fontId="34" fillId="3" borderId="0" xfId="2" applyFont="1" applyFill="1" applyAlignment="1" applyProtection="1">
      <alignment horizontal="left"/>
      <protection locked="0"/>
    </xf>
    <xf numFmtId="0" fontId="36" fillId="3" borderId="0" xfId="2" applyFont="1" applyFill="1" applyAlignment="1" applyProtection="1">
      <alignment horizontal="left"/>
      <protection locked="0"/>
    </xf>
    <xf numFmtId="0" fontId="36" fillId="3" borderId="0" xfId="2" applyFont="1" applyFill="1" applyProtection="1">
      <protection locked="0"/>
    </xf>
    <xf numFmtId="0" fontId="31" fillId="3" borderId="0" xfId="2" applyFont="1" applyFill="1" applyProtection="1">
      <protection locked="0"/>
    </xf>
    <xf numFmtId="168" fontId="36" fillId="3" borderId="0" xfId="2" applyNumberFormat="1" applyFont="1" applyFill="1" applyAlignment="1" applyProtection="1">
      <alignment horizontal="left"/>
      <protection locked="0"/>
    </xf>
    <xf numFmtId="0" fontId="36" fillId="2" borderId="0" xfId="2" applyFont="1" applyFill="1"/>
    <xf numFmtId="168" fontId="31" fillId="2" borderId="0" xfId="2" applyNumberFormat="1" applyFont="1" applyFill="1" applyAlignment="1">
      <alignment horizontal="left"/>
    </xf>
    <xf numFmtId="0" fontId="33" fillId="2" borderId="0" xfId="2" applyFont="1" applyFill="1" applyAlignment="1">
      <alignment horizontal="left"/>
    </xf>
    <xf numFmtId="0" fontId="34" fillId="2" borderId="0" xfId="2" applyFont="1" applyFill="1" applyAlignment="1">
      <alignment horizontal="right"/>
    </xf>
    <xf numFmtId="0" fontId="31" fillId="2" borderId="0" xfId="2" applyFont="1" applyFill="1" applyAlignment="1">
      <alignment horizontal="right"/>
    </xf>
    <xf numFmtId="0" fontId="35" fillId="3" borderId="0" xfId="2" applyFont="1" applyFill="1" applyAlignment="1" applyProtection="1">
      <alignment horizontal="center"/>
      <protection locked="0"/>
    </xf>
    <xf numFmtId="0" fontId="36" fillId="3" borderId="0" xfId="2" applyFont="1" applyFill="1" applyAlignment="1" applyProtection="1">
      <alignment horizontal="center"/>
      <protection locked="0"/>
    </xf>
    <xf numFmtId="0" fontId="34" fillId="2" borderId="0" xfId="2" applyFont="1" applyFill="1" applyAlignment="1">
      <alignment horizontal="center"/>
    </xf>
    <xf numFmtId="0" fontId="37" fillId="2" borderId="0" xfId="2" applyFont="1" applyFill="1"/>
    <xf numFmtId="2" fontId="35" fillId="3" borderId="0" xfId="2" applyNumberFormat="1" applyFont="1" applyFill="1" applyAlignment="1" applyProtection="1">
      <alignment horizontal="center"/>
      <protection locked="0"/>
    </xf>
    <xf numFmtId="2" fontId="34" fillId="2" borderId="0" xfId="2" applyNumberFormat="1" applyFont="1" applyFill="1" applyAlignment="1">
      <alignment horizontal="center"/>
    </xf>
    <xf numFmtId="0" fontId="32" fillId="2" borderId="0" xfId="2" applyFont="1" applyFill="1" applyAlignment="1">
      <alignment horizontal="left" vertical="center" wrapText="1"/>
    </xf>
    <xf numFmtId="169" fontId="34" fillId="2" borderId="0" xfId="2" applyNumberFormat="1" applyFont="1" applyFill="1" applyAlignment="1">
      <alignment horizontal="center"/>
    </xf>
    <xf numFmtId="0" fontId="38" fillId="2" borderId="0" xfId="2" applyFont="1" applyFill="1"/>
    <xf numFmtId="0" fontId="31" fillId="2" borderId="21" xfId="2" applyFont="1" applyFill="1" applyBorder="1" applyAlignment="1">
      <alignment horizontal="right"/>
    </xf>
    <xf numFmtId="0" fontId="35" fillId="3" borderId="22" xfId="2" applyFont="1" applyFill="1" applyBorder="1" applyAlignment="1" applyProtection="1">
      <alignment horizontal="center"/>
      <protection locked="0"/>
    </xf>
    <xf numFmtId="0" fontId="31" fillId="2" borderId="23" xfId="2" applyFont="1" applyFill="1" applyBorder="1" applyAlignment="1">
      <alignment horizontal="right"/>
    </xf>
    <xf numFmtId="0" fontId="35" fillId="3" borderId="24" xfId="2" applyFont="1" applyFill="1" applyBorder="1" applyAlignment="1" applyProtection="1">
      <alignment horizontal="center"/>
      <protection locked="0"/>
    </xf>
    <xf numFmtId="0" fontId="34" fillId="2" borderId="25" xfId="2" applyFont="1" applyFill="1" applyBorder="1" applyAlignment="1">
      <alignment horizontal="center"/>
    </xf>
    <xf numFmtId="0" fontId="34" fillId="2" borderId="26" xfId="2" applyFont="1" applyFill="1" applyBorder="1" applyAlignment="1">
      <alignment horizontal="center"/>
    </xf>
    <xf numFmtId="0" fontId="34" fillId="2" borderId="27" xfId="2" applyFont="1" applyFill="1" applyBorder="1" applyAlignment="1">
      <alignment horizontal="center"/>
    </xf>
    <xf numFmtId="0" fontId="34" fillId="2" borderId="28" xfId="2" applyFont="1" applyFill="1" applyBorder="1" applyAlignment="1">
      <alignment horizontal="center"/>
    </xf>
    <xf numFmtId="0" fontId="31" fillId="2" borderId="29" xfId="2" applyFont="1" applyFill="1" applyBorder="1" applyAlignment="1">
      <alignment horizontal="center"/>
    </xf>
    <xf numFmtId="166" fontId="35" fillId="3" borderId="30" xfId="2" applyNumberFormat="1" applyFont="1" applyFill="1" applyBorder="1" applyAlignment="1" applyProtection="1">
      <alignment horizontal="center"/>
      <protection locked="0"/>
    </xf>
    <xf numFmtId="170" fontId="31" fillId="2" borderId="27" xfId="2" applyNumberFormat="1" applyFont="1" applyFill="1" applyBorder="1" applyAlignment="1">
      <alignment horizontal="center"/>
    </xf>
    <xf numFmtId="170" fontId="31" fillId="2" borderId="28" xfId="2" applyNumberFormat="1" applyFont="1" applyFill="1" applyBorder="1" applyAlignment="1">
      <alignment horizontal="center"/>
    </xf>
    <xf numFmtId="0" fontId="31" fillId="2" borderId="31" xfId="2" applyFont="1" applyFill="1" applyBorder="1" applyAlignment="1">
      <alignment horizontal="center"/>
    </xf>
    <xf numFmtId="166" fontId="35" fillId="3" borderId="23" xfId="2" applyNumberFormat="1" applyFont="1" applyFill="1" applyBorder="1" applyAlignment="1" applyProtection="1">
      <alignment horizontal="center"/>
      <protection locked="0"/>
    </xf>
    <xf numFmtId="170" fontId="31" fillId="2" borderId="32" xfId="2" applyNumberFormat="1" applyFont="1" applyFill="1" applyBorder="1" applyAlignment="1">
      <alignment horizontal="center"/>
    </xf>
    <xf numFmtId="170" fontId="31" fillId="2" borderId="24" xfId="2" applyNumberFormat="1" applyFont="1" applyFill="1" applyBorder="1" applyAlignment="1">
      <alignment horizontal="center"/>
    </xf>
    <xf numFmtId="0" fontId="31" fillId="2" borderId="33" xfId="2" applyFont="1" applyFill="1" applyBorder="1" applyAlignment="1">
      <alignment horizontal="center"/>
    </xf>
    <xf numFmtId="166" fontId="35" fillId="3" borderId="34" xfId="2" applyNumberFormat="1" applyFont="1" applyFill="1" applyBorder="1" applyAlignment="1" applyProtection="1">
      <alignment horizontal="center"/>
      <protection locked="0"/>
    </xf>
    <xf numFmtId="170" fontId="31" fillId="2" borderId="35" xfId="2" applyNumberFormat="1" applyFont="1" applyFill="1" applyBorder="1" applyAlignment="1">
      <alignment horizontal="center"/>
    </xf>
    <xf numFmtId="170" fontId="31" fillId="2" borderId="36" xfId="2" applyNumberFormat="1" applyFont="1" applyFill="1" applyBorder="1" applyAlignment="1">
      <alignment horizontal="center"/>
    </xf>
    <xf numFmtId="0" fontId="31" fillId="2" borderId="31" xfId="2" applyFont="1" applyFill="1" applyBorder="1" applyAlignment="1">
      <alignment horizontal="right"/>
    </xf>
    <xf numFmtId="170" fontId="34" fillId="6" borderId="38" xfId="2" applyNumberFormat="1" applyFont="1" applyFill="1" applyBorder="1" applyAlignment="1">
      <alignment horizontal="center"/>
    </xf>
    <xf numFmtId="170" fontId="34" fillId="6" borderId="39" xfId="2" applyNumberFormat="1" applyFont="1" applyFill="1" applyBorder="1" applyAlignment="1">
      <alignment horizontal="center"/>
    </xf>
    <xf numFmtId="0" fontId="31" fillId="2" borderId="40" xfId="2" applyFont="1" applyFill="1" applyBorder="1" applyAlignment="1">
      <alignment horizontal="right"/>
    </xf>
    <xf numFmtId="0" fontId="35" fillId="3" borderId="16" xfId="2" applyFont="1" applyFill="1" applyBorder="1" applyAlignment="1" applyProtection="1">
      <alignment horizontal="center"/>
      <protection locked="0"/>
    </xf>
    <xf numFmtId="0" fontId="31" fillId="2" borderId="11" xfId="2" applyFont="1" applyFill="1" applyBorder="1" applyAlignment="1">
      <alignment horizontal="right"/>
    </xf>
    <xf numFmtId="2" fontId="31" fillId="6" borderId="41" xfId="2" applyNumberFormat="1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0" fontId="31" fillId="2" borderId="39" xfId="2" applyFont="1" applyFill="1" applyBorder="1" applyAlignment="1">
      <alignment horizontal="center"/>
    </xf>
    <xf numFmtId="2" fontId="31" fillId="7" borderId="41" xfId="2" applyNumberFormat="1" applyFont="1" applyFill="1" applyBorder="1" applyAlignment="1">
      <alignment horizontal="center"/>
    </xf>
    <xf numFmtId="2" fontId="31" fillId="2" borderId="0" xfId="2" applyNumberFormat="1" applyFont="1" applyFill="1" applyAlignment="1">
      <alignment horizontal="center"/>
    </xf>
    <xf numFmtId="2" fontId="31" fillId="6" borderId="17" xfId="2" applyNumberFormat="1" applyFont="1" applyFill="1" applyBorder="1" applyAlignment="1">
      <alignment horizontal="center"/>
    </xf>
    <xf numFmtId="0" fontId="31" fillId="2" borderId="42" xfId="2" applyFont="1" applyFill="1" applyBorder="1" applyAlignment="1">
      <alignment horizontal="right"/>
    </xf>
    <xf numFmtId="0" fontId="35" fillId="3" borderId="41" xfId="2" applyFont="1" applyFill="1" applyBorder="1" applyAlignment="1" applyProtection="1">
      <alignment horizontal="center"/>
      <protection locked="0"/>
    </xf>
    <xf numFmtId="1" fontId="31" fillId="2" borderId="0" xfId="2" applyNumberFormat="1" applyFont="1" applyFill="1" applyAlignment="1">
      <alignment horizontal="center"/>
    </xf>
    <xf numFmtId="0" fontId="31" fillId="2" borderId="30" xfId="2" applyFont="1" applyFill="1" applyBorder="1" applyAlignment="1">
      <alignment horizontal="right"/>
    </xf>
    <xf numFmtId="2" fontId="31" fillId="6" borderId="15" xfId="2" applyNumberFormat="1" applyFont="1" applyFill="1" applyBorder="1" applyAlignment="1">
      <alignment horizontal="center"/>
    </xf>
    <xf numFmtId="170" fontId="34" fillId="7" borderId="13" xfId="2" applyNumberFormat="1" applyFont="1" applyFill="1" applyBorder="1" applyAlignment="1">
      <alignment horizontal="center"/>
    </xf>
    <xf numFmtId="170" fontId="31" fillId="2" borderId="0" xfId="2" applyNumberFormat="1" applyFont="1" applyFill="1" applyAlignment="1">
      <alignment horizontal="center"/>
    </xf>
    <xf numFmtId="10" fontId="31" fillId="6" borderId="41" xfId="2" applyNumberFormat="1" applyFont="1" applyFill="1" applyBorder="1" applyAlignment="1">
      <alignment horizontal="center"/>
    </xf>
    <xf numFmtId="0" fontId="31" fillId="2" borderId="43" xfId="2" applyFont="1" applyFill="1" applyBorder="1" applyAlignment="1">
      <alignment horizontal="right"/>
    </xf>
    <xf numFmtId="0" fontId="31" fillId="7" borderId="15" xfId="2" applyFont="1" applyFill="1" applyBorder="1" applyAlignment="1">
      <alignment horizontal="center"/>
    </xf>
    <xf numFmtId="0" fontId="34" fillId="2" borderId="0" xfId="2" applyFont="1" applyFill="1" applyAlignment="1">
      <alignment horizontal="left"/>
    </xf>
    <xf numFmtId="0" fontId="31" fillId="2" borderId="0" xfId="2" applyFont="1" applyFill="1" applyAlignment="1">
      <alignment horizontal="left"/>
    </xf>
    <xf numFmtId="0" fontId="40" fillId="2" borderId="0" xfId="2" applyFont="1" applyFill="1"/>
    <xf numFmtId="0" fontId="41" fillId="2" borderId="0" xfId="2" applyFont="1" applyFill="1"/>
    <xf numFmtId="0" fontId="34" fillId="2" borderId="44" xfId="2" applyFont="1" applyFill="1" applyBorder="1" applyAlignment="1">
      <alignment horizontal="center"/>
    </xf>
    <xf numFmtId="0" fontId="34" fillId="7" borderId="45" xfId="2" applyFont="1" applyFill="1" applyBorder="1" applyAlignment="1">
      <alignment horizontal="center"/>
    </xf>
    <xf numFmtId="0" fontId="34" fillId="7" borderId="10" xfId="2" applyFont="1" applyFill="1" applyBorder="1" applyAlignment="1">
      <alignment horizontal="center"/>
    </xf>
    <xf numFmtId="0" fontId="34" fillId="7" borderId="46" xfId="2" applyFont="1" applyFill="1" applyBorder="1" applyAlignment="1">
      <alignment horizontal="center" wrapText="1"/>
    </xf>
    <xf numFmtId="0" fontId="34" fillId="7" borderId="25" xfId="2" applyFont="1" applyFill="1" applyBorder="1" applyAlignment="1">
      <alignment horizontal="center" wrapText="1"/>
    </xf>
    <xf numFmtId="0" fontId="31" fillId="2" borderId="30" xfId="2" applyFont="1" applyFill="1" applyBorder="1" applyAlignment="1">
      <alignment horizontal="center"/>
    </xf>
    <xf numFmtId="166" fontId="36" fillId="3" borderId="4" xfId="2" applyNumberFormat="1" applyFont="1" applyFill="1" applyBorder="1" applyAlignment="1">
      <alignment horizontal="center" wrapText="1"/>
    </xf>
    <xf numFmtId="2" fontId="31" fillId="2" borderId="27" xfId="2" applyNumberFormat="1" applyFont="1" applyFill="1" applyBorder="1" applyAlignment="1">
      <alignment horizontal="center"/>
    </xf>
    <xf numFmtId="2" fontId="31" fillId="2" borderId="4" xfId="2" applyNumberFormat="1" applyFont="1" applyFill="1" applyBorder="1" applyAlignment="1">
      <alignment horizontal="center"/>
    </xf>
    <xf numFmtId="2" fontId="31" fillId="2" borderId="29" xfId="2" applyNumberFormat="1" applyFont="1" applyFill="1" applyBorder="1" applyAlignment="1">
      <alignment horizontal="center"/>
    </xf>
    <xf numFmtId="0" fontId="31" fillId="2" borderId="23" xfId="2" applyFont="1" applyFill="1" applyBorder="1" applyAlignment="1">
      <alignment horizontal="center"/>
    </xf>
    <xf numFmtId="166" fontId="36" fillId="3" borderId="3" xfId="2" applyNumberFormat="1" applyFont="1" applyFill="1" applyBorder="1" applyAlignment="1">
      <alignment horizontal="center" wrapText="1"/>
    </xf>
    <xf numFmtId="2" fontId="31" fillId="2" borderId="32" xfId="2" applyNumberFormat="1" applyFont="1" applyFill="1" applyBorder="1" applyAlignment="1">
      <alignment horizontal="center"/>
    </xf>
    <xf numFmtId="2" fontId="31" fillId="2" borderId="3" xfId="2" applyNumberFormat="1" applyFont="1" applyFill="1" applyBorder="1" applyAlignment="1">
      <alignment horizontal="center"/>
    </xf>
    <xf numFmtId="2" fontId="31" fillId="2" borderId="31" xfId="2" applyNumberFormat="1" applyFont="1" applyFill="1" applyBorder="1" applyAlignment="1">
      <alignment horizontal="center"/>
    </xf>
    <xf numFmtId="0" fontId="31" fillId="2" borderId="43" xfId="2" applyFont="1" applyFill="1" applyBorder="1" applyAlignment="1">
      <alignment horizontal="center"/>
    </xf>
    <xf numFmtId="166" fontId="36" fillId="3" borderId="47" xfId="2" applyNumberFormat="1" applyFont="1" applyFill="1" applyBorder="1" applyAlignment="1">
      <alignment horizontal="center" wrapText="1"/>
    </xf>
    <xf numFmtId="2" fontId="31" fillId="2" borderId="38" xfId="2" applyNumberFormat="1" applyFont="1" applyFill="1" applyBorder="1" applyAlignment="1">
      <alignment horizontal="center"/>
    </xf>
    <xf numFmtId="2" fontId="31" fillId="2" borderId="47" xfId="2" applyNumberFormat="1" applyFont="1" applyFill="1" applyBorder="1" applyAlignment="1">
      <alignment horizontal="center"/>
    </xf>
    <xf numFmtId="2" fontId="31" fillId="2" borderId="48" xfId="2" applyNumberFormat="1" applyFont="1" applyFill="1" applyBorder="1" applyAlignment="1">
      <alignment horizontal="center"/>
    </xf>
    <xf numFmtId="0" fontId="31" fillId="2" borderId="31" xfId="2" applyFont="1" applyFill="1" applyBorder="1"/>
    <xf numFmtId="10" fontId="34" fillId="2" borderId="0" xfId="2" applyNumberFormat="1" applyFont="1" applyFill="1" applyAlignment="1">
      <alignment horizontal="center"/>
    </xf>
    <xf numFmtId="2" fontId="34" fillId="5" borderId="49" xfId="2" applyNumberFormat="1" applyFont="1" applyFill="1" applyBorder="1" applyAlignment="1">
      <alignment horizontal="center"/>
    </xf>
    <xf numFmtId="2" fontId="35" fillId="5" borderId="49" xfId="2" applyNumberFormat="1" applyFont="1" applyFill="1" applyBorder="1" applyAlignment="1">
      <alignment horizontal="center"/>
    </xf>
    <xf numFmtId="10" fontId="34" fillId="6" borderId="49" xfId="2" applyNumberFormat="1" applyFont="1" applyFill="1" applyBorder="1" applyAlignment="1">
      <alignment horizontal="center"/>
    </xf>
    <xf numFmtId="10" fontId="35" fillId="6" borderId="49" xfId="2" applyNumberFormat="1" applyFont="1" applyFill="1" applyBorder="1" applyAlignment="1">
      <alignment horizontal="center"/>
    </xf>
    <xf numFmtId="10" fontId="34" fillId="2" borderId="9" xfId="2" applyNumberFormat="1" applyFont="1" applyFill="1" applyBorder="1" applyAlignment="1">
      <alignment horizontal="center"/>
    </xf>
    <xf numFmtId="2" fontId="34" fillId="5" borderId="50" xfId="2" applyNumberFormat="1" applyFont="1" applyFill="1" applyBorder="1" applyAlignment="1">
      <alignment horizontal="center"/>
    </xf>
    <xf numFmtId="2" fontId="35" fillId="5" borderId="50" xfId="2" applyNumberFormat="1" applyFont="1" applyFill="1" applyBorder="1" applyAlignment="1">
      <alignment horizontal="center"/>
    </xf>
    <xf numFmtId="0" fontId="41" fillId="2" borderId="0" xfId="2" applyFont="1" applyFill="1" applyAlignment="1">
      <alignment horizontal="center"/>
    </xf>
    <xf numFmtId="171" fontId="34" fillId="2" borderId="0" xfId="2" applyNumberFormat="1" applyFont="1" applyFill="1" applyAlignment="1">
      <alignment horizontal="center"/>
    </xf>
    <xf numFmtId="165" fontId="34" fillId="2" borderId="0" xfId="2" applyNumberFormat="1" applyFont="1" applyFill="1" applyAlignment="1">
      <alignment horizontal="center"/>
    </xf>
    <xf numFmtId="0" fontId="31" fillId="2" borderId="1" xfId="2" applyFont="1" applyFill="1" applyBorder="1" applyAlignment="1">
      <alignment horizontal="right"/>
    </xf>
    <xf numFmtId="2" fontId="31" fillId="2" borderId="1" xfId="2" applyNumberFormat="1" applyFont="1" applyFill="1" applyBorder="1" applyAlignment="1">
      <alignment horizontal="center"/>
    </xf>
    <xf numFmtId="0" fontId="36" fillId="3" borderId="1" xfId="2" applyFont="1" applyFill="1" applyBorder="1" applyAlignment="1" applyProtection="1">
      <alignment horizontal="center"/>
      <protection locked="0"/>
    </xf>
    <xf numFmtId="170" fontId="43" fillId="6" borderId="1" xfId="2" applyNumberFormat="1" applyFont="1" applyFill="1" applyBorder="1" applyAlignment="1">
      <alignment horizontal="center"/>
    </xf>
    <xf numFmtId="0" fontId="34" fillId="2" borderId="0" xfId="2" applyFont="1" applyFill="1" applyAlignment="1" applyProtection="1">
      <alignment horizontal="center"/>
      <protection locked="0"/>
    </xf>
    <xf numFmtId="0" fontId="32" fillId="2" borderId="9" xfId="2" applyFont="1" applyFill="1" applyBorder="1" applyAlignment="1">
      <alignment horizontal="left" vertical="center" wrapText="1"/>
    </xf>
    <xf numFmtId="0" fontId="31" fillId="2" borderId="9" xfId="2" applyFont="1" applyFill="1" applyBorder="1"/>
    <xf numFmtId="0" fontId="34" fillId="2" borderId="10" xfId="2" applyFont="1" applyFill="1" applyBorder="1" applyAlignment="1">
      <alignment horizontal="center"/>
    </xf>
    <xf numFmtId="0" fontId="31" fillId="2" borderId="10" xfId="2" applyFont="1" applyFill="1" applyBorder="1" applyAlignment="1">
      <alignment horizontal="center"/>
    </xf>
    <xf numFmtId="0" fontId="31" fillId="2" borderId="7" xfId="2" applyFont="1" applyFill="1" applyBorder="1"/>
    <xf numFmtId="0" fontId="34" fillId="2" borderId="11" xfId="2" applyFont="1" applyFill="1" applyBorder="1"/>
    <xf numFmtId="0" fontId="31" fillId="2" borderId="11" xfId="2" applyFont="1" applyFill="1" applyBorder="1"/>
    <xf numFmtId="0" fontId="2" fillId="2" borderId="0" xfId="3" applyFont="1" applyFill="1"/>
    <xf numFmtId="0" fontId="3" fillId="2" borderId="0" xfId="3" applyFont="1" applyFill="1"/>
    <xf numFmtId="0" fontId="0" fillId="2" borderId="0" xfId="3" applyFont="1" applyFill="1"/>
    <xf numFmtId="0" fontId="12" fillId="2" borderId="0" xfId="3" applyFont="1" applyFill="1"/>
    <xf numFmtId="0" fontId="12" fillId="3" borderId="0" xfId="3" applyFont="1" applyFill="1" applyAlignment="1" applyProtection="1">
      <alignment horizontal="left"/>
      <protection locked="0"/>
    </xf>
    <xf numFmtId="0" fontId="31" fillId="3" borderId="0" xfId="3" applyFont="1" applyFill="1" applyAlignment="1" applyProtection="1">
      <alignment horizontal="left"/>
      <protection locked="0"/>
    </xf>
    <xf numFmtId="0" fontId="11" fillId="2" borderId="0" xfId="3" applyFont="1" applyFill="1" applyProtection="1">
      <protection locked="0"/>
    </xf>
    <xf numFmtId="0" fontId="31" fillId="3" borderId="0" xfId="3" applyFont="1" applyFill="1" applyProtection="1">
      <protection locked="0"/>
    </xf>
    <xf numFmtId="0" fontId="11" fillId="3" borderId="0" xfId="3" applyFont="1" applyFill="1" applyProtection="1">
      <protection locked="0"/>
    </xf>
    <xf numFmtId="168" fontId="11" fillId="3" borderId="0" xfId="3" applyNumberFormat="1" applyFont="1" applyFill="1" applyAlignment="1" applyProtection="1">
      <alignment horizontal="left"/>
      <protection locked="0"/>
    </xf>
    <xf numFmtId="168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35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0" xfId="3" applyFont="1" applyFill="1"/>
    <xf numFmtId="0" fontId="21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8" fillId="2" borderId="0" xfId="3" applyFont="1" applyFill="1"/>
    <xf numFmtId="2" fontId="14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5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7" fillId="2" borderId="0" xfId="3" applyFont="1" applyFill="1" applyAlignment="1">
      <alignment horizontal="left" vertical="center" wrapText="1"/>
    </xf>
    <xf numFmtId="169" fontId="12" fillId="2" borderId="0" xfId="3" applyNumberFormat="1" applyFont="1" applyFill="1" applyAlignment="1">
      <alignment horizontal="center"/>
    </xf>
    <xf numFmtId="0" fontId="11" fillId="2" borderId="0" xfId="3" applyFont="1" applyFill="1"/>
    <xf numFmtId="0" fontId="11" fillId="2" borderId="21" xfId="3" applyFont="1" applyFill="1" applyBorder="1" applyAlignment="1">
      <alignment horizontal="right"/>
    </xf>
    <xf numFmtId="0" fontId="14" fillId="3" borderId="25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4" fillId="3" borderId="31" xfId="3" applyFont="1" applyFill="1" applyBorder="1" applyAlignment="1" applyProtection="1">
      <alignment horizontal="center"/>
      <protection locked="0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28" xfId="3" applyFont="1" applyFill="1" applyBorder="1" applyAlignment="1">
      <alignment horizontal="center"/>
    </xf>
    <xf numFmtId="0" fontId="11" fillId="2" borderId="29" xfId="3" applyFont="1" applyFill="1" applyBorder="1" applyAlignment="1">
      <alignment horizontal="center"/>
    </xf>
    <xf numFmtId="0" fontId="35" fillId="3" borderId="30" xfId="3" applyFont="1" applyFill="1" applyBorder="1" applyAlignment="1" applyProtection="1">
      <alignment horizontal="center"/>
      <protection locked="0"/>
    </xf>
    <xf numFmtId="170" fontId="11" fillId="2" borderId="27" xfId="3" applyNumberFormat="1" applyFont="1" applyFill="1" applyBorder="1" applyAlignment="1">
      <alignment horizontal="center"/>
    </xf>
    <xf numFmtId="170" fontId="11" fillId="2" borderId="28" xfId="3" applyNumberFormat="1" applyFont="1" applyFill="1" applyBorder="1" applyAlignment="1">
      <alignment horizontal="center"/>
    </xf>
    <xf numFmtId="0" fontId="11" fillId="2" borderId="31" xfId="3" applyFont="1" applyFill="1" applyBorder="1" applyAlignment="1">
      <alignment horizontal="center"/>
    </xf>
    <xf numFmtId="0" fontId="35" fillId="3" borderId="23" xfId="3" applyFont="1" applyFill="1" applyBorder="1" applyAlignment="1" applyProtection="1">
      <alignment horizontal="center"/>
      <protection locked="0"/>
    </xf>
    <xf numFmtId="170" fontId="11" fillId="2" borderId="32" xfId="3" applyNumberFormat="1" applyFont="1" applyFill="1" applyBorder="1" applyAlignment="1">
      <alignment horizontal="center"/>
    </xf>
    <xf numFmtId="170" fontId="11" fillId="2" borderId="24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4" fillId="3" borderId="34" xfId="3" applyFont="1" applyFill="1" applyBorder="1" applyAlignment="1" applyProtection="1">
      <alignment horizontal="center"/>
      <protection locked="0"/>
    </xf>
    <xf numFmtId="170" fontId="11" fillId="2" borderId="35" xfId="3" applyNumberFormat="1" applyFont="1" applyFill="1" applyBorder="1" applyAlignment="1">
      <alignment horizontal="center"/>
    </xf>
    <xf numFmtId="170" fontId="11" fillId="2" borderId="36" xfId="3" applyNumberFormat="1" applyFont="1" applyFill="1" applyBorder="1" applyAlignment="1">
      <alignment horizontal="center"/>
    </xf>
    <xf numFmtId="0" fontId="11" fillId="2" borderId="31" xfId="3" applyFont="1" applyFill="1" applyBorder="1" applyAlignment="1">
      <alignment horizontal="right"/>
    </xf>
    <xf numFmtId="1" fontId="12" fillId="6" borderId="55" xfId="3" applyNumberFormat="1" applyFont="1" applyFill="1" applyBorder="1" applyAlignment="1">
      <alignment horizontal="center"/>
    </xf>
    <xf numFmtId="170" fontId="12" fillId="6" borderId="38" xfId="3" applyNumberFormat="1" applyFont="1" applyFill="1" applyBorder="1" applyAlignment="1">
      <alignment horizontal="center"/>
    </xf>
    <xf numFmtId="1" fontId="12" fillId="6" borderId="37" xfId="3" applyNumberFormat="1" applyFont="1" applyFill="1" applyBorder="1" applyAlignment="1">
      <alignment horizontal="center"/>
    </xf>
    <xf numFmtId="170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63" xfId="3" applyFont="1" applyFill="1" applyBorder="1" applyAlignment="1">
      <alignment horizontal="right"/>
    </xf>
    <xf numFmtId="0" fontId="35" fillId="3" borderId="16" xfId="3" applyFont="1" applyFill="1" applyBorder="1" applyAlignment="1" applyProtection="1">
      <alignment horizontal="center"/>
      <protection locked="0"/>
    </xf>
    <xf numFmtId="0" fontId="11" fillId="2" borderId="26" xfId="3" applyFont="1" applyFill="1" applyBorder="1" applyAlignment="1">
      <alignment horizontal="right"/>
    </xf>
    <xf numFmtId="2" fontId="11" fillId="6" borderId="49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6" borderId="41" xfId="3" applyNumberFormat="1" applyFont="1" applyFill="1" applyBorder="1" applyAlignment="1">
      <alignment horizontal="center"/>
    </xf>
    <xf numFmtId="2" fontId="11" fillId="7" borderId="49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6" borderId="17" xfId="3" applyNumberFormat="1" applyFont="1" applyFill="1" applyBorder="1" applyAlignment="1">
      <alignment horizontal="center"/>
    </xf>
    <xf numFmtId="0" fontId="14" fillId="3" borderId="49" xfId="3" applyFont="1" applyFill="1" applyBorder="1" applyAlignment="1" applyProtection="1">
      <alignment horizontal="center"/>
      <protection locked="0"/>
    </xf>
    <xf numFmtId="1" fontId="11" fillId="2" borderId="0" xfId="3" applyNumberFormat="1" applyFont="1" applyFill="1" applyAlignment="1">
      <alignment horizontal="center"/>
    </xf>
    <xf numFmtId="0" fontId="11" fillId="2" borderId="55" xfId="3" applyFont="1" applyFill="1" applyBorder="1" applyAlignment="1">
      <alignment horizontal="right"/>
    </xf>
    <xf numFmtId="2" fontId="11" fillId="7" borderId="28" xfId="3" applyNumberFormat="1" applyFont="1" applyFill="1" applyBorder="1" applyAlignment="1">
      <alignment horizontal="center"/>
    </xf>
    <xf numFmtId="170" fontId="11" fillId="2" borderId="0" xfId="3" applyNumberFormat="1" applyFont="1" applyFill="1" applyAlignment="1">
      <alignment horizontal="center"/>
    </xf>
    <xf numFmtId="0" fontId="11" fillId="2" borderId="16" xfId="3" applyFont="1" applyFill="1" applyBorder="1" applyAlignment="1">
      <alignment horizontal="right"/>
    </xf>
    <xf numFmtId="170" fontId="12" fillId="7" borderId="16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1" fillId="6" borderId="41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1" fillId="7" borderId="17" xfId="3" applyFont="1" applyFill="1" applyBorder="1" applyAlignment="1">
      <alignment horizontal="center"/>
    </xf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35" fillId="3" borderId="21" xfId="3" applyFont="1" applyFill="1" applyBorder="1" applyAlignment="1" applyProtection="1">
      <alignment horizontal="center"/>
      <protection locked="0"/>
    </xf>
    <xf numFmtId="2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2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35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35" fillId="3" borderId="43" xfId="3" applyFont="1" applyFill="1" applyBorder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/>
    </xf>
    <xf numFmtId="10" fontId="11" fillId="2" borderId="25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/>
    </xf>
    <xf numFmtId="10" fontId="11" fillId="2" borderId="31" xfId="3" applyNumberFormat="1" applyFont="1" applyFill="1" applyBorder="1" applyAlignment="1">
      <alignment horizontal="center" vertical="center"/>
    </xf>
    <xf numFmtId="2" fontId="11" fillId="2" borderId="15" xfId="3" applyNumberFormat="1" applyFont="1" applyFill="1" applyBorder="1" applyAlignment="1">
      <alignment horizontal="center"/>
    </xf>
    <xf numFmtId="10" fontId="11" fillId="2" borderId="48" xfId="3" applyNumberFormat="1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2" fontId="13" fillId="2" borderId="48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60" xfId="3" applyFont="1" applyFill="1" applyBorder="1" applyAlignment="1">
      <alignment horizontal="right"/>
    </xf>
    <xf numFmtId="10" fontId="14" fillId="7" borderId="33" xfId="3" applyNumberFormat="1" applyFont="1" applyFill="1" applyBorder="1" applyAlignment="1">
      <alignment horizontal="center"/>
    </xf>
    <xf numFmtId="10" fontId="14" fillId="6" borderId="64" xfId="3" applyNumberFormat="1" applyFont="1" applyFill="1" applyBorder="1" applyAlignment="1">
      <alignment horizontal="center"/>
    </xf>
    <xf numFmtId="0" fontId="14" fillId="7" borderId="61" xfId="3" applyFont="1" applyFill="1" applyBorder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44" fillId="3" borderId="0" xfId="3" applyFont="1" applyFill="1" applyAlignment="1" applyProtection="1">
      <alignment horizontal="center"/>
      <protection locked="0"/>
    </xf>
    <xf numFmtId="0" fontId="12" fillId="2" borderId="51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1" fillId="2" borderId="52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0" fontId="14" fillId="3" borderId="34" xfId="3" applyNumberFormat="1" applyFont="1" applyFill="1" applyBorder="1" applyAlignment="1" applyProtection="1">
      <alignment horizontal="center"/>
      <protection locked="0"/>
    </xf>
    <xf numFmtId="1" fontId="12" fillId="6" borderId="62" xfId="3" applyNumberFormat="1" applyFont="1" applyFill="1" applyBorder="1" applyAlignment="1">
      <alignment horizontal="center"/>
    </xf>
    <xf numFmtId="1" fontId="12" fillId="6" borderId="53" xfId="3" applyNumberFormat="1" applyFont="1" applyFill="1" applyBorder="1" applyAlignment="1">
      <alignment horizontal="center"/>
    </xf>
    <xf numFmtId="1" fontId="12" fillId="6" borderId="15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2" fillId="2" borderId="0" xfId="3" applyFont="1" applyFill="1" applyAlignment="1">
      <alignment horizontal="center" wrapText="1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45" xfId="3" applyFont="1" applyFill="1" applyBorder="1" applyAlignment="1">
      <alignment horizontal="center"/>
    </xf>
    <xf numFmtId="0" fontId="12" fillId="2" borderId="46" xfId="3" applyFont="1" applyFill="1" applyBorder="1"/>
    <xf numFmtId="0" fontId="12" fillId="2" borderId="25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35" fillId="3" borderId="32" xfId="3" applyNumberFormat="1" applyFont="1" applyFill="1" applyBorder="1" applyAlignment="1" applyProtection="1">
      <alignment horizontal="center"/>
      <protection locked="0"/>
    </xf>
    <xf numFmtId="2" fontId="11" fillId="2" borderId="27" xfId="3" applyNumberFormat="1" applyFont="1" applyFill="1" applyBorder="1" applyAlignment="1">
      <alignment horizontal="center"/>
    </xf>
    <xf numFmtId="10" fontId="11" fillId="2" borderId="28" xfId="3" applyNumberFormat="1" applyFont="1" applyFill="1" applyBorder="1" applyAlignment="1">
      <alignment horizontal="center"/>
    </xf>
    <xf numFmtId="2" fontId="11" fillId="2" borderId="32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35" fillId="3" borderId="35" xfId="3" applyNumberFormat="1" applyFont="1" applyFill="1" applyBorder="1" applyAlignment="1" applyProtection="1">
      <alignment horizontal="center"/>
      <protection locked="0"/>
    </xf>
    <xf numFmtId="2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31" xfId="3" applyNumberFormat="1" applyFont="1" applyFill="1" applyBorder="1" applyAlignment="1">
      <alignment horizontal="center"/>
    </xf>
    <xf numFmtId="170" fontId="12" fillId="2" borderId="0" xfId="3" applyNumberFormat="1" applyFont="1" applyFill="1" applyAlignment="1">
      <alignment horizontal="center"/>
    </xf>
    <xf numFmtId="170" fontId="11" fillId="2" borderId="2" xfId="3" applyNumberFormat="1" applyFont="1" applyFill="1" applyBorder="1" applyAlignment="1">
      <alignment horizontal="right"/>
    </xf>
    <xf numFmtId="10" fontId="14" fillId="7" borderId="49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6" xfId="3" applyFont="1" applyFill="1" applyBorder="1"/>
    <xf numFmtId="10" fontId="14" fillId="6" borderId="49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center"/>
    </xf>
    <xf numFmtId="0" fontId="11" fillId="2" borderId="57" xfId="3" applyFont="1" applyFill="1" applyBorder="1" applyAlignment="1">
      <alignment horizontal="right"/>
    </xf>
    <xf numFmtId="0" fontId="14" fillId="7" borderId="17" xfId="3" applyFont="1" applyFill="1" applyBorder="1" applyAlignment="1">
      <alignment horizontal="center"/>
    </xf>
    <xf numFmtId="165" fontId="14" fillId="2" borderId="0" xfId="3" applyNumberFormat="1" applyFont="1" applyFill="1" applyAlignment="1">
      <alignment horizontal="center"/>
    </xf>
    <xf numFmtId="0" fontId="13" fillId="3" borderId="25" xfId="3" applyFont="1" applyFill="1" applyBorder="1" applyAlignment="1" applyProtection="1">
      <alignment horizontal="center"/>
      <protection locked="0"/>
    </xf>
    <xf numFmtId="0" fontId="13" fillId="3" borderId="31" xfId="3" applyFont="1" applyFill="1" applyBorder="1" applyAlignment="1" applyProtection="1">
      <alignment horizontal="center"/>
      <protection locked="0"/>
    </xf>
    <xf numFmtId="2" fontId="11" fillId="2" borderId="4" xfId="3" applyNumberFormat="1" applyFont="1" applyFill="1" applyBorder="1" applyAlignment="1">
      <alignment horizontal="center"/>
    </xf>
    <xf numFmtId="10" fontId="11" fillId="2" borderId="29" xfId="3" applyNumberFormat="1" applyFont="1" applyFill="1" applyBorder="1" applyAlignment="1">
      <alignment horizontal="center"/>
    </xf>
    <xf numFmtId="2" fontId="11" fillId="2" borderId="3" xfId="3" applyNumberFormat="1" applyFont="1" applyFill="1" applyBorder="1" applyAlignment="1">
      <alignment horizontal="center"/>
    </xf>
    <xf numFmtId="10" fontId="11" fillId="2" borderId="31" xfId="3" applyNumberFormat="1" applyFont="1" applyFill="1" applyBorder="1" applyAlignment="1">
      <alignment horizontal="center"/>
    </xf>
    <xf numFmtId="2" fontId="11" fillId="2" borderId="5" xfId="3" applyNumberFormat="1" applyFont="1" applyFill="1" applyBorder="1" applyAlignment="1">
      <alignment horizontal="center"/>
    </xf>
    <xf numFmtId="10" fontId="11" fillId="2" borderId="33" xfId="3" applyNumberFormat="1" applyFont="1" applyFill="1" applyBorder="1" applyAlignment="1">
      <alignment horizontal="center"/>
    </xf>
    <xf numFmtId="0" fontId="11" fillId="2" borderId="31" xfId="3" applyFont="1" applyFill="1" applyBorder="1" applyAlignment="1" applyProtection="1">
      <alignment horizontal="center"/>
      <protection locked="0"/>
    </xf>
    <xf numFmtId="0" fontId="17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 applyProtection="1">
      <protection locked="0"/>
    </xf>
    <xf numFmtId="0" fontId="11" fillId="2" borderId="7" xfId="3" applyFont="1" applyFill="1" applyBorder="1"/>
    <xf numFmtId="0" fontId="12" fillId="2" borderId="11" xfId="3" applyFont="1" applyFill="1" applyBorder="1" applyProtection="1">
      <protection locked="0"/>
    </xf>
    <xf numFmtId="0" fontId="12" fillId="2" borderId="11" xfId="3" applyFont="1" applyFill="1" applyBorder="1"/>
    <xf numFmtId="0" fontId="11" fillId="2" borderId="11" xfId="3" applyFont="1" applyFill="1" applyBorder="1"/>
    <xf numFmtId="0" fontId="0" fillId="2" borderId="0" xfId="4" applyFont="1" applyFill="1"/>
    <xf numFmtId="0" fontId="11" fillId="2" borderId="0" xfId="4" applyFont="1" applyFill="1"/>
    <xf numFmtId="0" fontId="3" fillId="2" borderId="0" xfId="4" applyFont="1" applyFill="1"/>
    <xf numFmtId="0" fontId="12" fillId="2" borderId="0" xfId="4" applyFont="1" applyFill="1"/>
    <xf numFmtId="0" fontId="12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8" fontId="13" fillId="3" borderId="0" xfId="4" applyNumberFormat="1" applyFont="1" applyFill="1" applyAlignment="1" applyProtection="1">
      <alignment horizontal="left"/>
      <protection locked="0"/>
    </xf>
    <xf numFmtId="0" fontId="13" fillId="2" borderId="0" xfId="4" applyFont="1" applyFill="1"/>
    <xf numFmtId="168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4" fillId="3" borderId="0" xfId="4" applyFont="1" applyFill="1" applyAlignment="1" applyProtection="1">
      <alignment horizontal="center"/>
      <protection locked="0"/>
    </xf>
    <xf numFmtId="0" fontId="13" fillId="3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2" fontId="14" fillId="3" borderId="0" xfId="4" applyNumberFormat="1" applyFont="1" applyFill="1" applyAlignment="1" applyProtection="1">
      <alignment horizontal="center"/>
      <protection locked="0"/>
    </xf>
    <xf numFmtId="2" fontId="12" fillId="2" borderId="0" xfId="4" applyNumberFormat="1" applyFont="1" applyFill="1" applyAlignment="1">
      <alignment horizontal="center"/>
    </xf>
    <xf numFmtId="0" fontId="17" fillId="2" borderId="0" xfId="4" applyFont="1" applyFill="1" applyAlignment="1">
      <alignment horizontal="left" vertical="center" wrapText="1"/>
    </xf>
    <xf numFmtId="169" fontId="12" fillId="2" borderId="0" xfId="4" applyNumberFormat="1" applyFont="1" applyFill="1" applyAlignment="1">
      <alignment horizontal="center"/>
    </xf>
    <xf numFmtId="0" fontId="15" fillId="2" borderId="0" xfId="4" applyFont="1" applyFill="1"/>
    <xf numFmtId="0" fontId="11" fillId="2" borderId="21" xfId="4" applyFont="1" applyFill="1" applyBorder="1" applyAlignment="1">
      <alignment horizontal="right"/>
    </xf>
    <xf numFmtId="0" fontId="11" fillId="2" borderId="23" xfId="4" applyFont="1" applyFill="1" applyBorder="1" applyAlignment="1">
      <alignment horizontal="right"/>
    </xf>
    <xf numFmtId="0" fontId="14" fillId="3" borderId="24" xfId="4" applyFont="1" applyFill="1" applyBorder="1" applyAlignment="1" applyProtection="1">
      <alignment horizontal="center"/>
      <protection locked="0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28" xfId="4" applyFont="1" applyFill="1" applyBorder="1" applyAlignment="1">
      <alignment horizontal="center"/>
    </xf>
    <xf numFmtId="0" fontId="11" fillId="2" borderId="29" xfId="4" applyFont="1" applyFill="1" applyBorder="1" applyAlignment="1">
      <alignment horizontal="center"/>
    </xf>
    <xf numFmtId="0" fontId="14" fillId="3" borderId="30" xfId="4" applyFont="1" applyFill="1" applyBorder="1" applyAlignment="1" applyProtection="1">
      <alignment horizontal="center"/>
      <protection locked="0"/>
    </xf>
    <xf numFmtId="170" fontId="11" fillId="2" borderId="27" xfId="4" applyNumberFormat="1" applyFont="1" applyFill="1" applyBorder="1" applyAlignment="1">
      <alignment horizontal="center"/>
    </xf>
    <xf numFmtId="170" fontId="11" fillId="2" borderId="28" xfId="4" applyNumberFormat="1" applyFont="1" applyFill="1" applyBorder="1" applyAlignment="1">
      <alignment horizontal="center"/>
    </xf>
    <xf numFmtId="0" fontId="11" fillId="2" borderId="31" xfId="4" applyFont="1" applyFill="1" applyBorder="1" applyAlignment="1">
      <alignment horizontal="center"/>
    </xf>
    <xf numFmtId="0" fontId="14" fillId="3" borderId="23" xfId="4" applyFont="1" applyFill="1" applyBorder="1" applyAlignment="1" applyProtection="1">
      <alignment horizontal="center"/>
      <protection locked="0"/>
    </xf>
    <xf numFmtId="170" fontId="11" fillId="2" borderId="32" xfId="4" applyNumberFormat="1" applyFont="1" applyFill="1" applyBorder="1" applyAlignment="1">
      <alignment horizontal="center"/>
    </xf>
    <xf numFmtId="170" fontId="11" fillId="2" borderId="24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4" fillId="3" borderId="34" xfId="4" applyFont="1" applyFill="1" applyBorder="1" applyAlignment="1" applyProtection="1">
      <alignment horizontal="center"/>
      <protection locked="0"/>
    </xf>
    <xf numFmtId="170" fontId="11" fillId="2" borderId="35" xfId="4" applyNumberFormat="1" applyFont="1" applyFill="1" applyBorder="1" applyAlignment="1">
      <alignment horizontal="center"/>
    </xf>
    <xf numFmtId="170" fontId="11" fillId="2" borderId="36" xfId="4" applyNumberFormat="1" applyFont="1" applyFill="1" applyBorder="1" applyAlignment="1">
      <alignment horizontal="center"/>
    </xf>
    <xf numFmtId="0" fontId="11" fillId="2" borderId="31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0" fontId="12" fillId="6" borderId="38" xfId="4" applyNumberFormat="1" applyFont="1" applyFill="1" applyBorder="1" applyAlignment="1">
      <alignment horizontal="center"/>
    </xf>
    <xf numFmtId="170" fontId="12" fillId="6" borderId="39" xfId="4" applyNumberFormat="1" applyFont="1" applyFill="1" applyBorder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4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39" xfId="4" applyFont="1" applyFill="1" applyBorder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2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30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0" fontId="12" fillId="7" borderId="13" xfId="4" applyNumberFormat="1" applyFont="1" applyFill="1" applyBorder="1" applyAlignment="1">
      <alignment horizontal="center"/>
    </xf>
    <xf numFmtId="170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4" fillId="2" borderId="0" xfId="4" applyFont="1" applyFill="1"/>
    <xf numFmtId="0" fontId="6" fillId="2" borderId="0" xfId="4" applyFont="1" applyFill="1"/>
    <xf numFmtId="0" fontId="12" fillId="2" borderId="44" xfId="4" applyFont="1" applyFill="1" applyBorder="1" applyAlignment="1">
      <alignment horizontal="center"/>
    </xf>
    <xf numFmtId="0" fontId="12" fillId="7" borderId="45" xfId="4" applyFont="1" applyFill="1" applyBorder="1" applyAlignment="1">
      <alignment horizontal="center"/>
    </xf>
    <xf numFmtId="0" fontId="12" fillId="7" borderId="10" xfId="4" applyFont="1" applyFill="1" applyBorder="1" applyAlignment="1">
      <alignment horizontal="center"/>
    </xf>
    <xf numFmtId="0" fontId="12" fillId="7" borderId="46" xfId="4" applyFont="1" applyFill="1" applyBorder="1" applyAlignment="1">
      <alignment horizontal="center" wrapText="1"/>
    </xf>
    <xf numFmtId="0" fontId="12" fillId="7" borderId="25" xfId="4" applyFont="1" applyFill="1" applyBorder="1" applyAlignment="1">
      <alignment horizontal="center" wrapText="1"/>
    </xf>
    <xf numFmtId="0" fontId="11" fillId="2" borderId="30" xfId="4" applyFont="1" applyFill="1" applyBorder="1" applyAlignment="1">
      <alignment horizontal="center"/>
    </xf>
    <xf numFmtId="2" fontId="11" fillId="2" borderId="27" xfId="4" applyNumberFormat="1" applyFont="1" applyFill="1" applyBorder="1" applyAlignment="1">
      <alignment horizontal="center"/>
    </xf>
    <xf numFmtId="172" fontId="11" fillId="2" borderId="4" xfId="4" applyNumberFormat="1" applyFont="1" applyFill="1" applyBorder="1" applyAlignment="1">
      <alignment horizontal="center"/>
    </xf>
    <xf numFmtId="172" fontId="11" fillId="2" borderId="29" xfId="4" applyNumberFormat="1" applyFont="1" applyFill="1" applyBorder="1" applyAlignment="1">
      <alignment horizontal="center"/>
    </xf>
    <xf numFmtId="0" fontId="11" fillId="2" borderId="23" xfId="4" applyFont="1" applyFill="1" applyBorder="1" applyAlignment="1">
      <alignment horizontal="center"/>
    </xf>
    <xf numFmtId="2" fontId="11" fillId="2" borderId="32" xfId="4" applyNumberFormat="1" applyFont="1" applyFill="1" applyBorder="1" applyAlignment="1">
      <alignment horizontal="center"/>
    </xf>
    <xf numFmtId="172" fontId="11" fillId="2" borderId="3" xfId="4" applyNumberFormat="1" applyFont="1" applyFill="1" applyBorder="1" applyAlignment="1">
      <alignment horizontal="center"/>
    </xf>
    <xf numFmtId="172" fontId="11" fillId="2" borderId="3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center"/>
    </xf>
    <xf numFmtId="2" fontId="11" fillId="2" borderId="38" xfId="4" applyNumberFormat="1" applyFont="1" applyFill="1" applyBorder="1" applyAlignment="1">
      <alignment horizontal="center"/>
    </xf>
    <xf numFmtId="172" fontId="11" fillId="2" borderId="47" xfId="4" applyNumberFormat="1" applyFont="1" applyFill="1" applyBorder="1" applyAlignment="1">
      <alignment horizontal="center"/>
    </xf>
    <xf numFmtId="172" fontId="11" fillId="2" borderId="48" xfId="4" applyNumberFormat="1" applyFont="1" applyFill="1" applyBorder="1" applyAlignment="1">
      <alignment horizontal="center"/>
    </xf>
    <xf numFmtId="0" fontId="11" fillId="2" borderId="31" xfId="4" applyFont="1" applyFill="1" applyBorder="1"/>
    <xf numFmtId="10" fontId="12" fillId="2" borderId="0" xfId="4" applyNumberFormat="1" applyFont="1" applyFill="1" applyAlignment="1">
      <alignment horizontal="center"/>
    </xf>
    <xf numFmtId="2" fontId="12" fillId="5" borderId="49" xfId="4" applyNumberFormat="1" applyFont="1" applyFill="1" applyBorder="1" applyAlignment="1">
      <alignment horizontal="center"/>
    </xf>
    <xf numFmtId="172" fontId="12" fillId="5" borderId="49" xfId="4" applyNumberFormat="1" applyFont="1" applyFill="1" applyBorder="1" applyAlignment="1">
      <alignment horizontal="center"/>
    </xf>
    <xf numFmtId="172" fontId="14" fillId="5" borderId="49" xfId="4" applyNumberFormat="1" applyFont="1" applyFill="1" applyBorder="1" applyAlignment="1">
      <alignment horizontal="center"/>
    </xf>
    <xf numFmtId="10" fontId="12" fillId="6" borderId="49" xfId="4" applyNumberFormat="1" applyFont="1" applyFill="1" applyBorder="1" applyAlignment="1">
      <alignment horizontal="center"/>
    </xf>
    <xf numFmtId="10" fontId="14" fillId="6" borderId="49" xfId="4" applyNumberFormat="1" applyFont="1" applyFill="1" applyBorder="1" applyAlignment="1">
      <alignment horizontal="center"/>
    </xf>
    <xf numFmtId="10" fontId="12" fillId="2" borderId="9" xfId="4" applyNumberFormat="1" applyFont="1" applyFill="1" applyBorder="1" applyAlignment="1">
      <alignment horizontal="center"/>
    </xf>
    <xf numFmtId="1" fontId="12" fillId="5" borderId="50" xfId="4" applyNumberFormat="1" applyFont="1" applyFill="1" applyBorder="1" applyAlignment="1">
      <alignment horizontal="center"/>
    </xf>
    <xf numFmtId="1" fontId="14" fillId="5" borderId="50" xfId="4" applyNumberFormat="1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171" fontId="12" fillId="2" borderId="0" xfId="4" applyNumberFormat="1" applyFont="1" applyFill="1" applyAlignment="1">
      <alignment horizontal="center"/>
    </xf>
    <xf numFmtId="165" fontId="12" fillId="2" borderId="0" xfId="4" applyNumberFormat="1" applyFont="1" applyFill="1" applyAlignment="1">
      <alignment horizontal="center"/>
    </xf>
    <xf numFmtId="0" fontId="11" fillId="2" borderId="1" xfId="4" applyFont="1" applyFill="1" applyBorder="1" applyAlignment="1">
      <alignment horizontal="right"/>
    </xf>
    <xf numFmtId="2" fontId="11" fillId="2" borderId="1" xfId="4" applyNumberFormat="1" applyFont="1" applyFill="1" applyBorder="1" applyAlignment="1">
      <alignment horizontal="center"/>
    </xf>
    <xf numFmtId="0" fontId="13" fillId="3" borderId="1" xfId="4" applyFont="1" applyFill="1" applyBorder="1" applyAlignment="1" applyProtection="1">
      <alignment horizontal="center"/>
      <protection locked="0"/>
    </xf>
    <xf numFmtId="1" fontId="12" fillId="6" borderId="1" xfId="4" applyNumberFormat="1" applyFont="1" applyFill="1" applyBorder="1" applyAlignment="1">
      <alignment horizontal="center"/>
    </xf>
    <xf numFmtId="0" fontId="12" fillId="2" borderId="0" xfId="4" applyFont="1" applyFill="1" applyAlignment="1" applyProtection="1">
      <alignment horizontal="center"/>
      <protection locked="0"/>
    </xf>
    <xf numFmtId="0" fontId="12" fillId="7" borderId="46" xfId="4" applyFont="1" applyFill="1" applyBorder="1" applyAlignment="1">
      <alignment horizontal="center"/>
    </xf>
    <xf numFmtId="0" fontId="14" fillId="3" borderId="32" xfId="4" applyFont="1" applyFill="1" applyBorder="1" applyAlignment="1" applyProtection="1">
      <alignment horizontal="center"/>
      <protection locked="0"/>
    </xf>
    <xf numFmtId="0" fontId="11" fillId="2" borderId="55" xfId="4" applyFont="1" applyFill="1" applyBorder="1" applyAlignment="1">
      <alignment horizontal="center"/>
    </xf>
    <xf numFmtId="0" fontId="13" fillId="3" borderId="27" xfId="4" applyFont="1" applyFill="1" applyBorder="1" applyAlignment="1" applyProtection="1">
      <alignment horizontal="center" wrapText="1"/>
      <protection locked="0"/>
    </xf>
    <xf numFmtId="0" fontId="11" fillId="2" borderId="62" xfId="4" applyFont="1" applyFill="1" applyBorder="1" applyAlignment="1">
      <alignment horizontal="center"/>
    </xf>
    <xf numFmtId="0" fontId="13" fillId="3" borderId="32" xfId="4" applyFont="1" applyFill="1" applyBorder="1" applyAlignment="1" applyProtection="1">
      <alignment horizontal="center" wrapText="1"/>
      <protection locked="0"/>
    </xf>
    <xf numFmtId="0" fontId="11" fillId="2" borderId="38" xfId="4" applyFont="1" applyFill="1" applyBorder="1" applyAlignment="1">
      <alignment horizontal="center"/>
    </xf>
    <xf numFmtId="0" fontId="17" fillId="2" borderId="23" xfId="4" applyFont="1" applyFill="1" applyBorder="1" applyAlignment="1">
      <alignment vertical="center" wrapText="1"/>
    </xf>
    <xf numFmtId="0" fontId="17" fillId="2" borderId="0" xfId="4" applyFont="1" applyFill="1" applyAlignment="1">
      <alignment vertical="center" wrapText="1"/>
    </xf>
    <xf numFmtId="0" fontId="11" fillId="2" borderId="65" xfId="4" applyFont="1" applyFill="1" applyBorder="1" applyAlignment="1">
      <alignment horizontal="center"/>
    </xf>
    <xf numFmtId="0" fontId="13" fillId="3" borderId="35" xfId="4" applyFont="1" applyFill="1" applyBorder="1" applyAlignment="1" applyProtection="1">
      <alignment horizontal="center" wrapText="1"/>
      <protection locked="0"/>
    </xf>
    <xf numFmtId="2" fontId="11" fillId="2" borderId="35" xfId="4" applyNumberFormat="1" applyFont="1" applyFill="1" applyBorder="1" applyAlignment="1">
      <alignment horizontal="center"/>
    </xf>
    <xf numFmtId="172" fontId="11" fillId="2" borderId="5" xfId="4" applyNumberFormat="1" applyFont="1" applyFill="1" applyBorder="1" applyAlignment="1">
      <alignment horizontal="center"/>
    </xf>
    <xf numFmtId="172" fontId="11" fillId="2" borderId="33" xfId="4" applyNumberFormat="1" applyFont="1" applyFill="1" applyBorder="1" applyAlignment="1">
      <alignment horizontal="center"/>
    </xf>
    <xf numFmtId="172" fontId="6" fillId="2" borderId="0" xfId="4" applyNumberFormat="1" applyFont="1" applyFill="1"/>
    <xf numFmtId="172" fontId="11" fillId="2" borderId="31" xfId="4" applyNumberFormat="1" applyFont="1" applyFill="1" applyBorder="1"/>
    <xf numFmtId="2" fontId="12" fillId="5" borderId="16" xfId="4" applyNumberFormat="1" applyFont="1" applyFill="1" applyBorder="1" applyAlignment="1">
      <alignment horizontal="center"/>
    </xf>
    <xf numFmtId="172" fontId="12" fillId="5" borderId="54" xfId="4" applyNumberFormat="1" applyFont="1" applyFill="1" applyBorder="1" applyAlignment="1">
      <alignment horizontal="center"/>
    </xf>
    <xf numFmtId="172" fontId="14" fillId="5" borderId="54" xfId="4" applyNumberFormat="1" applyFont="1" applyFill="1" applyBorder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1" fontId="12" fillId="5" borderId="17" xfId="4" applyNumberFormat="1" applyFont="1" applyFill="1" applyBorder="1" applyAlignment="1">
      <alignment horizontal="center"/>
    </xf>
    <xf numFmtId="0" fontId="11" fillId="2" borderId="26" xfId="4" applyFont="1" applyFill="1" applyBorder="1" applyAlignment="1">
      <alignment horizontal="right"/>
    </xf>
    <xf numFmtId="2" fontId="11" fillId="2" borderId="49" xfId="4" applyNumberFormat="1" applyFont="1" applyFill="1" applyBorder="1" applyAlignment="1">
      <alignment horizontal="center"/>
    </xf>
    <xf numFmtId="0" fontId="13" fillId="3" borderId="49" xfId="4" applyFont="1" applyFill="1" applyBorder="1" applyAlignment="1" applyProtection="1">
      <alignment horizontal="center"/>
      <protection locked="0"/>
    </xf>
    <xf numFmtId="0" fontId="11" fillId="2" borderId="55" xfId="4" applyFont="1" applyFill="1" applyBorder="1" applyAlignment="1">
      <alignment horizontal="right"/>
    </xf>
    <xf numFmtId="2" fontId="11" fillId="2" borderId="28" xfId="4" applyNumberFormat="1" applyFont="1" applyFill="1" applyBorder="1" applyAlignment="1">
      <alignment horizontal="center"/>
    </xf>
    <xf numFmtId="0" fontId="11" fillId="2" borderId="63" xfId="4" applyFont="1" applyFill="1" applyBorder="1" applyAlignment="1">
      <alignment horizontal="right"/>
    </xf>
    <xf numFmtId="1" fontId="12" fillId="7" borderId="54" xfId="4" applyNumberFormat="1" applyFont="1" applyFill="1" applyBorder="1" applyAlignment="1">
      <alignment horizontal="center"/>
    </xf>
    <xf numFmtId="173" fontId="12" fillId="6" borderId="49" xfId="4" applyNumberFormat="1" applyFont="1" applyFill="1" applyBorder="1" applyAlignment="1">
      <alignment horizontal="center"/>
    </xf>
    <xf numFmtId="0" fontId="11" fillId="2" borderId="37" xfId="4" applyFont="1" applyFill="1" applyBorder="1" applyAlignment="1">
      <alignment horizontal="right"/>
    </xf>
    <xf numFmtId="173" fontId="12" fillId="7" borderId="50" xfId="4" applyNumberFormat="1" applyFont="1" applyFill="1" applyBorder="1" applyAlignment="1">
      <alignment horizontal="center"/>
    </xf>
    <xf numFmtId="1" fontId="12" fillId="2" borderId="0" xfId="4" applyNumberFormat="1" applyFont="1" applyFill="1" applyAlignment="1">
      <alignment horizontal="center"/>
    </xf>
    <xf numFmtId="0" fontId="17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2" fillId="2" borderId="10" xfId="4" applyFont="1" applyFill="1" applyBorder="1" applyAlignment="1">
      <alignment horizontal="center"/>
    </xf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166" fontId="14" fillId="3" borderId="23" xfId="4" applyNumberFormat="1" applyFont="1" applyFill="1" applyBorder="1" applyAlignment="1" applyProtection="1">
      <alignment horizontal="center"/>
      <protection locked="0"/>
    </xf>
    <xf numFmtId="166" fontId="14" fillId="3" borderId="30" xfId="4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2" fillId="2" borderId="21" xfId="2" applyFont="1" applyFill="1" applyBorder="1" applyAlignment="1">
      <alignment horizontal="left" vertical="center" wrapText="1"/>
    </xf>
    <xf numFmtId="0" fontId="32" fillId="2" borderId="25" xfId="2" applyFont="1" applyFill="1" applyBorder="1" applyAlignment="1">
      <alignment horizontal="left" vertical="center" wrapText="1"/>
    </xf>
    <xf numFmtId="0" fontId="32" fillId="2" borderId="43" xfId="2" applyFont="1" applyFill="1" applyBorder="1" applyAlignment="1">
      <alignment horizontal="left" vertical="center" wrapText="1"/>
    </xf>
    <xf numFmtId="0" fontId="32" fillId="2" borderId="48" xfId="2" applyFont="1" applyFill="1" applyBorder="1" applyAlignment="1">
      <alignment horizontal="left" vertical="center" wrapText="1"/>
    </xf>
    <xf numFmtId="0" fontId="32" fillId="2" borderId="10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horizontal="left" vertical="center" wrapText="1"/>
    </xf>
    <xf numFmtId="0" fontId="34" fillId="2" borderId="0" xfId="2" applyFont="1" applyFill="1" applyAlignment="1">
      <alignment horizontal="center"/>
    </xf>
    <xf numFmtId="0" fontId="34" fillId="2" borderId="2" xfId="2" applyFont="1" applyFill="1" applyBorder="1" applyAlignment="1">
      <alignment horizontal="center"/>
    </xf>
    <xf numFmtId="0" fontId="34" fillId="2" borderId="59" xfId="2" applyFont="1" applyFill="1" applyBorder="1" applyAlignment="1">
      <alignment horizontal="center"/>
    </xf>
    <xf numFmtId="0" fontId="34" fillId="2" borderId="10" xfId="2" applyFont="1" applyFill="1" applyBorder="1" applyAlignment="1">
      <alignment horizontal="center"/>
    </xf>
    <xf numFmtId="0" fontId="36" fillId="3" borderId="0" xfId="2" applyFont="1" applyFill="1" applyAlignment="1" applyProtection="1">
      <alignment horizontal="left"/>
      <protection locked="0"/>
    </xf>
    <xf numFmtId="0" fontId="32" fillId="2" borderId="18" xfId="2" applyFont="1" applyFill="1" applyBorder="1" applyAlignment="1">
      <alignment horizontal="left" vertical="center" wrapText="1"/>
    </xf>
    <xf numFmtId="0" fontId="32" fillId="2" borderId="19" xfId="2" applyFont="1" applyFill="1" applyBorder="1" applyAlignment="1">
      <alignment horizontal="left" vertical="center" wrapText="1"/>
    </xf>
    <xf numFmtId="0" fontId="32" fillId="2" borderId="20" xfId="2" applyFont="1" applyFill="1" applyBorder="1" applyAlignment="1">
      <alignment horizontal="left" vertical="center" wrapText="1"/>
    </xf>
    <xf numFmtId="0" fontId="34" fillId="2" borderId="51" xfId="2" applyFont="1" applyFill="1" applyBorder="1" applyAlignment="1">
      <alignment horizontal="center"/>
    </xf>
    <xf numFmtId="0" fontId="34" fillId="2" borderId="40" xfId="2" applyFont="1" applyFill="1" applyBorder="1" applyAlignment="1">
      <alignment horizontal="center"/>
    </xf>
    <xf numFmtId="0" fontId="34" fillId="2" borderId="58" xfId="2" applyFont="1" applyFill="1" applyBorder="1" applyAlignment="1">
      <alignment horizontal="center"/>
    </xf>
    <xf numFmtId="0" fontId="29" fillId="2" borderId="0" xfId="2" applyFont="1" applyFill="1" applyAlignment="1">
      <alignment horizontal="center" vertical="center"/>
    </xf>
    <xf numFmtId="0" fontId="30" fillId="2" borderId="0" xfId="2" applyFont="1" applyFill="1" applyAlignment="1">
      <alignment horizontal="center" vertical="center"/>
    </xf>
    <xf numFmtId="0" fontId="32" fillId="2" borderId="18" xfId="2" applyFont="1" applyFill="1" applyBorder="1" applyAlignment="1">
      <alignment horizontal="center"/>
    </xf>
    <xf numFmtId="0" fontId="32" fillId="2" borderId="19" xfId="2" applyFont="1" applyFill="1" applyBorder="1" applyAlignment="1">
      <alignment horizontal="center"/>
    </xf>
    <xf numFmtId="0" fontId="35" fillId="3" borderId="0" xfId="2" applyFont="1" applyFill="1" applyAlignment="1" applyProtection="1">
      <alignment horizontal="left"/>
      <protection locked="0"/>
    </xf>
    <xf numFmtId="0" fontId="17" fillId="2" borderId="21" xfId="4" applyFont="1" applyFill="1" applyBorder="1" applyAlignment="1">
      <alignment horizontal="left" vertical="center" wrapText="1"/>
    </xf>
    <xf numFmtId="0" fontId="17" fillId="2" borderId="25" xfId="4" applyFont="1" applyFill="1" applyBorder="1" applyAlignment="1">
      <alignment horizontal="left" vertical="center" wrapText="1"/>
    </xf>
    <xf numFmtId="0" fontId="17" fillId="2" borderId="43" xfId="4" applyFont="1" applyFill="1" applyBorder="1" applyAlignment="1">
      <alignment horizontal="left" vertical="center" wrapText="1"/>
    </xf>
    <xf numFmtId="0" fontId="17" fillId="2" borderId="48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horizontal="center"/>
    </xf>
    <xf numFmtId="0" fontId="12" fillId="2" borderId="51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7" fillId="2" borderId="18" xfId="4" applyFont="1" applyFill="1" applyBorder="1" applyAlignment="1">
      <alignment horizontal="left" vertical="center" wrapText="1"/>
    </xf>
    <xf numFmtId="0" fontId="17" fillId="2" borderId="19" xfId="4" applyFont="1" applyFill="1" applyBorder="1" applyAlignment="1">
      <alignment horizontal="left" vertical="center" wrapText="1"/>
    </xf>
    <xf numFmtId="0" fontId="17" fillId="2" borderId="20" xfId="4" applyFont="1" applyFill="1" applyBorder="1" applyAlignment="1">
      <alignment horizontal="left" vertical="center" wrapText="1"/>
    </xf>
    <xf numFmtId="0" fontId="12" fillId="2" borderId="2" xfId="4" applyFont="1" applyFill="1" applyBorder="1" applyAlignment="1">
      <alignment horizontal="center"/>
    </xf>
    <xf numFmtId="0" fontId="12" fillId="2" borderId="59" xfId="4" applyFont="1" applyFill="1" applyBorder="1" applyAlignment="1">
      <alignment horizontal="center"/>
    </xf>
    <xf numFmtId="0" fontId="19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0" fontId="17" fillId="2" borderId="18" xfId="4" applyFont="1" applyFill="1" applyBorder="1" applyAlignment="1">
      <alignment horizontal="center"/>
    </xf>
    <xf numFmtId="0" fontId="17" fillId="2" borderId="19" xfId="4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21" xfId="3" applyFont="1" applyFill="1" applyBorder="1" applyAlignment="1">
      <alignment horizontal="left" vertical="center" wrapText="1"/>
    </xf>
    <xf numFmtId="0" fontId="17" fillId="2" borderId="25" xfId="3" applyFont="1" applyFill="1" applyBorder="1" applyAlignment="1">
      <alignment horizontal="left" vertical="center" wrapText="1"/>
    </xf>
    <xf numFmtId="0" fontId="17" fillId="2" borderId="43" xfId="3" applyFont="1" applyFill="1" applyBorder="1" applyAlignment="1">
      <alignment horizontal="left" vertical="center" wrapText="1"/>
    </xf>
    <xf numFmtId="0" fontId="17" fillId="2" borderId="48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/>
      <protection locked="0"/>
    </xf>
    <xf numFmtId="0" fontId="17" fillId="2" borderId="18" xfId="3" applyFont="1" applyFill="1" applyBorder="1" applyAlignment="1">
      <alignment horizontal="justify" vertical="center" wrapText="1"/>
    </xf>
    <xf numFmtId="0" fontId="17" fillId="2" borderId="19" xfId="3" applyFont="1" applyFill="1" applyBorder="1" applyAlignment="1">
      <alignment horizontal="justify" vertical="center" wrapText="1"/>
    </xf>
    <xf numFmtId="0" fontId="17" fillId="2" borderId="20" xfId="3" applyFont="1" applyFill="1" applyBorder="1" applyAlignment="1">
      <alignment horizontal="justify" vertical="center" wrapText="1"/>
    </xf>
    <xf numFmtId="0" fontId="17" fillId="2" borderId="18" xfId="3" applyFont="1" applyFill="1" applyBorder="1" applyAlignment="1">
      <alignment horizontal="left" vertical="center" wrapText="1"/>
    </xf>
    <xf numFmtId="0" fontId="17" fillId="2" borderId="19" xfId="3" applyFont="1" applyFill="1" applyBorder="1" applyAlignment="1">
      <alignment horizontal="left" vertical="center" wrapText="1"/>
    </xf>
    <xf numFmtId="0" fontId="17" fillId="2" borderId="20" xfId="3" applyFont="1" applyFill="1" applyBorder="1" applyAlignment="1">
      <alignment horizontal="left" vertical="center" wrapText="1"/>
    </xf>
    <xf numFmtId="0" fontId="12" fillId="2" borderId="51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7" fillId="2" borderId="10" xfId="3" applyFont="1" applyFill="1" applyBorder="1" applyAlignment="1">
      <alignment horizontal="left" vertical="center" wrapText="1"/>
    </xf>
    <xf numFmtId="0" fontId="17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35" fillId="3" borderId="13" xfId="3" applyNumberFormat="1" applyFont="1" applyFill="1" applyBorder="1" applyAlignment="1" applyProtection="1">
      <alignment horizontal="center" vertical="center"/>
      <protection locked="0"/>
    </xf>
    <xf numFmtId="2" fontId="35" fillId="3" borderId="14" xfId="3" applyNumberFormat="1" applyFont="1" applyFill="1" applyBorder="1" applyAlignment="1" applyProtection="1">
      <alignment horizontal="center" vertical="center"/>
      <protection locked="0"/>
    </xf>
    <xf numFmtId="2" fontId="35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7" fillId="2" borderId="21" xfId="3" applyFont="1" applyFill="1" applyBorder="1" applyAlignment="1">
      <alignment horizontal="center" vertical="center" wrapText="1"/>
    </xf>
    <xf numFmtId="0" fontId="17" fillId="2" borderId="25" xfId="3" applyFont="1" applyFill="1" applyBorder="1" applyAlignment="1">
      <alignment horizontal="center" vertical="center" wrapText="1"/>
    </xf>
    <xf numFmtId="0" fontId="17" fillId="2" borderId="43" xfId="3" applyFont="1" applyFill="1" applyBorder="1" applyAlignment="1">
      <alignment horizontal="center" vertical="center" wrapText="1"/>
    </xf>
    <xf numFmtId="0" fontId="17" fillId="2" borderId="48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9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22" fillId="2" borderId="18" xfId="3" applyFont="1" applyFill="1" applyBorder="1" applyAlignment="1">
      <alignment horizontal="center"/>
    </xf>
    <xf numFmtId="0" fontId="22" fillId="2" borderId="19" xfId="3" applyFont="1" applyFill="1" applyBorder="1" applyAlignment="1">
      <alignment horizontal="center"/>
    </xf>
    <xf numFmtId="0" fontId="22" fillId="2" borderId="20" xfId="3" applyFont="1" applyFill="1" applyBorder="1" applyAlignment="1">
      <alignment horizontal="center"/>
    </xf>
    <xf numFmtId="0" fontId="34" fillId="3" borderId="0" xfId="3" applyFont="1" applyFill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left"/>
      <protection locked="0"/>
    </xf>
    <xf numFmtId="0" fontId="35" fillId="3" borderId="0" xfId="3" applyFont="1" applyFill="1" applyAlignment="1" applyProtection="1">
      <alignment horizontal="left"/>
      <protection locked="0"/>
    </xf>
    <xf numFmtId="166" fontId="1" fillId="2" borderId="0" xfId="0" applyNumberFormat="1" applyFont="1" applyFill="1"/>
    <xf numFmtId="166" fontId="34" fillId="6" borderId="37" xfId="2" applyNumberFormat="1" applyFont="1" applyFill="1" applyBorder="1" applyAlignment="1">
      <alignment horizontal="center"/>
    </xf>
    <xf numFmtId="0" fontId="40" fillId="2" borderId="0" xfId="2" applyFont="1" applyFill="1" applyAlignment="1">
      <alignment horizontal="center"/>
    </xf>
    <xf numFmtId="164" fontId="12" fillId="6" borderId="37" xfId="4" applyNumberFormat="1" applyFont="1" applyFill="1" applyBorder="1" applyAlignment="1" applyProtection="1">
      <alignment horizontal="center"/>
      <protection locked="0"/>
    </xf>
    <xf numFmtId="164" fontId="12" fillId="6" borderId="37" xfId="4" applyNumberFormat="1" applyFont="1" applyFill="1" applyBorder="1" applyAlignment="1">
      <alignment horizontal="center"/>
    </xf>
    <xf numFmtId="166" fontId="13" fillId="3" borderId="32" xfId="4" applyNumberFormat="1" applyFont="1" applyFill="1" applyBorder="1" applyAlignment="1" applyProtection="1">
      <alignment horizontal="center" wrapText="1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24"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frida/AppData/Local/Temp/NDQA201509399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rah\Work%20sheets\NDQA201509399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Tadalafil"/>
      <sheetName val="Tadalafil 1"/>
      <sheetName val="Tadalafil 2"/>
      <sheetName val="Tadalafil 3"/>
      <sheetName val="Tadalafil 4"/>
      <sheetName val="Tadalafil 5"/>
      <sheetName val="Tadalafil 6"/>
      <sheetName val="Tadalafil 7"/>
      <sheetName val="Tadalafil 8"/>
      <sheetName val="Tadalafil 9"/>
      <sheetName val="Tadalafil 10"/>
      <sheetName val="Tadalafil 11"/>
      <sheetName val="Tadalafil 12"/>
      <sheetName val="Tadalafil 13"/>
    </sheetNames>
    <sheetDataSet>
      <sheetData sheetId="0"/>
      <sheetData sheetId="1">
        <row r="46">
          <cell r="C46">
            <v>325.27199999999999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"/>
      <sheetName val="Tadalafil CU"/>
      <sheetName val="Tadalafil Assay Diss"/>
    </sheetNames>
    <sheetDataSet>
      <sheetData sheetId="0">
        <row r="36">
          <cell r="C36">
            <v>325.27200000000005</v>
          </cell>
        </row>
      </sheetData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28" workbookViewId="0">
      <selection activeCell="F38" sqref="F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514" t="s">
        <v>31</v>
      </c>
      <c r="B1" s="515"/>
      <c r="C1" s="515"/>
      <c r="D1" s="515"/>
      <c r="E1" s="515"/>
      <c r="F1" s="516"/>
      <c r="G1" s="40"/>
    </row>
    <row r="2" spans="1:7" ht="16.5" customHeight="1" x14ac:dyDescent="0.3">
      <c r="A2" s="513" t="s">
        <v>32</v>
      </c>
      <c r="B2" s="513"/>
      <c r="C2" s="513"/>
      <c r="D2" s="513"/>
      <c r="E2" s="513"/>
      <c r="F2" s="513"/>
      <c r="G2" s="39"/>
    </row>
    <row r="4" spans="1:7" ht="16.5" customHeight="1" x14ac:dyDescent="0.3">
      <c r="A4" s="518" t="s">
        <v>33</v>
      </c>
      <c r="B4" s="518"/>
      <c r="C4" s="10" t="s">
        <v>5</v>
      </c>
    </row>
    <row r="5" spans="1:7" ht="16.5" customHeight="1" x14ac:dyDescent="0.3">
      <c r="A5" s="518" t="s">
        <v>34</v>
      </c>
      <c r="B5" s="518"/>
      <c r="C5" s="10" t="s">
        <v>7</v>
      </c>
    </row>
    <row r="6" spans="1:7" ht="16.5" customHeight="1" x14ac:dyDescent="0.3">
      <c r="A6" s="518" t="s">
        <v>35</v>
      </c>
      <c r="B6" s="518"/>
      <c r="C6" s="10" t="s">
        <v>9</v>
      </c>
    </row>
    <row r="7" spans="1:7" ht="16.5" customHeight="1" x14ac:dyDescent="0.3">
      <c r="A7" s="518" t="s">
        <v>36</v>
      </c>
      <c r="B7" s="518"/>
      <c r="C7" s="10" t="s">
        <v>11</v>
      </c>
    </row>
    <row r="8" spans="1:7" ht="16.5" customHeight="1" x14ac:dyDescent="0.3">
      <c r="A8" s="518" t="s">
        <v>37</v>
      </c>
      <c r="B8" s="518"/>
      <c r="C8" s="46" t="s">
        <v>12</v>
      </c>
    </row>
    <row r="9" spans="1:7" ht="16.5" customHeight="1" x14ac:dyDescent="0.3">
      <c r="A9" s="518" t="s">
        <v>38</v>
      </c>
      <c r="B9" s="518"/>
      <c r="C9" s="46" t="e">
        <f>#REF!</f>
        <v>#REF!</v>
      </c>
    </row>
    <row r="10" spans="1:7" ht="16.5" customHeight="1" x14ac:dyDescent="0.3">
      <c r="A10" s="12"/>
      <c r="B10" s="12"/>
      <c r="C10" s="26"/>
    </row>
    <row r="11" spans="1:7" ht="16.5" customHeight="1" x14ac:dyDescent="0.3">
      <c r="A11" s="513" t="s">
        <v>1</v>
      </c>
      <c r="B11" s="513"/>
      <c r="C11" s="9" t="s">
        <v>39</v>
      </c>
      <c r="D11" s="16"/>
    </row>
    <row r="12" spans="1:7" ht="15.75" customHeight="1" x14ac:dyDescent="0.3">
      <c r="A12" s="517"/>
      <c r="B12" s="517"/>
      <c r="C12" s="7"/>
      <c r="D12" s="517"/>
      <c r="E12" s="517"/>
    </row>
    <row r="13" spans="1:7" ht="33.75" customHeight="1" x14ac:dyDescent="0.3">
      <c r="C13" s="35" t="s">
        <v>40</v>
      </c>
      <c r="D13" s="34" t="s">
        <v>41</v>
      </c>
      <c r="E13" s="2"/>
    </row>
    <row r="14" spans="1:7" ht="15.75" customHeight="1" x14ac:dyDescent="0.3">
      <c r="C14" s="44">
        <v>324.20999999999998</v>
      </c>
      <c r="D14" s="36">
        <f t="shared" ref="D14:D33" si="0">(C14-$C$36)/$C$36</f>
        <v>-3.2649597875011329E-3</v>
      </c>
      <c r="E14" s="3"/>
    </row>
    <row r="15" spans="1:7" ht="15.75" customHeight="1" x14ac:dyDescent="0.3">
      <c r="C15" s="44">
        <v>319.01</v>
      </c>
      <c r="D15" s="37">
        <f t="shared" si="0"/>
        <v>-1.9251580215942522E-2</v>
      </c>
      <c r="E15" s="3"/>
    </row>
    <row r="16" spans="1:7" ht="15.75" customHeight="1" x14ac:dyDescent="0.3">
      <c r="C16" s="44">
        <v>329.3</v>
      </c>
      <c r="D16" s="37">
        <f t="shared" si="0"/>
        <v>1.2383482131877207E-2</v>
      </c>
      <c r="E16" s="3"/>
    </row>
    <row r="17" spans="3:5" ht="15.75" customHeight="1" x14ac:dyDescent="0.3">
      <c r="C17" s="44">
        <v>321.23</v>
      </c>
      <c r="D17" s="37">
        <f t="shared" si="0"/>
        <v>-1.2426523033030908E-2</v>
      </c>
      <c r="E17" s="3"/>
    </row>
    <row r="18" spans="3:5" ht="15.75" customHeight="1" x14ac:dyDescent="0.3">
      <c r="C18" s="44">
        <v>326.17</v>
      </c>
      <c r="D18" s="37">
        <f t="shared" si="0"/>
        <v>2.7607663739884392E-3</v>
      </c>
      <c r="E18" s="3"/>
    </row>
    <row r="19" spans="3:5" ht="15.75" customHeight="1" x14ac:dyDescent="0.3">
      <c r="C19" s="44">
        <v>324.64</v>
      </c>
      <c r="D19" s="37">
        <f t="shared" si="0"/>
        <v>-1.9429892520723018E-3</v>
      </c>
      <c r="E19" s="3"/>
    </row>
    <row r="20" spans="3:5" ht="15.75" customHeight="1" x14ac:dyDescent="0.3">
      <c r="C20" s="44">
        <v>320.33999999999997</v>
      </c>
      <c r="D20" s="37">
        <f t="shared" si="0"/>
        <v>-1.5162694606360438E-2</v>
      </c>
      <c r="E20" s="3"/>
    </row>
    <row r="21" spans="3:5" ht="15.75" customHeight="1" x14ac:dyDescent="0.3">
      <c r="C21" s="44">
        <v>330.14</v>
      </c>
      <c r="D21" s="37">
        <f t="shared" si="0"/>
        <v>1.4965936201086898E-2</v>
      </c>
      <c r="E21" s="3"/>
    </row>
    <row r="22" spans="3:5" ht="15.75" customHeight="1" x14ac:dyDescent="0.3">
      <c r="C22" s="44">
        <v>332.89</v>
      </c>
      <c r="D22" s="37">
        <f t="shared" si="0"/>
        <v>2.3420398927666498E-2</v>
      </c>
      <c r="E22" s="3"/>
    </row>
    <row r="23" spans="3:5" ht="15.75" customHeight="1" x14ac:dyDescent="0.3">
      <c r="C23" s="44">
        <v>328.58</v>
      </c>
      <c r="D23" s="37">
        <f t="shared" si="0"/>
        <v>1.0169950072554463E-2</v>
      </c>
      <c r="E23" s="3"/>
    </row>
    <row r="24" spans="3:5" ht="15.75" customHeight="1" x14ac:dyDescent="0.3">
      <c r="C24" s="44">
        <v>331.69</v>
      </c>
      <c r="D24" s="37">
        <f t="shared" si="0"/>
        <v>1.9731178828795434E-2</v>
      </c>
      <c r="E24" s="3"/>
    </row>
    <row r="25" spans="3:5" ht="15.75" customHeight="1" x14ac:dyDescent="0.3">
      <c r="C25" s="44">
        <v>332.84</v>
      </c>
      <c r="D25" s="37">
        <f t="shared" si="0"/>
        <v>2.3266681423546834E-2</v>
      </c>
      <c r="E25" s="3"/>
    </row>
    <row r="26" spans="3:5" ht="15.75" customHeight="1" x14ac:dyDescent="0.3">
      <c r="C26" s="44">
        <v>326.55</v>
      </c>
      <c r="D26" s="37">
        <f t="shared" si="0"/>
        <v>3.929019405297606E-3</v>
      </c>
      <c r="E26" s="3"/>
    </row>
    <row r="27" spans="3:5" ht="15.75" customHeight="1" x14ac:dyDescent="0.3">
      <c r="C27" s="44">
        <v>325.26</v>
      </c>
      <c r="D27" s="37">
        <f t="shared" si="0"/>
        <v>-3.6892200988887133E-5</v>
      </c>
      <c r="E27" s="3"/>
    </row>
    <row r="28" spans="3:5" ht="15.75" customHeight="1" x14ac:dyDescent="0.3">
      <c r="C28" s="44">
        <v>317.81</v>
      </c>
      <c r="D28" s="37">
        <f t="shared" si="0"/>
        <v>-2.2940800314813586E-2</v>
      </c>
      <c r="E28" s="3"/>
    </row>
    <row r="29" spans="3:5" ht="15.75" customHeight="1" x14ac:dyDescent="0.3">
      <c r="C29" s="44">
        <v>330.25</v>
      </c>
      <c r="D29" s="37">
        <f t="shared" si="0"/>
        <v>1.5304114710150123E-2</v>
      </c>
      <c r="E29" s="3"/>
    </row>
    <row r="30" spans="3:5" ht="15.75" customHeight="1" x14ac:dyDescent="0.3">
      <c r="C30" s="44">
        <v>322.27999999999997</v>
      </c>
      <c r="D30" s="37">
        <f t="shared" si="0"/>
        <v>-9.198455446518837E-3</v>
      </c>
      <c r="E30" s="3"/>
    </row>
    <row r="31" spans="3:5" ht="15.75" customHeight="1" x14ac:dyDescent="0.3">
      <c r="C31" s="44">
        <v>316.85000000000002</v>
      </c>
      <c r="D31" s="37">
        <f t="shared" si="0"/>
        <v>-2.58921763939104E-2</v>
      </c>
      <c r="E31" s="3"/>
    </row>
    <row r="32" spans="3:5" ht="15.75" customHeight="1" x14ac:dyDescent="0.3">
      <c r="C32" s="44">
        <v>322.08999999999997</v>
      </c>
      <c r="D32" s="37">
        <f t="shared" si="0"/>
        <v>-9.7825819621734211E-3</v>
      </c>
      <c r="E32" s="3"/>
    </row>
    <row r="33" spans="1:7" ht="16.5" customHeight="1" x14ac:dyDescent="0.3">
      <c r="C33" s="45">
        <v>323.31</v>
      </c>
      <c r="D33" s="38">
        <f t="shared" si="0"/>
        <v>-6.0318748616543863E-3</v>
      </c>
      <c r="E33" s="3"/>
    </row>
    <row r="34" spans="1:7" ht="16.5" customHeight="1" x14ac:dyDescent="0.3">
      <c r="C34" s="4"/>
      <c r="D34" s="3"/>
      <c r="E34" s="5"/>
    </row>
    <row r="35" spans="1:7" ht="16.5" customHeight="1" x14ac:dyDescent="0.3">
      <c r="B35" s="31" t="s">
        <v>42</v>
      </c>
      <c r="C35" s="32">
        <f>SUM(C14:C34)</f>
        <v>6505.4400000000014</v>
      </c>
      <c r="D35" s="27"/>
      <c r="E35" s="4"/>
    </row>
    <row r="36" spans="1:7" ht="17.25" customHeight="1" x14ac:dyDescent="0.3">
      <c r="B36" s="31" t="s">
        <v>43</v>
      </c>
      <c r="C36" s="33">
        <f>AVERAGE(C14:C34)</f>
        <v>325.27200000000005</v>
      </c>
      <c r="E36" s="6"/>
      <c r="F36" s="599">
        <f>15/50</f>
        <v>0.3</v>
      </c>
    </row>
    <row r="37" spans="1:7" ht="17.25" customHeight="1" x14ac:dyDescent="0.3">
      <c r="A37" s="10"/>
      <c r="B37" s="28"/>
      <c r="D37" s="8"/>
      <c r="E37" s="6"/>
      <c r="F37" s="1">
        <f>25/50</f>
        <v>0.5</v>
      </c>
    </row>
    <row r="38" spans="1:7" ht="33.75" customHeight="1" x14ac:dyDescent="0.3">
      <c r="B38" s="41" t="s">
        <v>43</v>
      </c>
      <c r="C38" s="34" t="s">
        <v>44</v>
      </c>
      <c r="D38" s="29"/>
      <c r="G38" s="8"/>
    </row>
    <row r="39" spans="1:7" ht="17.25" customHeight="1" x14ac:dyDescent="0.3">
      <c r="B39" s="511">
        <f>C36</f>
        <v>325.27200000000005</v>
      </c>
      <c r="C39" s="42">
        <f>-IF(C36&lt;=80,10%,IF(C36&lt;250,7.5%,5%))</f>
        <v>-0.05</v>
      </c>
      <c r="D39" s="30">
        <f>IF(C36&lt;=80,C36*0.9,IF(C36&lt;250,C36*0.925,C36*0.95))</f>
        <v>309.00840000000005</v>
      </c>
    </row>
    <row r="40" spans="1:7" ht="17.25" customHeight="1" x14ac:dyDescent="0.3">
      <c r="B40" s="512"/>
      <c r="C40" s="43">
        <f>IF(C36&lt;=80, 10%, IF(C36&lt;250, 7.5%, 5%))</f>
        <v>0.05</v>
      </c>
      <c r="D40" s="30">
        <f>IF(C36&lt;=80, C36*1.1, IF(C36&lt;250, C36*1.075, C36*1.05))</f>
        <v>341.53560000000004</v>
      </c>
    </row>
    <row r="41" spans="1:7" ht="16.5" customHeight="1" x14ac:dyDescent="0.3">
      <c r="A41" s="13"/>
      <c r="B41" s="14"/>
      <c r="C41" s="10"/>
      <c r="D41" s="15"/>
      <c r="E41" s="10"/>
      <c r="F41" s="16"/>
    </row>
    <row r="42" spans="1:7" ht="16.5" customHeight="1" x14ac:dyDescent="0.3">
      <c r="A42" s="10"/>
      <c r="B42" s="17" t="s">
        <v>26</v>
      </c>
      <c r="C42" s="17"/>
      <c r="D42" s="18" t="s">
        <v>27</v>
      </c>
      <c r="E42" s="19"/>
      <c r="F42" s="18" t="s">
        <v>28</v>
      </c>
    </row>
    <row r="43" spans="1:7" ht="34.5" customHeight="1" x14ac:dyDescent="0.3">
      <c r="A43" s="20" t="s">
        <v>29</v>
      </c>
      <c r="B43" s="22" t="s">
        <v>137</v>
      </c>
      <c r="C43" s="21"/>
      <c r="D43" s="22" t="s">
        <v>139</v>
      </c>
      <c r="E43" s="11"/>
      <c r="F43" s="22"/>
    </row>
    <row r="44" spans="1:7" ht="34.5" customHeight="1" x14ac:dyDescent="0.3">
      <c r="A44" s="20" t="s">
        <v>30</v>
      </c>
      <c r="B44" s="23"/>
      <c r="C44" s="24"/>
      <c r="D44" s="23"/>
      <c r="E44" s="11"/>
      <c r="F44" s="25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23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22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21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20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19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18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17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16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15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14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13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12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11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10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9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8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7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6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5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4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3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9" zoomScale="80" zoomScaleSheetLayoutView="80" workbookViewId="0">
      <selection activeCell="C36" sqref="C36"/>
    </sheetView>
  </sheetViews>
  <sheetFormatPr defaultRowHeight="13.5" x14ac:dyDescent="0.25"/>
  <cols>
    <col min="1" max="1" width="27.5703125" style="50" customWidth="1"/>
    <col min="2" max="2" width="20.42578125" style="50" customWidth="1"/>
    <col min="3" max="3" width="31.85546875" style="50" customWidth="1"/>
    <col min="4" max="4" width="25.85546875" style="50" customWidth="1"/>
    <col min="5" max="5" width="25.7109375" style="50" customWidth="1"/>
    <col min="6" max="6" width="23.140625" style="50" customWidth="1"/>
    <col min="7" max="7" width="28.42578125" style="50" customWidth="1"/>
    <col min="8" max="8" width="21.5703125" style="50" customWidth="1"/>
    <col min="9" max="9" width="9.140625" style="50" customWidth="1"/>
    <col min="10" max="16384" width="9.140625" style="86"/>
  </cols>
  <sheetData>
    <row r="1" spans="1:5" ht="18.75" customHeight="1" x14ac:dyDescent="0.3">
      <c r="A1" s="519" t="s">
        <v>0</v>
      </c>
      <c r="B1" s="519"/>
      <c r="C1" s="519"/>
      <c r="D1" s="519"/>
      <c r="E1" s="519"/>
    </row>
    <row r="2" spans="1:5" ht="16.5" customHeight="1" x14ac:dyDescent="0.3">
      <c r="A2" s="51" t="s">
        <v>1</v>
      </c>
      <c r="B2" s="52" t="s">
        <v>2</v>
      </c>
    </row>
    <row r="3" spans="1:5" ht="16.5" customHeight="1" x14ac:dyDescent="0.3">
      <c r="A3" s="53" t="s">
        <v>3</v>
      </c>
      <c r="B3" s="53"/>
      <c r="D3" s="54"/>
      <c r="E3" s="55"/>
    </row>
    <row r="4" spans="1:5" ht="16.5" customHeight="1" x14ac:dyDescent="0.3">
      <c r="A4" s="56" t="s">
        <v>4</v>
      </c>
      <c r="B4" s="57" t="s">
        <v>136</v>
      </c>
      <c r="C4" s="55"/>
      <c r="D4" s="55"/>
      <c r="E4" s="55"/>
    </row>
    <row r="5" spans="1:5" ht="16.5" customHeight="1" x14ac:dyDescent="0.3">
      <c r="A5" s="56" t="s">
        <v>6</v>
      </c>
      <c r="B5" s="58">
        <v>99.4</v>
      </c>
      <c r="C5" s="55"/>
      <c r="D5" s="55"/>
      <c r="E5" s="55"/>
    </row>
    <row r="6" spans="1:5" ht="16.5" customHeight="1" x14ac:dyDescent="0.3">
      <c r="A6" s="53" t="s">
        <v>8</v>
      </c>
      <c r="B6" s="58">
        <v>13.07</v>
      </c>
      <c r="C6" s="55"/>
      <c r="D6" s="55"/>
      <c r="E6" s="55"/>
    </row>
    <row r="7" spans="1:5" ht="16.5" customHeight="1" x14ac:dyDescent="0.3">
      <c r="A7" s="53" t="s">
        <v>10</v>
      </c>
      <c r="B7" s="59">
        <f>B6/50</f>
        <v>0.26140000000000002</v>
      </c>
      <c r="C7" s="55"/>
      <c r="D7" s="55"/>
      <c r="E7" s="55"/>
    </row>
    <row r="8" spans="1:5" ht="15.75" customHeight="1" x14ac:dyDescent="0.25">
      <c r="A8" s="55"/>
      <c r="B8" s="55" t="s">
        <v>12</v>
      </c>
      <c r="C8" s="55"/>
      <c r="D8" s="55"/>
      <c r="E8" s="55"/>
    </row>
    <row r="9" spans="1:5" ht="16.5" customHeight="1" x14ac:dyDescent="0.3">
      <c r="A9" s="60" t="s">
        <v>13</v>
      </c>
      <c r="B9" s="61" t="s">
        <v>14</v>
      </c>
      <c r="C9" s="60" t="s">
        <v>15</v>
      </c>
      <c r="D9" s="60" t="s">
        <v>16</v>
      </c>
      <c r="E9" s="60" t="s">
        <v>17</v>
      </c>
    </row>
    <row r="10" spans="1:5" ht="16.5" customHeight="1" x14ac:dyDescent="0.3">
      <c r="A10" s="62">
        <v>1</v>
      </c>
      <c r="B10" s="63">
        <v>81170310</v>
      </c>
      <c r="C10" s="63">
        <v>13178.5</v>
      </c>
      <c r="D10" s="64">
        <v>1</v>
      </c>
      <c r="E10" s="65">
        <v>12.7</v>
      </c>
    </row>
    <row r="11" spans="1:5" ht="16.5" customHeight="1" x14ac:dyDescent="0.3">
      <c r="A11" s="62">
        <v>2</v>
      </c>
      <c r="B11" s="63">
        <v>81377113</v>
      </c>
      <c r="C11" s="63">
        <v>13175.8</v>
      </c>
      <c r="D11" s="64">
        <v>1</v>
      </c>
      <c r="E11" s="64">
        <v>12.7</v>
      </c>
    </row>
    <row r="12" spans="1:5" ht="16.5" customHeight="1" x14ac:dyDescent="0.3">
      <c r="A12" s="62">
        <v>3</v>
      </c>
      <c r="B12" s="63">
        <v>81483530</v>
      </c>
      <c r="C12" s="63">
        <v>13147.7</v>
      </c>
      <c r="D12" s="64">
        <v>1.1000000000000001</v>
      </c>
      <c r="E12" s="64">
        <v>12.7</v>
      </c>
    </row>
    <row r="13" spans="1:5" ht="16.5" customHeight="1" x14ac:dyDescent="0.3">
      <c r="A13" s="62">
        <v>4</v>
      </c>
      <c r="B13" s="63">
        <v>81212733</v>
      </c>
      <c r="C13" s="63">
        <v>13122.4</v>
      </c>
      <c r="D13" s="64">
        <v>1</v>
      </c>
      <c r="E13" s="64">
        <v>12.7</v>
      </c>
    </row>
    <row r="14" spans="1:5" ht="16.5" customHeight="1" x14ac:dyDescent="0.3">
      <c r="A14" s="62">
        <v>5</v>
      </c>
      <c r="B14" s="63">
        <v>81332929</v>
      </c>
      <c r="C14" s="63">
        <v>13120</v>
      </c>
      <c r="D14" s="64">
        <v>1</v>
      </c>
      <c r="E14" s="64">
        <v>12.7</v>
      </c>
    </row>
    <row r="15" spans="1:5" ht="16.5" customHeight="1" x14ac:dyDescent="0.3">
      <c r="A15" s="62">
        <v>6</v>
      </c>
      <c r="B15" s="66">
        <v>81590698</v>
      </c>
      <c r="C15" s="66">
        <v>13113</v>
      </c>
      <c r="D15" s="67">
        <v>1</v>
      </c>
      <c r="E15" s="67">
        <v>12.7</v>
      </c>
    </row>
    <row r="16" spans="1:5" ht="16.5" customHeight="1" x14ac:dyDescent="0.3">
      <c r="A16" s="68" t="s">
        <v>18</v>
      </c>
      <c r="B16" s="69">
        <f>AVERAGE(B10:B15)</f>
        <v>81361218.833333328</v>
      </c>
      <c r="C16" s="70">
        <f>AVERAGE(C10:C15)</f>
        <v>13142.9</v>
      </c>
      <c r="D16" s="71">
        <f>AVERAGE(D10:D15)</f>
        <v>1.0166666666666666</v>
      </c>
      <c r="E16" s="71">
        <f>AVERAGE(E10:E15)</f>
        <v>12.700000000000001</v>
      </c>
    </row>
    <row r="17" spans="1:5" ht="16.5" customHeight="1" x14ac:dyDescent="0.3">
      <c r="A17" s="72" t="s">
        <v>19</v>
      </c>
      <c r="B17" s="73">
        <f>(STDEV(B10:B15)/B16)</f>
        <v>1.9601362357444477E-3</v>
      </c>
      <c r="C17" s="74"/>
      <c r="D17" s="74"/>
      <c r="E17" s="75"/>
    </row>
    <row r="18" spans="1:5" s="50" customFormat="1" ht="16.5" customHeight="1" x14ac:dyDescent="0.3">
      <c r="A18" s="76" t="s">
        <v>20</v>
      </c>
      <c r="B18" s="77">
        <f>COUNT(B10:B15)</f>
        <v>6</v>
      </c>
      <c r="C18" s="78"/>
      <c r="D18" s="79"/>
      <c r="E18" s="80"/>
    </row>
    <row r="19" spans="1:5" s="50" customFormat="1" ht="15.75" customHeight="1" x14ac:dyDescent="0.25">
      <c r="A19" s="55"/>
      <c r="B19" s="55"/>
      <c r="C19" s="55"/>
      <c r="D19" s="55"/>
      <c r="E19" s="55"/>
    </row>
    <row r="20" spans="1:5" s="50" customFormat="1" ht="16.5" customHeight="1" x14ac:dyDescent="0.3">
      <c r="A20" s="56" t="s">
        <v>21</v>
      </c>
      <c r="B20" s="81" t="s">
        <v>22</v>
      </c>
      <c r="C20" s="82"/>
      <c r="D20" s="82"/>
      <c r="E20" s="82"/>
    </row>
    <row r="21" spans="1:5" ht="16.5" customHeight="1" x14ac:dyDescent="0.3">
      <c r="A21" s="56"/>
      <c r="B21" s="81" t="s">
        <v>23</v>
      </c>
      <c r="C21" s="82"/>
      <c r="D21" s="82"/>
      <c r="E21" s="82"/>
    </row>
    <row r="22" spans="1:5" ht="16.5" customHeight="1" x14ac:dyDescent="0.3">
      <c r="A22" s="56"/>
      <c r="B22" s="81" t="s">
        <v>24</v>
      </c>
      <c r="C22" s="82"/>
      <c r="D22" s="82"/>
      <c r="E22" s="82"/>
    </row>
    <row r="23" spans="1:5" ht="15.75" customHeight="1" x14ac:dyDescent="0.25">
      <c r="A23" s="55"/>
      <c r="B23" s="55"/>
      <c r="C23" s="55"/>
      <c r="D23" s="55"/>
      <c r="E23" s="55"/>
    </row>
    <row r="24" spans="1:5" ht="16.5" customHeight="1" x14ac:dyDescent="0.3">
      <c r="A24" s="51" t="s">
        <v>1</v>
      </c>
      <c r="B24" s="52" t="s">
        <v>25</v>
      </c>
    </row>
    <row r="25" spans="1:5" ht="16.5" customHeight="1" x14ac:dyDescent="0.3">
      <c r="A25" s="56" t="s">
        <v>4</v>
      </c>
      <c r="B25" s="53" t="str">
        <f>B4</f>
        <v>Tadalafil</v>
      </c>
      <c r="C25" s="55"/>
      <c r="D25" s="55"/>
      <c r="E25" s="55"/>
    </row>
    <row r="26" spans="1:5" ht="16.5" customHeight="1" x14ac:dyDescent="0.3">
      <c r="A26" s="56" t="s">
        <v>6</v>
      </c>
      <c r="B26" s="58">
        <f>B5</f>
        <v>99.4</v>
      </c>
      <c r="C26" s="55"/>
      <c r="D26" s="55"/>
      <c r="E26" s="55"/>
    </row>
    <row r="27" spans="1:5" ht="16.5" customHeight="1" x14ac:dyDescent="0.3">
      <c r="A27" s="53" t="s">
        <v>8</v>
      </c>
      <c r="B27" s="58">
        <f>B6</f>
        <v>13.07</v>
      </c>
      <c r="C27" s="55"/>
      <c r="D27" s="55"/>
      <c r="E27" s="55"/>
    </row>
    <row r="28" spans="1:5" ht="16.5" customHeight="1" x14ac:dyDescent="0.3">
      <c r="A28" s="53" t="s">
        <v>10</v>
      </c>
      <c r="B28" s="59">
        <f>B27/50*2/20</f>
        <v>2.6140000000000004E-2</v>
      </c>
      <c r="C28" s="55"/>
      <c r="D28" s="55"/>
      <c r="E28" s="55"/>
    </row>
    <row r="29" spans="1:5" ht="15.75" customHeight="1" x14ac:dyDescent="0.25">
      <c r="A29" s="55"/>
      <c r="B29" s="55"/>
      <c r="C29" s="55"/>
      <c r="D29" s="55"/>
      <c r="E29" s="55"/>
    </row>
    <row r="30" spans="1:5" ht="16.5" customHeight="1" x14ac:dyDescent="0.3">
      <c r="A30" s="60" t="s">
        <v>13</v>
      </c>
      <c r="B30" s="61" t="s">
        <v>14</v>
      </c>
      <c r="C30" s="60" t="s">
        <v>15</v>
      </c>
      <c r="D30" s="60" t="s">
        <v>16</v>
      </c>
      <c r="E30" s="60" t="s">
        <v>17</v>
      </c>
    </row>
    <row r="31" spans="1:5" ht="16.5" customHeight="1" x14ac:dyDescent="0.3">
      <c r="A31" s="62">
        <v>1</v>
      </c>
      <c r="B31" s="63">
        <v>8688665</v>
      </c>
      <c r="C31" s="63">
        <v>13540.6</v>
      </c>
      <c r="D31" s="64">
        <v>1.1000000000000001</v>
      </c>
      <c r="E31" s="65">
        <v>12.7</v>
      </c>
    </row>
    <row r="32" spans="1:5" ht="16.5" customHeight="1" x14ac:dyDescent="0.3">
      <c r="A32" s="62">
        <v>2</v>
      </c>
      <c r="B32" s="63">
        <v>8733029</v>
      </c>
      <c r="C32" s="63">
        <v>13525.5</v>
      </c>
      <c r="D32" s="64">
        <v>1.1000000000000001</v>
      </c>
      <c r="E32" s="64">
        <v>12.7</v>
      </c>
    </row>
    <row r="33" spans="1:7" ht="16.5" customHeight="1" x14ac:dyDescent="0.3">
      <c r="A33" s="62">
        <v>3</v>
      </c>
      <c r="B33" s="63">
        <v>8713427</v>
      </c>
      <c r="C33" s="63">
        <v>13549.5</v>
      </c>
      <c r="D33" s="64">
        <v>1.1000000000000001</v>
      </c>
      <c r="E33" s="64">
        <v>12.7</v>
      </c>
    </row>
    <row r="34" spans="1:7" ht="16.5" customHeight="1" x14ac:dyDescent="0.3">
      <c r="A34" s="62">
        <v>4</v>
      </c>
      <c r="B34" s="63">
        <v>8734181</v>
      </c>
      <c r="C34" s="63">
        <v>13483.3</v>
      </c>
      <c r="D34" s="64">
        <v>1.1000000000000001</v>
      </c>
      <c r="E34" s="64">
        <v>12.7</v>
      </c>
    </row>
    <row r="35" spans="1:7" ht="16.5" customHeight="1" x14ac:dyDescent="0.3">
      <c r="A35" s="62">
        <v>5</v>
      </c>
      <c r="B35" s="63">
        <v>8712080</v>
      </c>
      <c r="C35" s="63">
        <v>13522.7</v>
      </c>
      <c r="D35" s="64">
        <v>1.1000000000000001</v>
      </c>
      <c r="E35" s="64">
        <v>12.7</v>
      </c>
    </row>
    <row r="36" spans="1:7" ht="16.5" customHeight="1" x14ac:dyDescent="0.3">
      <c r="A36" s="62">
        <v>6</v>
      </c>
      <c r="B36" s="66">
        <v>8727843</v>
      </c>
      <c r="C36" s="66">
        <v>13411</v>
      </c>
      <c r="D36" s="67">
        <v>1.1000000000000001</v>
      </c>
      <c r="E36" s="67">
        <v>12.7</v>
      </c>
    </row>
    <row r="37" spans="1:7" ht="16.5" customHeight="1" x14ac:dyDescent="0.3">
      <c r="A37" s="68" t="s">
        <v>18</v>
      </c>
      <c r="B37" s="69">
        <f>AVERAGE(B31:B36)</f>
        <v>8718204.166666666</v>
      </c>
      <c r="C37" s="70">
        <f>AVERAGE(C31:C36)</f>
        <v>13505.433333333332</v>
      </c>
      <c r="D37" s="71">
        <f>AVERAGE(D31:D36)</f>
        <v>1.0999999999999999</v>
      </c>
      <c r="E37" s="71">
        <f>AVERAGE(E31:E36)</f>
        <v>12.700000000000001</v>
      </c>
    </row>
    <row r="38" spans="1:7" ht="16.5" customHeight="1" x14ac:dyDescent="0.3">
      <c r="A38" s="72" t="s">
        <v>19</v>
      </c>
      <c r="B38" s="73">
        <f>(STDEV(B31:B36)/B37)</f>
        <v>1.9872562563239002E-3</v>
      </c>
      <c r="C38" s="74"/>
      <c r="D38" s="74"/>
      <c r="E38" s="75"/>
    </row>
    <row r="39" spans="1:7" s="50" customFormat="1" ht="16.5" customHeight="1" x14ac:dyDescent="0.3">
      <c r="A39" s="76" t="s">
        <v>20</v>
      </c>
      <c r="B39" s="77">
        <f>COUNT(B31:B36)</f>
        <v>6</v>
      </c>
      <c r="C39" s="78"/>
      <c r="D39" s="79"/>
      <c r="E39" s="80"/>
    </row>
    <row r="40" spans="1:7" s="50" customFormat="1" ht="15.75" customHeight="1" x14ac:dyDescent="0.25">
      <c r="A40" s="55"/>
      <c r="B40" s="55"/>
      <c r="C40" s="55"/>
      <c r="D40" s="55"/>
      <c r="E40" s="55"/>
    </row>
    <row r="41" spans="1:7" s="50" customFormat="1" ht="16.5" customHeight="1" x14ac:dyDescent="0.3">
      <c r="A41" s="56" t="s">
        <v>21</v>
      </c>
      <c r="B41" s="81" t="s">
        <v>22</v>
      </c>
      <c r="C41" s="82"/>
      <c r="D41" s="82"/>
      <c r="E41" s="82"/>
    </row>
    <row r="42" spans="1:7" ht="16.5" customHeight="1" x14ac:dyDescent="0.3">
      <c r="A42" s="56"/>
      <c r="B42" s="81" t="s">
        <v>23</v>
      </c>
      <c r="C42" s="82"/>
      <c r="D42" s="82"/>
      <c r="E42" s="82"/>
    </row>
    <row r="43" spans="1:7" ht="16.5" customHeight="1" x14ac:dyDescent="0.3">
      <c r="A43" s="56"/>
      <c r="B43" s="81" t="s">
        <v>24</v>
      </c>
      <c r="C43" s="82"/>
      <c r="D43" s="82"/>
      <c r="E43" s="82"/>
    </row>
    <row r="44" spans="1:7" ht="14.25" customHeight="1" thickBot="1" x14ac:dyDescent="0.3">
      <c r="A44" s="83"/>
      <c r="B44" s="84"/>
      <c r="D44" s="85"/>
      <c r="F44" s="86"/>
      <c r="G44" s="86"/>
    </row>
    <row r="45" spans="1:7" ht="15" customHeight="1" x14ac:dyDescent="0.3">
      <c r="B45" s="520" t="s">
        <v>26</v>
      </c>
      <c r="C45" s="520"/>
      <c r="E45" s="87" t="s">
        <v>27</v>
      </c>
      <c r="F45" s="88"/>
      <c r="G45" s="87" t="s">
        <v>28</v>
      </c>
    </row>
    <row r="46" spans="1:7" ht="15" customHeight="1" x14ac:dyDescent="0.3">
      <c r="A46" s="89" t="s">
        <v>29</v>
      </c>
      <c r="B46" s="90"/>
      <c r="C46" s="91" t="s">
        <v>137</v>
      </c>
      <c r="E46" s="91" t="s">
        <v>138</v>
      </c>
      <c r="G46" s="90"/>
    </row>
    <row r="47" spans="1:7" ht="15" customHeight="1" x14ac:dyDescent="0.3">
      <c r="A47" s="89" t="s">
        <v>30</v>
      </c>
      <c r="B47" s="92"/>
      <c r="C47" s="92"/>
      <c r="E47" s="92"/>
      <c r="G47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view="pageBreakPreview" topLeftCell="A55" zoomScale="60" zoomScaleNormal="70" workbookViewId="0">
      <selection activeCell="D68" sqref="D68"/>
    </sheetView>
  </sheetViews>
  <sheetFormatPr defaultRowHeight="12.75" x14ac:dyDescent="0.2"/>
  <cols>
    <col min="1" max="1" width="54.85546875" style="94" customWidth="1"/>
    <col min="2" max="2" width="39.42578125" style="94" customWidth="1"/>
    <col min="3" max="3" width="42.5703125" style="94" customWidth="1"/>
    <col min="4" max="4" width="21" style="94" customWidth="1"/>
    <col min="5" max="5" width="28.28515625" style="94" customWidth="1"/>
    <col min="6" max="6" width="23.85546875" style="94" customWidth="1"/>
    <col min="7" max="7" width="26" style="94" customWidth="1"/>
    <col min="8" max="16384" width="9.140625" style="94"/>
  </cols>
  <sheetData>
    <row r="1" spans="1:7" x14ac:dyDescent="0.2">
      <c r="A1" s="538" t="s">
        <v>45</v>
      </c>
      <c r="B1" s="538"/>
      <c r="C1" s="538"/>
      <c r="D1" s="538"/>
      <c r="E1" s="538"/>
      <c r="F1" s="538"/>
      <c r="G1" s="538"/>
    </row>
    <row r="2" spans="1:7" x14ac:dyDescent="0.2">
      <c r="A2" s="538"/>
      <c r="B2" s="538"/>
      <c r="C2" s="538"/>
      <c r="D2" s="538"/>
      <c r="E2" s="538"/>
      <c r="F2" s="538"/>
      <c r="G2" s="538"/>
    </row>
    <row r="3" spans="1:7" x14ac:dyDescent="0.2">
      <c r="A3" s="538"/>
      <c r="B3" s="538"/>
      <c r="C3" s="538"/>
      <c r="D3" s="538"/>
      <c r="E3" s="538"/>
      <c r="F3" s="538"/>
      <c r="G3" s="538"/>
    </row>
    <row r="4" spans="1:7" x14ac:dyDescent="0.2">
      <c r="A4" s="538"/>
      <c r="B4" s="538"/>
      <c r="C4" s="538"/>
      <c r="D4" s="538"/>
      <c r="E4" s="538"/>
      <c r="F4" s="538"/>
      <c r="G4" s="538"/>
    </row>
    <row r="5" spans="1:7" x14ac:dyDescent="0.2">
      <c r="A5" s="538"/>
      <c r="B5" s="538"/>
      <c r="C5" s="538"/>
      <c r="D5" s="538"/>
      <c r="E5" s="538"/>
      <c r="F5" s="538"/>
      <c r="G5" s="538"/>
    </row>
    <row r="6" spans="1:7" x14ac:dyDescent="0.2">
      <c r="A6" s="538"/>
      <c r="B6" s="538"/>
      <c r="C6" s="538"/>
      <c r="D6" s="538"/>
      <c r="E6" s="538"/>
      <c r="F6" s="538"/>
      <c r="G6" s="538"/>
    </row>
    <row r="7" spans="1:7" x14ac:dyDescent="0.2">
      <c r="A7" s="538"/>
      <c r="B7" s="538"/>
      <c r="C7" s="538"/>
      <c r="D7" s="538"/>
      <c r="E7" s="538"/>
      <c r="F7" s="538"/>
      <c r="G7" s="538"/>
    </row>
    <row r="8" spans="1:7" x14ac:dyDescent="0.2">
      <c r="A8" s="539" t="s">
        <v>46</v>
      </c>
      <c r="B8" s="539"/>
      <c r="C8" s="539"/>
      <c r="D8" s="539"/>
      <c r="E8" s="539"/>
      <c r="F8" s="539"/>
      <c r="G8" s="539"/>
    </row>
    <row r="9" spans="1:7" x14ac:dyDescent="0.2">
      <c r="A9" s="539"/>
      <c r="B9" s="539"/>
      <c r="C9" s="539"/>
      <c r="D9" s="539"/>
      <c r="E9" s="539"/>
      <c r="F9" s="539"/>
      <c r="G9" s="539"/>
    </row>
    <row r="10" spans="1:7" x14ac:dyDescent="0.2">
      <c r="A10" s="539"/>
      <c r="B10" s="539"/>
      <c r="C10" s="539"/>
      <c r="D10" s="539"/>
      <c r="E10" s="539"/>
      <c r="F10" s="539"/>
      <c r="G10" s="539"/>
    </row>
    <row r="11" spans="1:7" x14ac:dyDescent="0.2">
      <c r="A11" s="539"/>
      <c r="B11" s="539"/>
      <c r="C11" s="539"/>
      <c r="D11" s="539"/>
      <c r="E11" s="539"/>
      <c r="F11" s="539"/>
      <c r="G11" s="539"/>
    </row>
    <row r="12" spans="1:7" x14ac:dyDescent="0.2">
      <c r="A12" s="539"/>
      <c r="B12" s="539"/>
      <c r="C12" s="539"/>
      <c r="D12" s="539"/>
      <c r="E12" s="539"/>
      <c r="F12" s="539"/>
      <c r="G12" s="539"/>
    </row>
    <row r="13" spans="1:7" x14ac:dyDescent="0.2">
      <c r="A13" s="539"/>
      <c r="B13" s="539"/>
      <c r="C13" s="539"/>
      <c r="D13" s="539"/>
      <c r="E13" s="539"/>
      <c r="F13" s="539"/>
      <c r="G13" s="539"/>
    </row>
    <row r="14" spans="1:7" x14ac:dyDescent="0.2">
      <c r="A14" s="539"/>
      <c r="B14" s="539"/>
      <c r="C14" s="539"/>
      <c r="D14" s="539"/>
      <c r="E14" s="539"/>
      <c r="F14" s="539"/>
      <c r="G14" s="539"/>
    </row>
    <row r="15" spans="1:7" ht="19.5" customHeight="1" thickBot="1" x14ac:dyDescent="0.35">
      <c r="A15" s="95"/>
      <c r="B15" s="95"/>
      <c r="C15" s="95"/>
      <c r="D15" s="95"/>
      <c r="E15" s="95"/>
      <c r="F15" s="95"/>
      <c r="G15" s="95"/>
    </row>
    <row r="16" spans="1:7" ht="19.5" customHeight="1" thickBot="1" x14ac:dyDescent="0.35">
      <c r="A16" s="540" t="s">
        <v>31</v>
      </c>
      <c r="B16" s="541"/>
      <c r="C16" s="541"/>
      <c r="D16" s="541"/>
      <c r="E16" s="541"/>
      <c r="F16" s="541"/>
      <c r="G16" s="541"/>
    </row>
    <row r="17" spans="1:7" ht="18.75" customHeight="1" x14ac:dyDescent="0.3">
      <c r="A17" s="96" t="s">
        <v>47</v>
      </c>
      <c r="B17" s="96"/>
      <c r="C17" s="95"/>
      <c r="D17" s="95"/>
      <c r="E17" s="95"/>
      <c r="F17" s="95"/>
      <c r="G17" s="95"/>
    </row>
    <row r="18" spans="1:7" ht="26.25" customHeight="1" x14ac:dyDescent="0.4">
      <c r="A18" s="97" t="s">
        <v>33</v>
      </c>
      <c r="B18" s="542" t="s">
        <v>5</v>
      </c>
      <c r="C18" s="542"/>
      <c r="D18" s="98"/>
      <c r="E18" s="98"/>
      <c r="F18" s="95"/>
      <c r="G18" s="95"/>
    </row>
    <row r="19" spans="1:7" ht="26.25" customHeight="1" x14ac:dyDescent="0.4">
      <c r="A19" s="97" t="s">
        <v>34</v>
      </c>
      <c r="B19" s="99" t="s">
        <v>7</v>
      </c>
      <c r="C19" s="95">
        <v>12</v>
      </c>
      <c r="E19" s="95"/>
      <c r="F19" s="95"/>
      <c r="G19" s="95"/>
    </row>
    <row r="20" spans="1:7" ht="26.25" customHeight="1" x14ac:dyDescent="0.4">
      <c r="A20" s="97" t="s">
        <v>35</v>
      </c>
      <c r="B20" s="531" t="s">
        <v>9</v>
      </c>
      <c r="C20" s="531"/>
      <c r="D20" s="95"/>
      <c r="E20" s="95"/>
      <c r="F20" s="95"/>
      <c r="G20" s="95"/>
    </row>
    <row r="21" spans="1:7" ht="26.25" customHeight="1" x14ac:dyDescent="0.4">
      <c r="A21" s="97" t="s">
        <v>36</v>
      </c>
      <c r="B21" s="100" t="s">
        <v>11</v>
      </c>
      <c r="C21" s="100"/>
      <c r="D21" s="101"/>
      <c r="E21" s="101"/>
      <c r="F21" s="101"/>
      <c r="G21" s="101"/>
    </row>
    <row r="22" spans="1:7" ht="26.25" customHeight="1" x14ac:dyDescent="0.4">
      <c r="A22" s="97" t="s">
        <v>37</v>
      </c>
      <c r="B22" s="102">
        <v>42403</v>
      </c>
      <c r="C22" s="103"/>
      <c r="D22" s="95"/>
      <c r="E22" s="95"/>
      <c r="F22" s="95"/>
      <c r="G22" s="95"/>
    </row>
    <row r="23" spans="1:7" ht="26.25" customHeight="1" x14ac:dyDescent="0.4">
      <c r="A23" s="97" t="s">
        <v>38</v>
      </c>
      <c r="B23" s="102">
        <v>42043</v>
      </c>
      <c r="C23" s="103"/>
      <c r="D23" s="95"/>
      <c r="E23" s="95"/>
      <c r="F23" s="95"/>
      <c r="G23" s="95"/>
    </row>
    <row r="24" spans="1:7" ht="18.75" customHeight="1" x14ac:dyDescent="0.3">
      <c r="A24" s="97"/>
      <c r="B24" s="104"/>
      <c r="C24" s="95"/>
      <c r="D24" s="95"/>
      <c r="E24" s="95"/>
      <c r="F24" s="95"/>
      <c r="G24" s="95"/>
    </row>
    <row r="25" spans="1:7" ht="18.75" customHeight="1" x14ac:dyDescent="0.3">
      <c r="A25" s="105" t="s">
        <v>1</v>
      </c>
      <c r="B25" s="104"/>
      <c r="C25" s="95"/>
      <c r="D25" s="95"/>
      <c r="E25" s="95"/>
      <c r="F25" s="95"/>
      <c r="G25" s="95"/>
    </row>
    <row r="26" spans="1:7" ht="26.25" customHeight="1" x14ac:dyDescent="0.4">
      <c r="A26" s="106" t="s">
        <v>4</v>
      </c>
      <c r="B26" s="542" t="s">
        <v>136</v>
      </c>
      <c r="C26" s="542"/>
      <c r="D26" s="95"/>
      <c r="E26" s="95"/>
      <c r="F26" s="95"/>
      <c r="G26" s="95"/>
    </row>
    <row r="27" spans="1:7" ht="26.25" customHeight="1" x14ac:dyDescent="0.4">
      <c r="A27" s="107" t="s">
        <v>48</v>
      </c>
      <c r="B27" s="531" t="s">
        <v>140</v>
      </c>
      <c r="C27" s="531"/>
      <c r="D27" s="95"/>
      <c r="E27" s="95"/>
      <c r="F27" s="95"/>
      <c r="G27" s="95"/>
    </row>
    <row r="28" spans="1:7" ht="27" customHeight="1" thickBot="1" x14ac:dyDescent="0.45">
      <c r="A28" s="107" t="s">
        <v>6</v>
      </c>
      <c r="B28" s="108">
        <v>99.4</v>
      </c>
      <c r="C28" s="95"/>
      <c r="D28" s="95"/>
      <c r="E28" s="95"/>
      <c r="F28" s="95"/>
      <c r="G28" s="95"/>
    </row>
    <row r="29" spans="1:7" ht="27" customHeight="1" thickBot="1" x14ac:dyDescent="0.45">
      <c r="A29" s="107" t="s">
        <v>49</v>
      </c>
      <c r="B29" s="109">
        <v>0</v>
      </c>
      <c r="C29" s="532" t="s">
        <v>50</v>
      </c>
      <c r="D29" s="533"/>
      <c r="E29" s="533"/>
      <c r="F29" s="533"/>
      <c r="G29" s="534"/>
    </row>
    <row r="30" spans="1:7" ht="19.5" customHeight="1" thickBot="1" x14ac:dyDescent="0.35">
      <c r="A30" s="107" t="s">
        <v>51</v>
      </c>
      <c r="B30" s="110">
        <f>B28-B29</f>
        <v>99.4</v>
      </c>
      <c r="C30" s="111"/>
      <c r="D30" s="111"/>
      <c r="E30" s="111"/>
      <c r="F30" s="111"/>
      <c r="G30" s="111"/>
    </row>
    <row r="31" spans="1:7" ht="27" customHeight="1" thickBot="1" x14ac:dyDescent="0.45">
      <c r="A31" s="107" t="s">
        <v>52</v>
      </c>
      <c r="B31" s="112">
        <v>1</v>
      </c>
      <c r="C31" s="532" t="s">
        <v>53</v>
      </c>
      <c r="D31" s="533"/>
      <c r="E31" s="533"/>
      <c r="F31" s="533"/>
      <c r="G31" s="534"/>
    </row>
    <row r="32" spans="1:7" ht="27" customHeight="1" thickBot="1" x14ac:dyDescent="0.45">
      <c r="A32" s="107" t="s">
        <v>54</v>
      </c>
      <c r="B32" s="112">
        <v>1</v>
      </c>
      <c r="C32" s="532" t="s">
        <v>55</v>
      </c>
      <c r="D32" s="533"/>
      <c r="E32" s="533"/>
      <c r="F32" s="533"/>
      <c r="G32" s="534"/>
    </row>
    <row r="33" spans="1:7" ht="18.75" customHeight="1" x14ac:dyDescent="0.3">
      <c r="A33" s="107"/>
      <c r="B33" s="113"/>
      <c r="C33" s="114"/>
      <c r="D33" s="114"/>
      <c r="E33" s="114"/>
      <c r="F33" s="114"/>
      <c r="G33" s="114"/>
    </row>
    <row r="34" spans="1:7" ht="18.75" customHeight="1" x14ac:dyDescent="0.3">
      <c r="A34" s="107" t="s">
        <v>56</v>
      </c>
      <c r="B34" s="115">
        <f>B31/B32</f>
        <v>1</v>
      </c>
      <c r="C34" s="95" t="s">
        <v>57</v>
      </c>
      <c r="D34" s="95"/>
      <c r="E34" s="95"/>
      <c r="F34" s="95"/>
      <c r="G34" s="95"/>
    </row>
    <row r="35" spans="1:7" ht="19.5" customHeight="1" thickBot="1" x14ac:dyDescent="0.35">
      <c r="A35" s="107"/>
      <c r="B35" s="110"/>
      <c r="C35" s="116"/>
      <c r="D35" s="116"/>
      <c r="E35" s="116"/>
      <c r="F35" s="116"/>
      <c r="G35" s="95"/>
    </row>
    <row r="36" spans="1:7" ht="27" customHeight="1" thickBot="1" x14ac:dyDescent="0.45">
      <c r="A36" s="117" t="s">
        <v>58</v>
      </c>
      <c r="B36" s="118">
        <v>100</v>
      </c>
      <c r="C36" s="95"/>
      <c r="D36" s="535" t="s">
        <v>59</v>
      </c>
      <c r="E36" s="536"/>
      <c r="F36" s="535" t="s">
        <v>60</v>
      </c>
      <c r="G36" s="537"/>
    </row>
    <row r="37" spans="1:7" ht="26.25" customHeight="1" x14ac:dyDescent="0.4">
      <c r="A37" s="119" t="s">
        <v>141</v>
      </c>
      <c r="B37" s="120">
        <v>3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</row>
    <row r="38" spans="1:7" ht="26.25" customHeight="1" x14ac:dyDescent="0.4">
      <c r="A38" s="119" t="s">
        <v>142</v>
      </c>
      <c r="B38" s="120">
        <v>50</v>
      </c>
      <c r="C38" s="125">
        <v>1</v>
      </c>
      <c r="D38" s="126">
        <v>0.51129999999999998</v>
      </c>
      <c r="E38" s="127">
        <f>IF(ISBLANK(D38),"-",$D$48/$D$45*D38)</f>
        <v>0.38545246752150214</v>
      </c>
      <c r="F38" s="126">
        <v>0.49530000000000002</v>
      </c>
      <c r="G38" s="128">
        <f>IF(ISBLANK(F38),"-",$D$48/$F$45*F38)</f>
        <v>0.39847240178375326</v>
      </c>
    </row>
    <row r="39" spans="1:7" ht="26.25" customHeight="1" x14ac:dyDescent="0.4">
      <c r="A39" s="119" t="s">
        <v>143</v>
      </c>
      <c r="B39" s="120">
        <v>1</v>
      </c>
      <c r="C39" s="129">
        <v>2</v>
      </c>
      <c r="D39" s="130">
        <v>0.52400000000000002</v>
      </c>
      <c r="E39" s="131">
        <f>IF(ISBLANK(D39),"-",$D$48/$D$45*D39)</f>
        <v>0.39502658513840633</v>
      </c>
      <c r="F39" s="130">
        <v>0.49709999999999999</v>
      </c>
      <c r="G39" s="132">
        <f>IF(ISBLANK(F39),"-",$D$48/$F$45*F39)</f>
        <v>0.39992051469150763</v>
      </c>
    </row>
    <row r="40" spans="1:7" ht="26.25" customHeight="1" x14ac:dyDescent="0.4">
      <c r="A40" s="119" t="s">
        <v>144</v>
      </c>
      <c r="B40" s="120">
        <v>1</v>
      </c>
      <c r="C40" s="129">
        <v>3</v>
      </c>
      <c r="D40" s="130">
        <v>0.52559999999999996</v>
      </c>
      <c r="E40" s="131">
        <f>IF(ISBLANK(D40),"-",$D$48/$D$45*D40)</f>
        <v>0.3962327731846304</v>
      </c>
      <c r="F40" s="130">
        <v>0.49380000000000002</v>
      </c>
      <c r="G40" s="132">
        <f>IF(ISBLANK(F40),"-",$D$48/$F$45*F40)</f>
        <v>0.39726564102729128</v>
      </c>
    </row>
    <row r="41" spans="1:7" ht="26.25" customHeight="1" x14ac:dyDescent="0.4">
      <c r="A41" s="119" t="s">
        <v>145</v>
      </c>
      <c r="B41" s="120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</row>
    <row r="42" spans="1:7" ht="27" customHeight="1" thickBot="1" x14ac:dyDescent="0.45">
      <c r="A42" s="119" t="s">
        <v>146</v>
      </c>
      <c r="B42" s="120">
        <v>1</v>
      </c>
      <c r="C42" s="137" t="s">
        <v>70</v>
      </c>
      <c r="D42" s="600">
        <f>AVERAGE(D38:D41)</f>
        <v>0.52029999999999987</v>
      </c>
      <c r="E42" s="138">
        <f>AVERAGE(E38:E41)</f>
        <v>0.39223727528151292</v>
      </c>
      <c r="F42" s="600">
        <f>AVERAGE(F38:F41)</f>
        <v>0.49540000000000001</v>
      </c>
      <c r="G42" s="139">
        <f>AVERAGE(G38:G41)</f>
        <v>0.39855285250085076</v>
      </c>
    </row>
    <row r="43" spans="1:7" ht="26.25" customHeight="1" x14ac:dyDescent="0.4">
      <c r="A43" s="119" t="s">
        <v>147</v>
      </c>
      <c r="B43" s="120">
        <v>1</v>
      </c>
      <c r="C43" s="140" t="s">
        <v>72</v>
      </c>
      <c r="D43" s="141">
        <v>26.69</v>
      </c>
      <c r="E43" s="95"/>
      <c r="F43" s="141">
        <v>25.01</v>
      </c>
      <c r="G43" s="95"/>
    </row>
    <row r="44" spans="1:7" ht="26.25" customHeight="1" x14ac:dyDescent="0.4">
      <c r="A44" s="119" t="s">
        <v>148</v>
      </c>
      <c r="B44" s="120">
        <v>1</v>
      </c>
      <c r="C44" s="142" t="s">
        <v>74</v>
      </c>
      <c r="D44" s="143">
        <f>D43*$B$34</f>
        <v>26.69</v>
      </c>
      <c r="E44" s="144"/>
      <c r="F44" s="143">
        <f>F43*$B$34</f>
        <v>25.01</v>
      </c>
      <c r="G44" s="95"/>
    </row>
    <row r="45" spans="1:7" ht="19.5" customHeight="1" thickBot="1" x14ac:dyDescent="0.35">
      <c r="A45" s="119" t="s">
        <v>75</v>
      </c>
      <c r="B45" s="145">
        <f>(B44/B43)*(B42/B41)*(B40/B39)*(B38/B37)*B36</f>
        <v>1666.6666666666667</v>
      </c>
      <c r="C45" s="142" t="s">
        <v>76</v>
      </c>
      <c r="D45" s="146">
        <f>D44*$B$30/100</f>
        <v>26.529860000000003</v>
      </c>
      <c r="E45" s="147"/>
      <c r="F45" s="146">
        <f>F44*$B$30/100</f>
        <v>24.859940000000002</v>
      </c>
      <c r="G45" s="95"/>
    </row>
    <row r="46" spans="1:7" ht="19.5" customHeight="1" thickBot="1" x14ac:dyDescent="0.35">
      <c r="A46" s="521" t="s">
        <v>77</v>
      </c>
      <c r="B46" s="522"/>
      <c r="C46" s="142" t="s">
        <v>78</v>
      </c>
      <c r="D46" s="143">
        <f>D45/$B$45</f>
        <v>1.5917916000000001E-2</v>
      </c>
      <c r="E46" s="147"/>
      <c r="F46" s="148">
        <f>F45/$B$45</f>
        <v>1.4915964E-2</v>
      </c>
      <c r="G46" s="95"/>
    </row>
    <row r="47" spans="1:7" ht="27" customHeight="1" thickBot="1" x14ac:dyDescent="0.45">
      <c r="A47" s="523"/>
      <c r="B47" s="524"/>
      <c r="C47" s="149" t="s">
        <v>79</v>
      </c>
      <c r="D47" s="150">
        <v>1.2E-2</v>
      </c>
      <c r="E47" s="95"/>
      <c r="F47" s="151"/>
      <c r="G47" s="95"/>
    </row>
    <row r="48" spans="1:7" ht="18.75" customHeight="1" x14ac:dyDescent="0.3">
      <c r="A48" s="95"/>
      <c r="B48" s="95"/>
      <c r="C48" s="152" t="s">
        <v>80</v>
      </c>
      <c r="D48" s="146">
        <f>D47*$B$45</f>
        <v>20</v>
      </c>
      <c r="E48" s="95"/>
      <c r="F48" s="151"/>
      <c r="G48" s="95"/>
    </row>
    <row r="49" spans="1:7" ht="19.5" customHeight="1" thickBot="1" x14ac:dyDescent="0.35">
      <c r="A49" s="95"/>
      <c r="B49" s="95"/>
      <c r="C49" s="107" t="s">
        <v>81</v>
      </c>
      <c r="D49" s="153">
        <f>D48/B34</f>
        <v>20</v>
      </c>
      <c r="E49" s="95"/>
      <c r="F49" s="151"/>
      <c r="G49" s="95"/>
    </row>
    <row r="50" spans="1:7" ht="18.75" customHeight="1" x14ac:dyDescent="0.3">
      <c r="A50" s="95"/>
      <c r="B50" s="95"/>
      <c r="C50" s="117" t="s">
        <v>82</v>
      </c>
      <c r="D50" s="154">
        <f>AVERAGE(E38:E41,G38:G41)</f>
        <v>0.39539506389118184</v>
      </c>
      <c r="E50" s="95"/>
      <c r="F50" s="155"/>
      <c r="G50" s="95"/>
    </row>
    <row r="51" spans="1:7" ht="18.75" customHeight="1" x14ac:dyDescent="0.3">
      <c r="A51" s="95"/>
      <c r="B51" s="95"/>
      <c r="C51" s="119" t="s">
        <v>83</v>
      </c>
      <c r="D51" s="156">
        <f>STDEV(E38:E41,G38:G41)/D50</f>
        <v>1.3050901846932578E-2</v>
      </c>
      <c r="E51" s="95"/>
      <c r="F51" s="155"/>
      <c r="G51" s="95"/>
    </row>
    <row r="52" spans="1:7" ht="19.5" customHeight="1" thickBot="1" x14ac:dyDescent="0.35">
      <c r="A52" s="95"/>
      <c r="B52" s="95"/>
      <c r="C52" s="157" t="s">
        <v>20</v>
      </c>
      <c r="D52" s="158">
        <f>COUNT(E38:E41,G38:G41)</f>
        <v>6</v>
      </c>
      <c r="E52" s="95"/>
      <c r="F52" s="155"/>
      <c r="G52" s="95"/>
    </row>
    <row r="53" spans="1:7" ht="18.75" customHeight="1" x14ac:dyDescent="0.3">
      <c r="A53" s="95"/>
      <c r="B53" s="95"/>
      <c r="C53" s="95"/>
      <c r="D53" s="95"/>
      <c r="E53" s="95"/>
      <c r="F53" s="95"/>
      <c r="G53" s="95"/>
    </row>
    <row r="54" spans="1:7" ht="18.75" customHeight="1" x14ac:dyDescent="0.3">
      <c r="A54" s="96" t="s">
        <v>1</v>
      </c>
      <c r="B54" s="159" t="s">
        <v>84</v>
      </c>
      <c r="C54" s="95"/>
      <c r="D54" s="95"/>
      <c r="E54" s="95"/>
      <c r="F54" s="95"/>
      <c r="G54" s="95"/>
    </row>
    <row r="55" spans="1:7" ht="18.75" customHeight="1" x14ac:dyDescent="0.3">
      <c r="A55" s="95" t="s">
        <v>85</v>
      </c>
      <c r="B55" s="160" t="str">
        <f>B21</f>
        <v>Each film coated tablet contains: Tadalafil 20mg</v>
      </c>
      <c r="C55" s="95"/>
      <c r="D55" s="95"/>
      <c r="E55" s="95"/>
      <c r="F55" s="95"/>
      <c r="G55" s="95"/>
    </row>
    <row r="56" spans="1:7" ht="26.25" customHeight="1" x14ac:dyDescent="0.4">
      <c r="A56" s="160" t="s">
        <v>86</v>
      </c>
      <c r="B56" s="108">
        <v>20</v>
      </c>
      <c r="C56" s="95" t="str">
        <f>B20</f>
        <v>Tadalafil 20mg</v>
      </c>
      <c r="D56" s="95"/>
      <c r="E56" s="95"/>
      <c r="F56" s="95"/>
      <c r="G56" s="95"/>
    </row>
    <row r="57" spans="1:7" ht="17.25" customHeight="1" thickBot="1" x14ac:dyDescent="0.35">
      <c r="A57" s="161" t="s">
        <v>87</v>
      </c>
      <c r="B57" s="601">
        <f>Uniformity!C36</f>
        <v>325.27200000000005</v>
      </c>
      <c r="C57" s="161"/>
      <c r="D57" s="162"/>
      <c r="E57" s="162"/>
      <c r="F57" s="162"/>
      <c r="G57" s="162"/>
    </row>
    <row r="58" spans="1:7" ht="57.75" customHeight="1" x14ac:dyDescent="0.4">
      <c r="A58" s="117" t="s">
        <v>88</v>
      </c>
      <c r="B58" s="118">
        <v>100</v>
      </c>
      <c r="C58" s="163" t="s">
        <v>89</v>
      </c>
      <c r="D58" s="164" t="s">
        <v>90</v>
      </c>
      <c r="E58" s="165" t="s">
        <v>91</v>
      </c>
      <c r="F58" s="166" t="s">
        <v>92</v>
      </c>
      <c r="G58" s="167" t="s">
        <v>93</v>
      </c>
    </row>
    <row r="59" spans="1:7" ht="26.25" customHeight="1" x14ac:dyDescent="0.4">
      <c r="A59" s="119" t="s">
        <v>141</v>
      </c>
      <c r="B59" s="120">
        <v>3</v>
      </c>
      <c r="C59" s="168">
        <v>1</v>
      </c>
      <c r="D59" s="169">
        <v>0.43569999999999998</v>
      </c>
      <c r="E59" s="170">
        <f t="shared" ref="E59:E68" si="0">IF(ISBLANK(D59),"-",D59/$D$50*$D$47*$B$67)</f>
        <v>22.038717211700483</v>
      </c>
      <c r="F59" s="171">
        <f t="shared" ref="F59:F68" si="1">IF(ISBLANK(D59),"-",E59/$E$70*100)</f>
        <v>105.21867226931346</v>
      </c>
      <c r="G59" s="172">
        <f t="shared" ref="G59:G68" si="2">IF(ISBLANK(D59),"-",E59/$B$56*100)</f>
        <v>110.19358605850242</v>
      </c>
    </row>
    <row r="60" spans="1:7" ht="26.25" customHeight="1" x14ac:dyDescent="0.4">
      <c r="A60" s="119" t="s">
        <v>142</v>
      </c>
      <c r="B60" s="120">
        <v>50</v>
      </c>
      <c r="C60" s="173">
        <v>2</v>
      </c>
      <c r="D60" s="174">
        <v>0.38190000000000002</v>
      </c>
      <c r="E60" s="175">
        <f t="shared" si="0"/>
        <v>19.317388347827436</v>
      </c>
      <c r="F60" s="176">
        <f t="shared" si="1"/>
        <v>92.226327609939872</v>
      </c>
      <c r="G60" s="177">
        <f t="shared" si="2"/>
        <v>96.586941739137174</v>
      </c>
    </row>
    <row r="61" spans="1:7" ht="26.25" customHeight="1" x14ac:dyDescent="0.4">
      <c r="A61" s="119" t="s">
        <v>143</v>
      </c>
      <c r="B61" s="120">
        <v>1</v>
      </c>
      <c r="C61" s="173">
        <v>3</v>
      </c>
      <c r="D61" s="174">
        <v>0.39</v>
      </c>
      <c r="E61" s="175">
        <f t="shared" si="0"/>
        <v>19.727105147035086</v>
      </c>
      <c r="F61" s="176">
        <f t="shared" si="1"/>
        <v>94.18242411070058</v>
      </c>
      <c r="G61" s="177">
        <f t="shared" si="2"/>
        <v>98.635525735175435</v>
      </c>
    </row>
    <row r="62" spans="1:7" ht="26.25" customHeight="1" x14ac:dyDescent="0.4">
      <c r="A62" s="119" t="s">
        <v>144</v>
      </c>
      <c r="B62" s="120">
        <v>1</v>
      </c>
      <c r="C62" s="173">
        <v>4</v>
      </c>
      <c r="D62" s="174">
        <v>0.40910000000000002</v>
      </c>
      <c r="E62" s="175">
        <f t="shared" si="0"/>
        <v>20.693227476030909</v>
      </c>
      <c r="F62" s="176">
        <f t="shared" si="1"/>
        <v>98.794947958173367</v>
      </c>
      <c r="G62" s="177">
        <f t="shared" si="2"/>
        <v>103.46613738015455</v>
      </c>
    </row>
    <row r="63" spans="1:7" ht="26.25" customHeight="1" x14ac:dyDescent="0.4">
      <c r="A63" s="119" t="s">
        <v>145</v>
      </c>
      <c r="B63" s="120">
        <v>1</v>
      </c>
      <c r="C63" s="173">
        <v>5</v>
      </c>
      <c r="D63" s="174">
        <v>0.44259999999999999</v>
      </c>
      <c r="E63" s="175">
        <f t="shared" si="0"/>
        <v>22.387735225840331</v>
      </c>
      <c r="F63" s="176">
        <f t="shared" si="1"/>
        <v>106.88497669588737</v>
      </c>
      <c r="G63" s="177">
        <f t="shared" si="2"/>
        <v>111.93867612920165</v>
      </c>
    </row>
    <row r="64" spans="1:7" ht="26.25" customHeight="1" x14ac:dyDescent="0.4">
      <c r="A64" s="119" t="s">
        <v>146</v>
      </c>
      <c r="B64" s="120">
        <v>1</v>
      </c>
      <c r="C64" s="173">
        <v>6</v>
      </c>
      <c r="D64" s="174">
        <v>0.35899999999999999</v>
      </c>
      <c r="E64" s="175">
        <f t="shared" si="0"/>
        <v>18.159053199450248</v>
      </c>
      <c r="F64" s="176">
        <f t="shared" si="1"/>
        <v>86.69612886087566</v>
      </c>
      <c r="G64" s="177">
        <f t="shared" si="2"/>
        <v>90.795265997251235</v>
      </c>
    </row>
    <row r="65" spans="1:7" ht="26.25" customHeight="1" x14ac:dyDescent="0.4">
      <c r="A65" s="119" t="s">
        <v>147</v>
      </c>
      <c r="B65" s="120">
        <v>1</v>
      </c>
      <c r="C65" s="173">
        <v>7</v>
      </c>
      <c r="D65" s="174">
        <v>0.42949999999999999</v>
      </c>
      <c r="E65" s="175">
        <f t="shared" si="0"/>
        <v>21.725106822183513</v>
      </c>
      <c r="F65" s="176">
        <f t="shared" si="1"/>
        <v>103.72141321934846</v>
      </c>
      <c r="G65" s="177">
        <f t="shared" si="2"/>
        <v>108.62553411091756</v>
      </c>
    </row>
    <row r="66" spans="1:7" ht="26.25" customHeight="1" x14ac:dyDescent="0.4">
      <c r="A66" s="119" t="s">
        <v>148</v>
      </c>
      <c r="B66" s="120">
        <v>1</v>
      </c>
      <c r="C66" s="173">
        <v>8</v>
      </c>
      <c r="D66" s="174">
        <v>0.41299999999999998</v>
      </c>
      <c r="E66" s="175">
        <f t="shared" si="0"/>
        <v>20.890498527501261</v>
      </c>
      <c r="F66" s="176">
        <f t="shared" si="1"/>
        <v>99.736772199280367</v>
      </c>
      <c r="G66" s="177">
        <f t="shared" si="2"/>
        <v>104.45249263750631</v>
      </c>
    </row>
    <row r="67" spans="1:7" ht="27" customHeight="1" thickBot="1" x14ac:dyDescent="0.45">
      <c r="A67" s="119" t="s">
        <v>75</v>
      </c>
      <c r="B67" s="145">
        <f>(B66/B65)*(B64/B63)*(B62/B61)*(B60/B59)*B58</f>
        <v>1666.6666666666667</v>
      </c>
      <c r="C67" s="173">
        <v>9</v>
      </c>
      <c r="D67" s="174">
        <v>0.43709999999999999</v>
      </c>
      <c r="E67" s="175">
        <f t="shared" si="0"/>
        <v>22.109532460946248</v>
      </c>
      <c r="F67" s="176">
        <f t="shared" si="1"/>
        <v>105.55676302253134</v>
      </c>
      <c r="G67" s="177">
        <f t="shared" si="2"/>
        <v>110.54766230473123</v>
      </c>
    </row>
    <row r="68" spans="1:7" ht="27" customHeight="1" thickBot="1" x14ac:dyDescent="0.45">
      <c r="A68" s="521" t="s">
        <v>77</v>
      </c>
      <c r="B68" s="525"/>
      <c r="C68" s="178">
        <v>10</v>
      </c>
      <c r="D68" s="179">
        <v>0.443</v>
      </c>
      <c r="E68" s="180">
        <f t="shared" si="0"/>
        <v>22.407968154196265</v>
      </c>
      <c r="F68" s="181">
        <f t="shared" si="1"/>
        <v>106.98157405394963</v>
      </c>
      <c r="G68" s="182">
        <f t="shared" si="2"/>
        <v>112.03984077098133</v>
      </c>
    </row>
    <row r="69" spans="1:7" ht="19.5" customHeight="1" thickBot="1" x14ac:dyDescent="0.35">
      <c r="A69" s="523"/>
      <c r="B69" s="526"/>
      <c r="C69" s="173"/>
      <c r="D69" s="147"/>
      <c r="E69" s="95"/>
      <c r="F69" s="162"/>
      <c r="G69" s="183"/>
    </row>
    <row r="70" spans="1:7" ht="26.25" customHeight="1" x14ac:dyDescent="0.4">
      <c r="A70" s="162"/>
      <c r="B70" s="162"/>
      <c r="C70" s="173" t="s">
        <v>94</v>
      </c>
      <c r="D70" s="184"/>
      <c r="E70" s="185">
        <f>AVERAGE(E59:E68)</f>
        <v>20.945633257271176</v>
      </c>
      <c r="F70" s="185">
        <f>AVERAGE(F59:F68)</f>
        <v>100.00000000000001</v>
      </c>
      <c r="G70" s="186">
        <f>AVERAGE(G59:G68)</f>
        <v>104.7281662863559</v>
      </c>
    </row>
    <row r="71" spans="1:7" ht="26.25" customHeight="1" x14ac:dyDescent="0.4">
      <c r="A71" s="162"/>
      <c r="B71" s="162"/>
      <c r="C71" s="173"/>
      <c r="D71" s="184"/>
      <c r="E71" s="187">
        <f>STDEV(E59:E68)/E70</f>
        <v>6.9991662242065017E-2</v>
      </c>
      <c r="F71" s="187">
        <f>STDEV(F59:F68)/F70</f>
        <v>6.9991662242065045E-2</v>
      </c>
      <c r="G71" s="188">
        <f>STDEV(G59:G68)/G70</f>
        <v>6.9991662242065017E-2</v>
      </c>
    </row>
    <row r="72" spans="1:7" ht="27" customHeight="1" thickBot="1" x14ac:dyDescent="0.45">
      <c r="A72" s="162"/>
      <c r="B72" s="162"/>
      <c r="C72" s="178"/>
      <c r="D72" s="189"/>
      <c r="E72" s="190">
        <f>COUNT(E59:E68)</f>
        <v>10</v>
      </c>
      <c r="F72" s="190">
        <f>COUNT(F59:F68)</f>
        <v>10</v>
      </c>
      <c r="G72" s="191">
        <f>COUNT(G59:G68)</f>
        <v>10</v>
      </c>
    </row>
    <row r="73" spans="1:7" ht="18.75" customHeight="1" x14ac:dyDescent="0.3">
      <c r="A73" s="162"/>
      <c r="B73" s="95"/>
      <c r="C73" s="95"/>
      <c r="D73" s="144"/>
      <c r="E73" s="184"/>
      <c r="F73" s="95"/>
      <c r="G73" s="192"/>
    </row>
    <row r="74" spans="1:7" ht="18.75" customHeight="1" x14ac:dyDescent="0.3">
      <c r="A74" s="106" t="s">
        <v>95</v>
      </c>
      <c r="B74" s="107" t="s">
        <v>96</v>
      </c>
      <c r="C74" s="527" t="str">
        <f>B20</f>
        <v>Tadalafil 20mg</v>
      </c>
      <c r="D74" s="527"/>
      <c r="E74" s="95" t="s">
        <v>97</v>
      </c>
      <c r="F74" s="95"/>
      <c r="G74" s="193">
        <f>G70</f>
        <v>104.7281662863559</v>
      </c>
    </row>
    <row r="75" spans="1:7" ht="18.75" customHeight="1" x14ac:dyDescent="0.3">
      <c r="A75" s="106"/>
      <c r="B75" s="107"/>
      <c r="C75" s="110"/>
      <c r="D75" s="110"/>
      <c r="E75" s="95"/>
      <c r="F75" s="95"/>
      <c r="G75" s="194"/>
    </row>
    <row r="76" spans="1:7" ht="18.75" customHeight="1" x14ac:dyDescent="0.3">
      <c r="A76" s="96" t="s">
        <v>1</v>
      </c>
      <c r="B76" s="105" t="s">
        <v>98</v>
      </c>
      <c r="C76" s="95"/>
      <c r="D76" s="95"/>
      <c r="E76" s="95"/>
      <c r="F76" s="95"/>
      <c r="G76" s="162"/>
    </row>
    <row r="77" spans="1:7" ht="18.75" customHeight="1" x14ac:dyDescent="0.3">
      <c r="A77" s="96"/>
      <c r="B77" s="159"/>
      <c r="C77" s="95"/>
      <c r="D77" s="95"/>
      <c r="E77" s="95"/>
      <c r="F77" s="95"/>
      <c r="G77" s="162"/>
    </row>
    <row r="78" spans="1:7" ht="18.75" customHeight="1" x14ac:dyDescent="0.3">
      <c r="A78" s="162"/>
      <c r="B78" s="528" t="s">
        <v>99</v>
      </c>
      <c r="C78" s="529"/>
      <c r="D78" s="95"/>
      <c r="E78" s="162"/>
      <c r="F78" s="162"/>
      <c r="G78" s="162"/>
    </row>
    <row r="79" spans="1:7" ht="18.75" customHeight="1" x14ac:dyDescent="0.3">
      <c r="A79" s="162"/>
      <c r="B79" s="195" t="s">
        <v>43</v>
      </c>
      <c r="C79" s="196">
        <f>G70</f>
        <v>104.7281662863559</v>
      </c>
      <c r="D79" s="95"/>
      <c r="E79" s="162"/>
      <c r="F79" s="162"/>
      <c r="G79" s="162"/>
    </row>
    <row r="80" spans="1:7" ht="26.25" customHeight="1" x14ac:dyDescent="0.4">
      <c r="A80" s="162"/>
      <c r="B80" s="195" t="s">
        <v>100</v>
      </c>
      <c r="C80" s="197">
        <v>2.4</v>
      </c>
      <c r="D80" s="95"/>
      <c r="E80" s="162"/>
      <c r="F80" s="162"/>
      <c r="G80" s="162"/>
    </row>
    <row r="81" spans="1:7" ht="18.75" customHeight="1" x14ac:dyDescent="0.3">
      <c r="A81" s="162"/>
      <c r="B81" s="195" t="s">
        <v>101</v>
      </c>
      <c r="C81" s="196">
        <f>STDEV(G59:G68)</f>
        <v>7.3300984419454425</v>
      </c>
      <c r="D81" s="95"/>
      <c r="E81" s="162"/>
      <c r="F81" s="162"/>
      <c r="G81" s="162"/>
    </row>
    <row r="82" spans="1:7" ht="18.75" customHeight="1" x14ac:dyDescent="0.3">
      <c r="A82" s="162"/>
      <c r="B82" s="195" t="s">
        <v>102</v>
      </c>
      <c r="C82" s="196">
        <f>IF(OR(G70&lt;98.5,G70&gt;101.5),(IF(98.5&gt;G70,98.5,101.5)),C79)</f>
        <v>101.5</v>
      </c>
      <c r="D82" s="95"/>
      <c r="E82" s="162"/>
      <c r="F82" s="162">
        <v>20.427287772515857</v>
      </c>
      <c r="G82" s="162"/>
    </row>
    <row r="83" spans="1:7" ht="18.75" customHeight="1" x14ac:dyDescent="0.35">
      <c r="A83" s="162"/>
      <c r="B83" s="195" t="s">
        <v>149</v>
      </c>
      <c r="C83" s="198">
        <f>ABS(C82-C79)+(C80*C81)</f>
        <v>20.820402547024962</v>
      </c>
      <c r="D83" s="95"/>
      <c r="E83" s="162"/>
      <c r="F83" s="162"/>
      <c r="G83" s="162"/>
    </row>
    <row r="84" spans="1:7" ht="18.75" customHeight="1" x14ac:dyDescent="0.3">
      <c r="A84" s="160"/>
      <c r="B84" s="199"/>
      <c r="C84" s="95"/>
      <c r="D84" s="95"/>
      <c r="E84" s="95"/>
      <c r="F84" s="95"/>
      <c r="G84" s="95"/>
    </row>
    <row r="85" spans="1:7" ht="19.5" customHeight="1" thickBot="1" x14ac:dyDescent="0.35">
      <c r="A85" s="200"/>
      <c r="B85" s="200"/>
      <c r="C85" s="201"/>
      <c r="D85" s="201"/>
      <c r="E85" s="201"/>
      <c r="F85" s="201"/>
      <c r="G85" s="201"/>
    </row>
    <row r="86" spans="1:7" ht="18.75" customHeight="1" x14ac:dyDescent="0.3">
      <c r="A86" s="95"/>
      <c r="B86" s="530" t="s">
        <v>26</v>
      </c>
      <c r="C86" s="530"/>
      <c r="D86" s="95"/>
      <c r="E86" s="202" t="s">
        <v>27</v>
      </c>
      <c r="F86" s="203"/>
      <c r="G86" s="202" t="s">
        <v>28</v>
      </c>
    </row>
    <row r="87" spans="1:7" ht="60" customHeight="1" x14ac:dyDescent="0.3">
      <c r="A87" s="106" t="s">
        <v>29</v>
      </c>
      <c r="B87" s="204"/>
      <c r="C87" s="204" t="s">
        <v>137</v>
      </c>
      <c r="D87" s="95"/>
      <c r="E87" s="204" t="s">
        <v>138</v>
      </c>
      <c r="F87" s="95"/>
      <c r="G87" s="204"/>
    </row>
    <row r="88" spans="1:7" ht="60" customHeight="1" x14ac:dyDescent="0.3">
      <c r="A88" s="106" t="s">
        <v>30</v>
      </c>
      <c r="B88" s="205"/>
      <c r="C88" s="205"/>
      <c r="D88" s="95"/>
      <c r="E88" s="205"/>
      <c r="F88" s="95"/>
      <c r="G88" s="206"/>
    </row>
    <row r="205" spans="1:1" x14ac:dyDescent="0.2">
      <c r="A205" s="94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6:C86"/>
  </mergeCells>
  <conditionalFormatting sqref="D51">
    <cfRule type="cellIs" dxfId="2" priority="2" operator="greaterThan">
      <formula>0.02</formula>
    </cfRule>
  </conditionalFormatting>
  <conditionalFormatting sqref="C83">
    <cfRule type="cellIs" dxfId="1" priority="1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view="pageBreakPreview" topLeftCell="A29" zoomScale="60" zoomScaleNormal="70" workbookViewId="0">
      <selection activeCell="C152" sqref="C152"/>
    </sheetView>
  </sheetViews>
  <sheetFormatPr defaultRowHeight="12.75" x14ac:dyDescent="0.2"/>
  <cols>
    <col min="1" max="1" width="57.28515625" style="369" customWidth="1"/>
    <col min="2" max="2" width="35.7109375" style="369" customWidth="1"/>
    <col min="3" max="3" width="46.5703125" style="369" customWidth="1"/>
    <col min="4" max="4" width="21.7109375" style="369" customWidth="1"/>
    <col min="5" max="5" width="22.7109375" style="369" customWidth="1"/>
    <col min="6" max="6" width="21.7109375" style="369" customWidth="1"/>
    <col min="7" max="7" width="27.42578125" style="369" customWidth="1"/>
    <col min="8" max="16384" width="9.140625" style="369"/>
  </cols>
  <sheetData>
    <row r="1" spans="1:7" ht="14.25" customHeight="1" x14ac:dyDescent="0.2">
      <c r="A1" s="556" t="s">
        <v>45</v>
      </c>
      <c r="B1" s="556"/>
      <c r="C1" s="556"/>
      <c r="D1" s="556"/>
      <c r="E1" s="556"/>
      <c r="F1" s="556"/>
      <c r="G1" s="556"/>
    </row>
    <row r="2" spans="1:7" ht="14.25" customHeight="1" x14ac:dyDescent="0.2">
      <c r="A2" s="556"/>
      <c r="B2" s="556"/>
      <c r="C2" s="556"/>
      <c r="D2" s="556"/>
      <c r="E2" s="556"/>
      <c r="F2" s="556"/>
      <c r="G2" s="556"/>
    </row>
    <row r="3" spans="1:7" ht="14.25" customHeight="1" x14ac:dyDescent="0.2">
      <c r="A3" s="556"/>
      <c r="B3" s="556"/>
      <c r="C3" s="556"/>
      <c r="D3" s="556"/>
      <c r="E3" s="556"/>
      <c r="F3" s="556"/>
      <c r="G3" s="556"/>
    </row>
    <row r="4" spans="1:7" ht="14.25" customHeight="1" x14ac:dyDescent="0.2">
      <c r="A4" s="556"/>
      <c r="B4" s="556"/>
      <c r="C4" s="556"/>
      <c r="D4" s="556"/>
      <c r="E4" s="556"/>
      <c r="F4" s="556"/>
      <c r="G4" s="556"/>
    </row>
    <row r="5" spans="1:7" ht="14.25" customHeight="1" x14ac:dyDescent="0.2">
      <c r="A5" s="556"/>
      <c r="B5" s="556"/>
      <c r="C5" s="556"/>
      <c r="D5" s="556"/>
      <c r="E5" s="556"/>
      <c r="F5" s="556"/>
      <c r="G5" s="556"/>
    </row>
    <row r="6" spans="1:7" ht="14.25" customHeight="1" x14ac:dyDescent="0.2">
      <c r="A6" s="556"/>
      <c r="B6" s="556"/>
      <c r="C6" s="556"/>
      <c r="D6" s="556"/>
      <c r="E6" s="556"/>
      <c r="F6" s="556"/>
      <c r="G6" s="556"/>
    </row>
    <row r="7" spans="1:7" ht="14.25" customHeight="1" x14ac:dyDescent="0.2">
      <c r="A7" s="556"/>
      <c r="B7" s="556"/>
      <c r="C7" s="556"/>
      <c r="D7" s="556"/>
      <c r="E7" s="556"/>
      <c r="F7" s="556"/>
      <c r="G7" s="556"/>
    </row>
    <row r="8" spans="1:7" ht="14.25" customHeight="1" x14ac:dyDescent="0.2">
      <c r="A8" s="557" t="s">
        <v>46</v>
      </c>
      <c r="B8" s="557"/>
      <c r="C8" s="557"/>
      <c r="D8" s="557"/>
      <c r="E8" s="557"/>
      <c r="F8" s="557"/>
      <c r="G8" s="557"/>
    </row>
    <row r="9" spans="1:7" ht="14.25" customHeight="1" x14ac:dyDescent="0.2">
      <c r="A9" s="557"/>
      <c r="B9" s="557"/>
      <c r="C9" s="557"/>
      <c r="D9" s="557"/>
      <c r="E9" s="557"/>
      <c r="F9" s="557"/>
      <c r="G9" s="557"/>
    </row>
    <row r="10" spans="1:7" ht="14.25" customHeight="1" x14ac:dyDescent="0.2">
      <c r="A10" s="557"/>
      <c r="B10" s="557"/>
      <c r="C10" s="557"/>
      <c r="D10" s="557"/>
      <c r="E10" s="557"/>
      <c r="F10" s="557"/>
      <c r="G10" s="557"/>
    </row>
    <row r="11" spans="1:7" ht="14.25" customHeight="1" x14ac:dyDescent="0.2">
      <c r="A11" s="557"/>
      <c r="B11" s="557"/>
      <c r="C11" s="557"/>
      <c r="D11" s="557"/>
      <c r="E11" s="557"/>
      <c r="F11" s="557"/>
      <c r="G11" s="557"/>
    </row>
    <row r="12" spans="1:7" ht="14.25" customHeight="1" x14ac:dyDescent="0.2">
      <c r="A12" s="557"/>
      <c r="B12" s="557"/>
      <c r="C12" s="557"/>
      <c r="D12" s="557"/>
      <c r="E12" s="557"/>
      <c r="F12" s="557"/>
      <c r="G12" s="557"/>
    </row>
    <row r="13" spans="1:7" ht="14.25" customHeight="1" x14ac:dyDescent="0.2">
      <c r="A13" s="557"/>
      <c r="B13" s="557"/>
      <c r="C13" s="557"/>
      <c r="D13" s="557"/>
      <c r="E13" s="557"/>
      <c r="F13" s="557"/>
      <c r="G13" s="557"/>
    </row>
    <row r="14" spans="1:7" ht="14.25" customHeight="1" x14ac:dyDescent="0.2">
      <c r="A14" s="557"/>
      <c r="B14" s="557"/>
      <c r="C14" s="557"/>
      <c r="D14" s="557"/>
      <c r="E14" s="557"/>
      <c r="F14" s="557"/>
      <c r="G14" s="557"/>
    </row>
    <row r="15" spans="1:7" ht="19.5" customHeight="1" thickBot="1" x14ac:dyDescent="0.35">
      <c r="A15" s="370"/>
      <c r="B15" s="370"/>
      <c r="C15" s="370"/>
      <c r="D15" s="370"/>
      <c r="E15" s="370"/>
      <c r="F15" s="370"/>
      <c r="G15" s="370"/>
    </row>
    <row r="16" spans="1:7" ht="19.5" customHeight="1" thickBot="1" x14ac:dyDescent="0.35">
      <c r="A16" s="558" t="s">
        <v>31</v>
      </c>
      <c r="B16" s="559"/>
      <c r="C16" s="559"/>
      <c r="D16" s="559"/>
      <c r="E16" s="559"/>
      <c r="F16" s="559"/>
      <c r="G16" s="559"/>
    </row>
    <row r="17" spans="1:7" ht="18.75" customHeight="1" x14ac:dyDescent="0.3">
      <c r="A17" s="371" t="s">
        <v>47</v>
      </c>
      <c r="B17" s="371"/>
      <c r="C17" s="370"/>
      <c r="D17" s="370"/>
      <c r="E17" s="370"/>
      <c r="F17" s="370"/>
      <c r="G17" s="370"/>
    </row>
    <row r="18" spans="1:7" ht="26.25" customHeight="1" x14ac:dyDescent="0.4">
      <c r="A18" s="372" t="s">
        <v>33</v>
      </c>
      <c r="B18" s="560" t="s">
        <v>5</v>
      </c>
      <c r="C18" s="560"/>
      <c r="D18" s="373"/>
      <c r="E18" s="373"/>
      <c r="F18" s="370"/>
      <c r="G18" s="370"/>
    </row>
    <row r="19" spans="1:7" ht="26.25" customHeight="1" x14ac:dyDescent="0.4">
      <c r="A19" s="372" t="s">
        <v>34</v>
      </c>
      <c r="B19" s="49" t="s">
        <v>7</v>
      </c>
      <c r="C19" s="48">
        <v>12</v>
      </c>
      <c r="D19" s="370"/>
      <c r="E19" s="370"/>
      <c r="F19" s="370"/>
      <c r="G19" s="370"/>
    </row>
    <row r="20" spans="1:7" ht="26.25" customHeight="1" x14ac:dyDescent="0.4">
      <c r="A20" s="372" t="s">
        <v>35</v>
      </c>
      <c r="B20" s="561" t="s">
        <v>9</v>
      </c>
      <c r="C20" s="561"/>
      <c r="D20" s="370"/>
      <c r="E20" s="370"/>
      <c r="F20" s="370"/>
      <c r="G20" s="370"/>
    </row>
    <row r="21" spans="1:7" ht="26.25" customHeight="1" x14ac:dyDescent="0.4">
      <c r="A21" s="372" t="s">
        <v>36</v>
      </c>
      <c r="B21" s="47" t="s">
        <v>11</v>
      </c>
      <c r="C21" s="47"/>
      <c r="D21" s="374"/>
      <c r="E21" s="374"/>
      <c r="F21" s="374"/>
      <c r="G21" s="374"/>
    </row>
    <row r="22" spans="1:7" ht="26.25" customHeight="1" x14ac:dyDescent="0.4">
      <c r="A22" s="372" t="s">
        <v>37</v>
      </c>
      <c r="B22" s="375">
        <v>42415</v>
      </c>
      <c r="C22" s="376"/>
      <c r="D22" s="370"/>
      <c r="E22" s="370"/>
      <c r="F22" s="370"/>
      <c r="G22" s="370"/>
    </row>
    <row r="23" spans="1:7" ht="26.25" customHeight="1" x14ac:dyDescent="0.4">
      <c r="A23" s="372" t="s">
        <v>38</v>
      </c>
      <c r="B23" s="375">
        <v>42416</v>
      </c>
      <c r="C23" s="376"/>
      <c r="D23" s="370"/>
      <c r="E23" s="370"/>
      <c r="F23" s="370"/>
      <c r="G23" s="370"/>
    </row>
    <row r="24" spans="1:7" ht="18.75" customHeight="1" x14ac:dyDescent="0.3">
      <c r="A24" s="372"/>
      <c r="B24" s="377"/>
      <c r="C24" s="370"/>
      <c r="D24" s="370"/>
      <c r="E24" s="370"/>
      <c r="F24" s="370"/>
      <c r="G24" s="370"/>
    </row>
    <row r="25" spans="1:7" ht="18.75" customHeight="1" x14ac:dyDescent="0.3">
      <c r="A25" s="378" t="s">
        <v>1</v>
      </c>
      <c r="B25" s="377"/>
      <c r="C25" s="370"/>
      <c r="D25" s="370"/>
      <c r="E25" s="370"/>
      <c r="F25" s="370"/>
      <c r="G25" s="370"/>
    </row>
    <row r="26" spans="1:7" ht="26.25" customHeight="1" x14ac:dyDescent="0.4">
      <c r="A26" s="379" t="s">
        <v>4</v>
      </c>
      <c r="B26" s="542" t="s">
        <v>136</v>
      </c>
      <c r="C26" s="542"/>
      <c r="D26" s="370"/>
      <c r="E26" s="370"/>
      <c r="F26" s="370"/>
      <c r="G26" s="370"/>
    </row>
    <row r="27" spans="1:7" ht="26.25" customHeight="1" x14ac:dyDescent="0.4">
      <c r="A27" s="380" t="s">
        <v>48</v>
      </c>
      <c r="B27" s="531" t="s">
        <v>140</v>
      </c>
      <c r="C27" s="531"/>
      <c r="D27" s="370"/>
      <c r="E27" s="370"/>
      <c r="F27" s="370"/>
      <c r="G27" s="370"/>
    </row>
    <row r="28" spans="1:7" ht="27" customHeight="1" thickBot="1" x14ac:dyDescent="0.45">
      <c r="A28" s="380" t="s">
        <v>6</v>
      </c>
      <c r="B28" s="108">
        <v>99.4</v>
      </c>
      <c r="C28" s="95"/>
      <c r="D28" s="370"/>
      <c r="E28" s="370"/>
      <c r="F28" s="370"/>
      <c r="G28" s="370"/>
    </row>
    <row r="29" spans="1:7" ht="27" customHeight="1" thickBot="1" x14ac:dyDescent="0.45">
      <c r="A29" s="380" t="s">
        <v>49</v>
      </c>
      <c r="B29" s="382">
        <v>0</v>
      </c>
      <c r="C29" s="551" t="s">
        <v>50</v>
      </c>
      <c r="D29" s="552"/>
      <c r="E29" s="552"/>
      <c r="F29" s="552"/>
      <c r="G29" s="553"/>
    </row>
    <row r="30" spans="1:7" ht="19.5" customHeight="1" thickBot="1" x14ac:dyDescent="0.35">
      <c r="A30" s="380" t="s">
        <v>51</v>
      </c>
      <c r="B30" s="383">
        <f>B28-B29</f>
        <v>99.4</v>
      </c>
      <c r="C30" s="384"/>
      <c r="D30" s="384"/>
      <c r="E30" s="384"/>
      <c r="F30" s="384"/>
      <c r="G30" s="384"/>
    </row>
    <row r="31" spans="1:7" ht="27" customHeight="1" thickBot="1" x14ac:dyDescent="0.45">
      <c r="A31" s="380" t="s">
        <v>52</v>
      </c>
      <c r="B31" s="385">
        <v>1</v>
      </c>
      <c r="C31" s="551" t="s">
        <v>53</v>
      </c>
      <c r="D31" s="552"/>
      <c r="E31" s="552"/>
      <c r="F31" s="552"/>
      <c r="G31" s="553"/>
    </row>
    <row r="32" spans="1:7" ht="27" customHeight="1" thickBot="1" x14ac:dyDescent="0.45">
      <c r="A32" s="380" t="s">
        <v>54</v>
      </c>
      <c r="B32" s="385">
        <v>1</v>
      </c>
      <c r="C32" s="551" t="s">
        <v>55</v>
      </c>
      <c r="D32" s="552"/>
      <c r="E32" s="552"/>
      <c r="F32" s="552"/>
      <c r="G32" s="553"/>
    </row>
    <row r="33" spans="1:7" ht="18.75" customHeight="1" x14ac:dyDescent="0.3">
      <c r="A33" s="380"/>
      <c r="B33" s="386"/>
      <c r="C33" s="387"/>
      <c r="D33" s="387"/>
      <c r="E33" s="387"/>
      <c r="F33" s="387"/>
      <c r="G33" s="387"/>
    </row>
    <row r="34" spans="1:7" ht="18.75" customHeight="1" x14ac:dyDescent="0.3">
      <c r="A34" s="380" t="s">
        <v>56</v>
      </c>
      <c r="B34" s="388">
        <f>B31/B32</f>
        <v>1</v>
      </c>
      <c r="C34" s="370" t="s">
        <v>57</v>
      </c>
      <c r="D34" s="370"/>
      <c r="E34" s="370"/>
      <c r="F34" s="370"/>
      <c r="G34" s="370"/>
    </row>
    <row r="35" spans="1:7" ht="19.5" customHeight="1" thickBot="1" x14ac:dyDescent="0.35">
      <c r="A35" s="380"/>
      <c r="B35" s="383"/>
      <c r="C35" s="389"/>
      <c r="D35" s="389"/>
      <c r="E35" s="389"/>
      <c r="F35" s="389"/>
      <c r="G35" s="370"/>
    </row>
    <row r="36" spans="1:7" ht="27" customHeight="1" thickBot="1" x14ac:dyDescent="0.45">
      <c r="A36" s="390" t="s">
        <v>58</v>
      </c>
      <c r="B36" s="118">
        <v>100</v>
      </c>
      <c r="C36" s="370"/>
      <c r="D36" s="548" t="s">
        <v>59</v>
      </c>
      <c r="E36" s="549"/>
      <c r="F36" s="548" t="s">
        <v>60</v>
      </c>
      <c r="G36" s="549"/>
    </row>
    <row r="37" spans="1:7" ht="26.25" customHeight="1" x14ac:dyDescent="0.4">
      <c r="A37" s="391" t="s">
        <v>61</v>
      </c>
      <c r="B37" s="120">
        <v>3</v>
      </c>
      <c r="C37" s="393" t="s">
        <v>62</v>
      </c>
      <c r="D37" s="394" t="s">
        <v>63</v>
      </c>
      <c r="E37" s="395" t="s">
        <v>64</v>
      </c>
      <c r="F37" s="394" t="s">
        <v>63</v>
      </c>
      <c r="G37" s="396" t="s">
        <v>64</v>
      </c>
    </row>
    <row r="38" spans="1:7" ht="26.25" customHeight="1" x14ac:dyDescent="0.4">
      <c r="A38" s="391" t="s">
        <v>65</v>
      </c>
      <c r="B38" s="120">
        <v>50</v>
      </c>
      <c r="C38" s="397">
        <v>1</v>
      </c>
      <c r="D38" s="126">
        <v>0.4592</v>
      </c>
      <c r="E38" s="399">
        <f>IF(ISBLANK(D38),"-",$D$48/$D$45*D38)</f>
        <v>0.38772289633731899</v>
      </c>
      <c r="F38" s="126">
        <v>0.51900000000000002</v>
      </c>
      <c r="G38" s="400">
        <f>IF(ISBLANK(F38),"-",$D$48/$F$45*F38)</f>
        <v>0.39585503925753152</v>
      </c>
    </row>
    <row r="39" spans="1:7" ht="26.25" customHeight="1" x14ac:dyDescent="0.4">
      <c r="A39" s="391" t="s">
        <v>66</v>
      </c>
      <c r="B39" s="392">
        <v>1</v>
      </c>
      <c r="C39" s="401">
        <v>2</v>
      </c>
      <c r="D39" s="130">
        <v>0.4667</v>
      </c>
      <c r="E39" s="403">
        <f>IF(ISBLANK(D39),"-",$D$48/$D$45*D39)</f>
        <v>0.39405547848568551</v>
      </c>
      <c r="F39" s="130">
        <v>0.51829999999999998</v>
      </c>
      <c r="G39" s="404">
        <f>IF(ISBLANK(F39),"-",$D$48/$F$45*F39)</f>
        <v>0.39532113072674102</v>
      </c>
    </row>
    <row r="40" spans="1:7" ht="26.25" customHeight="1" x14ac:dyDescent="0.4">
      <c r="A40" s="391" t="s">
        <v>67</v>
      </c>
      <c r="B40" s="392">
        <v>1</v>
      </c>
      <c r="C40" s="401">
        <v>3</v>
      </c>
      <c r="D40" s="130">
        <v>0.46700000000000003</v>
      </c>
      <c r="E40" s="403">
        <f>IF(ISBLANK(D40),"-",$D$48/$D$45*D40)</f>
        <v>0.39430878177162015</v>
      </c>
      <c r="F40" s="130">
        <v>0.52380000000000004</v>
      </c>
      <c r="G40" s="404">
        <f>IF(ISBLANK(F40),"-",$D$48/$F$45*F40)</f>
        <v>0.3995161263258093</v>
      </c>
    </row>
    <row r="41" spans="1:7" ht="26.25" customHeight="1" x14ac:dyDescent="0.4">
      <c r="A41" s="391" t="s">
        <v>68</v>
      </c>
      <c r="B41" s="392">
        <v>1</v>
      </c>
      <c r="C41" s="405">
        <v>4</v>
      </c>
      <c r="D41" s="406"/>
      <c r="E41" s="407" t="str">
        <f>IF(ISBLANK(D41),"-",$D$48/$D$45*D41)</f>
        <v>-</v>
      </c>
      <c r="F41" s="406"/>
      <c r="G41" s="408" t="str">
        <f>IF(ISBLANK(F41),"-",$D$48/$F$45*F41)</f>
        <v>-</v>
      </c>
    </row>
    <row r="42" spans="1:7" ht="27" customHeight="1" thickBot="1" x14ac:dyDescent="0.45">
      <c r="A42" s="391" t="s">
        <v>69</v>
      </c>
      <c r="B42" s="392">
        <v>1</v>
      </c>
      <c r="C42" s="409" t="s">
        <v>70</v>
      </c>
      <c r="D42" s="410">
        <f>AVERAGE(D38:D41)</f>
        <v>0.46429999999999999</v>
      </c>
      <c r="E42" s="411">
        <f>AVERAGE(E38:E41)</f>
        <v>0.39202905219820822</v>
      </c>
      <c r="F42" s="410">
        <f>AVERAGE(F38:F41)</f>
        <v>0.52036666666666676</v>
      </c>
      <c r="G42" s="412">
        <f>AVERAGE(G38:G41)</f>
        <v>0.39689743210336065</v>
      </c>
    </row>
    <row r="43" spans="1:7" ht="26.25" customHeight="1" x14ac:dyDescent="0.4">
      <c r="A43" s="391" t="s">
        <v>71</v>
      </c>
      <c r="B43" s="392">
        <v>1</v>
      </c>
      <c r="C43" s="413" t="s">
        <v>72</v>
      </c>
      <c r="D43" s="141">
        <v>23.83</v>
      </c>
      <c r="E43" s="370"/>
      <c r="F43" s="141">
        <v>26.38</v>
      </c>
      <c r="G43" s="370"/>
    </row>
    <row r="44" spans="1:7" ht="26.25" customHeight="1" x14ac:dyDescent="0.4">
      <c r="A44" s="391" t="s">
        <v>73</v>
      </c>
      <c r="B44" s="392">
        <v>1</v>
      </c>
      <c r="C44" s="415" t="s">
        <v>74</v>
      </c>
      <c r="D44" s="416">
        <f>D43*$B$34</f>
        <v>23.83</v>
      </c>
      <c r="E44" s="417"/>
      <c r="F44" s="416">
        <f>F43*$B$34</f>
        <v>26.38</v>
      </c>
      <c r="G44" s="370"/>
    </row>
    <row r="45" spans="1:7" ht="19.5" customHeight="1" thickBot="1" x14ac:dyDescent="0.35">
      <c r="A45" s="391" t="s">
        <v>75</v>
      </c>
      <c r="B45" s="418">
        <f>(B44/B43)*(B42/B41)*(B40/B39)*(B38/B37)*B36</f>
        <v>1666.6666666666667</v>
      </c>
      <c r="C45" s="415" t="s">
        <v>76</v>
      </c>
      <c r="D45" s="419">
        <f>D44*$B$30/100</f>
        <v>23.687019999999997</v>
      </c>
      <c r="E45" s="420"/>
      <c r="F45" s="419">
        <f>F44*$B$30/100</f>
        <v>26.221720000000001</v>
      </c>
      <c r="G45" s="370"/>
    </row>
    <row r="46" spans="1:7" ht="19.5" customHeight="1" thickBot="1" x14ac:dyDescent="0.35">
      <c r="A46" s="543" t="s">
        <v>77</v>
      </c>
      <c r="B46" s="544"/>
      <c r="C46" s="415" t="s">
        <v>78</v>
      </c>
      <c r="D46" s="416">
        <f>D45/$B$45</f>
        <v>1.4212211999999997E-2</v>
      </c>
      <c r="E46" s="420"/>
      <c r="F46" s="421">
        <f>F45/$B$45</f>
        <v>1.5733032000000001E-2</v>
      </c>
      <c r="G46" s="370"/>
    </row>
    <row r="47" spans="1:7" ht="27" customHeight="1" thickBot="1" x14ac:dyDescent="0.45">
      <c r="A47" s="545"/>
      <c r="B47" s="546"/>
      <c r="C47" s="422" t="s">
        <v>79</v>
      </c>
      <c r="D47" s="150">
        <v>1.2E-2</v>
      </c>
      <c r="E47" s="370"/>
      <c r="F47" s="423"/>
      <c r="G47" s="370"/>
    </row>
    <row r="48" spans="1:7" ht="18.75" customHeight="1" x14ac:dyDescent="0.3">
      <c r="A48" s="370"/>
      <c r="B48" s="370"/>
      <c r="C48" s="424" t="s">
        <v>80</v>
      </c>
      <c r="D48" s="419">
        <f>D47*$B$45</f>
        <v>20</v>
      </c>
      <c r="E48" s="370"/>
      <c r="F48" s="423"/>
      <c r="G48" s="370"/>
    </row>
    <row r="49" spans="1:7" ht="19.5" customHeight="1" thickBot="1" x14ac:dyDescent="0.35">
      <c r="A49" s="370"/>
      <c r="B49" s="370"/>
      <c r="C49" s="380" t="s">
        <v>81</v>
      </c>
      <c r="D49" s="425">
        <f>D48/B34</f>
        <v>20</v>
      </c>
      <c r="E49" s="370"/>
      <c r="F49" s="423"/>
      <c r="G49" s="370"/>
    </row>
    <row r="50" spans="1:7" ht="18.75" customHeight="1" x14ac:dyDescent="0.3">
      <c r="A50" s="370"/>
      <c r="B50" s="370"/>
      <c r="C50" s="390" t="s">
        <v>82</v>
      </c>
      <c r="D50" s="426">
        <f>AVERAGE(E38:E41,G38:G41)</f>
        <v>0.39446324215078438</v>
      </c>
      <c r="E50" s="370"/>
      <c r="F50" s="427"/>
      <c r="G50" s="370"/>
    </row>
    <row r="51" spans="1:7" ht="18.75" customHeight="1" x14ac:dyDescent="0.3">
      <c r="A51" s="370"/>
      <c r="B51" s="370"/>
      <c r="C51" s="391" t="s">
        <v>83</v>
      </c>
      <c r="D51" s="428">
        <f>STDEV(E38:E41,G38:G41)/D50</f>
        <v>9.7412876230172224E-3</v>
      </c>
      <c r="E51" s="370"/>
      <c r="F51" s="427"/>
      <c r="G51" s="370"/>
    </row>
    <row r="52" spans="1:7" ht="19.5" customHeight="1" thickBot="1" x14ac:dyDescent="0.35">
      <c r="A52" s="370"/>
      <c r="B52" s="370"/>
      <c r="C52" s="429" t="s">
        <v>20</v>
      </c>
      <c r="D52" s="430">
        <f>COUNT(E38:E41,G38:G41)</f>
        <v>6</v>
      </c>
      <c r="E52" s="370"/>
      <c r="F52" s="427"/>
      <c r="G52" s="370"/>
    </row>
    <row r="53" spans="1:7" ht="18.75" customHeight="1" x14ac:dyDescent="0.3">
      <c r="A53" s="370"/>
      <c r="B53" s="370"/>
      <c r="C53" s="370"/>
      <c r="D53" s="370"/>
      <c r="E53" s="370"/>
      <c r="F53" s="370"/>
      <c r="G53" s="370"/>
    </row>
    <row r="54" spans="1:7" ht="18.75" customHeight="1" x14ac:dyDescent="0.3">
      <c r="A54" s="371" t="s">
        <v>1</v>
      </c>
      <c r="B54" s="431" t="s">
        <v>84</v>
      </c>
      <c r="C54" s="370"/>
      <c r="D54" s="370"/>
      <c r="E54" s="370"/>
      <c r="F54" s="370"/>
      <c r="G54" s="370"/>
    </row>
    <row r="55" spans="1:7" ht="18.75" customHeight="1" x14ac:dyDescent="0.3">
      <c r="A55" s="370" t="s">
        <v>85</v>
      </c>
      <c r="B55" s="432" t="str">
        <f>B21</f>
        <v>Each film coated tablet contains: Tadalafil 20mg</v>
      </c>
      <c r="C55" s="370"/>
      <c r="D55" s="370"/>
      <c r="E55" s="370"/>
      <c r="F55" s="370"/>
      <c r="G55" s="370"/>
    </row>
    <row r="56" spans="1:7" ht="26.25" customHeight="1" x14ac:dyDescent="0.4">
      <c r="A56" s="432" t="s">
        <v>86</v>
      </c>
      <c r="B56" s="381">
        <v>20</v>
      </c>
      <c r="C56" s="370" t="str">
        <f>B20</f>
        <v>Tadalafil 20mg</v>
      </c>
      <c r="D56" s="370"/>
      <c r="E56" s="370"/>
      <c r="F56" s="370"/>
      <c r="G56" s="370"/>
    </row>
    <row r="57" spans="1:7" ht="17.25" customHeight="1" thickBot="1" x14ac:dyDescent="0.35">
      <c r="A57" s="433" t="s">
        <v>87</v>
      </c>
      <c r="B57" s="433">
        <f>[1]Uniformity!C46</f>
        <v>325.27199999999999</v>
      </c>
      <c r="C57" s="433"/>
      <c r="D57" s="434"/>
      <c r="E57" s="434"/>
      <c r="F57" s="434"/>
      <c r="G57" s="434"/>
    </row>
    <row r="58" spans="1:7" ht="57.75" customHeight="1" x14ac:dyDescent="0.4">
      <c r="A58" s="390" t="s">
        <v>88</v>
      </c>
      <c r="B58" s="118">
        <v>100</v>
      </c>
      <c r="C58" s="435" t="s">
        <v>89</v>
      </c>
      <c r="D58" s="436" t="s">
        <v>90</v>
      </c>
      <c r="E58" s="437" t="s">
        <v>91</v>
      </c>
      <c r="F58" s="438" t="s">
        <v>92</v>
      </c>
      <c r="G58" s="439" t="s">
        <v>93</v>
      </c>
    </row>
    <row r="59" spans="1:7" ht="26.25" customHeight="1" x14ac:dyDescent="0.4">
      <c r="A59" s="391" t="s">
        <v>61</v>
      </c>
      <c r="B59" s="120">
        <v>3</v>
      </c>
      <c r="C59" s="440">
        <v>1</v>
      </c>
      <c r="D59" s="169">
        <v>0.43569999999999998</v>
      </c>
      <c r="E59" s="441">
        <f t="shared" ref="E59:E68" si="0">IF(ISBLANK(D59),"-",D59/$D$50*$D$47*$B$67)</f>
        <v>22.090778224321991</v>
      </c>
      <c r="F59" s="442">
        <f t="shared" ref="F59:F68" si="1">IF(ISBLANK(D59),"-",E59/$E$70*100)</f>
        <v>104.99048169835416</v>
      </c>
      <c r="G59" s="443">
        <f t="shared" ref="G59:G68" si="2">IF(ISBLANK(D59),"-",E59/$B$56*100)</f>
        <v>110.45389112160994</v>
      </c>
    </row>
    <row r="60" spans="1:7" ht="26.25" customHeight="1" x14ac:dyDescent="0.4">
      <c r="A60" s="391" t="s">
        <v>65</v>
      </c>
      <c r="B60" s="120">
        <v>50</v>
      </c>
      <c r="C60" s="444">
        <v>2</v>
      </c>
      <c r="D60" s="174">
        <v>0.38190000000000002</v>
      </c>
      <c r="E60" s="445">
        <f t="shared" si="0"/>
        <v>19.363020894809662</v>
      </c>
      <c r="F60" s="446">
        <f t="shared" si="1"/>
        <v>92.026313887081628</v>
      </c>
      <c r="G60" s="447">
        <f t="shared" si="2"/>
        <v>96.815104474048312</v>
      </c>
    </row>
    <row r="61" spans="1:7" ht="26.25" customHeight="1" x14ac:dyDescent="0.4">
      <c r="A61" s="391" t="s">
        <v>66</v>
      </c>
      <c r="B61" s="392">
        <v>1</v>
      </c>
      <c r="C61" s="444">
        <v>3</v>
      </c>
      <c r="D61" s="174">
        <v>0.39900000000000002</v>
      </c>
      <c r="E61" s="445">
        <f t="shared" si="0"/>
        <v>20.230021830398154</v>
      </c>
      <c r="F61" s="446">
        <f t="shared" si="1"/>
        <v>96.146895105906182</v>
      </c>
      <c r="G61" s="447">
        <f t="shared" si="2"/>
        <v>101.15010915199076</v>
      </c>
    </row>
    <row r="62" spans="1:7" ht="26.25" customHeight="1" x14ac:dyDescent="0.4">
      <c r="A62" s="391" t="s">
        <v>67</v>
      </c>
      <c r="B62" s="392">
        <v>1</v>
      </c>
      <c r="C62" s="444">
        <v>4</v>
      </c>
      <c r="D62" s="174">
        <v>0.40910000000000002</v>
      </c>
      <c r="E62" s="445">
        <f t="shared" si="0"/>
        <v>20.742110102295449</v>
      </c>
      <c r="F62" s="446">
        <f t="shared" si="1"/>
        <v>98.580688691293773</v>
      </c>
      <c r="G62" s="447">
        <f t="shared" si="2"/>
        <v>103.71055051147724</v>
      </c>
    </row>
    <row r="63" spans="1:7" ht="26.25" customHeight="1" x14ac:dyDescent="0.4">
      <c r="A63" s="391" t="s">
        <v>68</v>
      </c>
      <c r="B63" s="392">
        <v>1</v>
      </c>
      <c r="C63" s="444">
        <v>5</v>
      </c>
      <c r="D63" s="174">
        <v>0.44259999999999999</v>
      </c>
      <c r="E63" s="445">
        <f t="shared" si="0"/>
        <v>22.440620707103317</v>
      </c>
      <c r="F63" s="446">
        <f t="shared" si="1"/>
        <v>106.65317236559919</v>
      </c>
      <c r="G63" s="447">
        <f t="shared" si="2"/>
        <v>112.20310353551659</v>
      </c>
    </row>
    <row r="64" spans="1:7" ht="26.25" customHeight="1" x14ac:dyDescent="0.4">
      <c r="A64" s="391" t="s">
        <v>69</v>
      </c>
      <c r="B64" s="392">
        <v>1</v>
      </c>
      <c r="C64" s="444">
        <v>6</v>
      </c>
      <c r="D64" s="174">
        <v>0.35899999999999999</v>
      </c>
      <c r="E64" s="445">
        <f t="shared" si="0"/>
        <v>18.201949466448465</v>
      </c>
      <c r="F64" s="446">
        <f t="shared" si="1"/>
        <v>86.508108629123598</v>
      </c>
      <c r="G64" s="447">
        <f t="shared" si="2"/>
        <v>91.009747332242313</v>
      </c>
    </row>
    <row r="65" spans="1:7" ht="26.25" customHeight="1" x14ac:dyDescent="0.4">
      <c r="A65" s="391" t="s">
        <v>71</v>
      </c>
      <c r="B65" s="392">
        <v>1</v>
      </c>
      <c r="C65" s="444">
        <v>7</v>
      </c>
      <c r="D65" s="174">
        <v>0.42949999999999999</v>
      </c>
      <c r="E65" s="445">
        <f t="shared" si="0"/>
        <v>21.776427007909788</v>
      </c>
      <c r="F65" s="446">
        <f t="shared" si="1"/>
        <v>103.49646979445288</v>
      </c>
      <c r="G65" s="447">
        <f t="shared" si="2"/>
        <v>108.88213503954893</v>
      </c>
    </row>
    <row r="66" spans="1:7" ht="26.25" customHeight="1" x14ac:dyDescent="0.4">
      <c r="A66" s="391" t="s">
        <v>73</v>
      </c>
      <c r="B66" s="392">
        <v>1</v>
      </c>
      <c r="C66" s="444">
        <v>8</v>
      </c>
      <c r="D66" s="174">
        <v>0.41299999999999998</v>
      </c>
      <c r="E66" s="445">
        <f t="shared" si="0"/>
        <v>20.939847157780541</v>
      </c>
      <c r="F66" s="446">
        <f t="shared" si="1"/>
        <v>99.520470372780053</v>
      </c>
      <c r="G66" s="447">
        <f t="shared" si="2"/>
        <v>104.6992357889027</v>
      </c>
    </row>
    <row r="67" spans="1:7" ht="27" customHeight="1" thickBot="1" x14ac:dyDescent="0.45">
      <c r="A67" s="391" t="s">
        <v>75</v>
      </c>
      <c r="B67" s="418">
        <f>(B66/B65)*(B64/B63)*(B62/B61)*(B60/B59)*B58</f>
        <v>1666.6666666666667</v>
      </c>
      <c r="C67" s="444">
        <v>9</v>
      </c>
      <c r="D67" s="174">
        <v>0.43709999999999999</v>
      </c>
      <c r="E67" s="445">
        <f t="shared" si="0"/>
        <v>22.161760757060232</v>
      </c>
      <c r="F67" s="446">
        <f t="shared" si="1"/>
        <v>105.32783922504159</v>
      </c>
      <c r="G67" s="447">
        <f t="shared" si="2"/>
        <v>110.80880378530115</v>
      </c>
    </row>
    <row r="68" spans="1:7" ht="27" customHeight="1" thickBot="1" x14ac:dyDescent="0.45">
      <c r="A68" s="543" t="s">
        <v>77</v>
      </c>
      <c r="B68" s="544"/>
      <c r="C68" s="448">
        <v>10</v>
      </c>
      <c r="D68" s="179">
        <v>0.443</v>
      </c>
      <c r="E68" s="449">
        <f t="shared" si="0"/>
        <v>22.460901430742812</v>
      </c>
      <c r="F68" s="450">
        <f t="shared" si="1"/>
        <v>106.74956023036701</v>
      </c>
      <c r="G68" s="451">
        <f t="shared" si="2"/>
        <v>112.30450715371406</v>
      </c>
    </row>
    <row r="69" spans="1:7" ht="19.5" customHeight="1" thickBot="1" x14ac:dyDescent="0.35">
      <c r="A69" s="545"/>
      <c r="B69" s="546"/>
      <c r="C69" s="444"/>
      <c r="D69" s="420"/>
      <c r="E69" s="370"/>
      <c r="F69" s="434"/>
      <c r="G69" s="452"/>
    </row>
    <row r="70" spans="1:7" ht="26.25" customHeight="1" x14ac:dyDescent="0.4">
      <c r="A70" s="434"/>
      <c r="B70" s="434"/>
      <c r="C70" s="444" t="s">
        <v>94</v>
      </c>
      <c r="D70" s="453"/>
      <c r="E70" s="454">
        <f>AVERAGE(E59:E68)</f>
        <v>21.040743757887039</v>
      </c>
      <c r="F70" s="455">
        <f>AVERAGE(F59:F68)</f>
        <v>100.00000000000001</v>
      </c>
      <c r="G70" s="456">
        <f>AVERAGE(G59:G68)</f>
        <v>105.2037187894352</v>
      </c>
    </row>
    <row r="71" spans="1:7" ht="26.25" customHeight="1" x14ac:dyDescent="0.4">
      <c r="A71" s="434"/>
      <c r="B71" s="434"/>
      <c r="C71" s="444"/>
      <c r="D71" s="453"/>
      <c r="E71" s="457">
        <f>STDEV(E59:E68)/E70</f>
        <v>6.8153336823250962E-2</v>
      </c>
      <c r="F71" s="457">
        <f>STDEV(F59:F68)/F70</f>
        <v>6.8153336823250976E-2</v>
      </c>
      <c r="G71" s="458">
        <f>STDEV(G59:G68)/G70</f>
        <v>6.8153336823250962E-2</v>
      </c>
    </row>
    <row r="72" spans="1:7" ht="27" customHeight="1" thickBot="1" x14ac:dyDescent="0.45">
      <c r="A72" s="434"/>
      <c r="B72" s="434"/>
      <c r="C72" s="448"/>
      <c r="D72" s="459"/>
      <c r="E72" s="460">
        <f>COUNT(E59:E68)</f>
        <v>10</v>
      </c>
      <c r="F72" s="460">
        <f>COUNT(F59:F68)</f>
        <v>10</v>
      </c>
      <c r="G72" s="461">
        <f>COUNT(G59:G68)</f>
        <v>10</v>
      </c>
    </row>
    <row r="73" spans="1:7" ht="18.75" customHeight="1" x14ac:dyDescent="0.3">
      <c r="A73" s="434"/>
      <c r="B73" s="370"/>
      <c r="C73" s="370"/>
      <c r="D73" s="417"/>
      <c r="E73" s="453"/>
      <c r="F73" s="370"/>
      <c r="G73" s="462"/>
    </row>
    <row r="74" spans="1:7" ht="18.75" customHeight="1" x14ac:dyDescent="0.3">
      <c r="A74" s="379" t="s">
        <v>95</v>
      </c>
      <c r="B74" s="380" t="s">
        <v>96</v>
      </c>
      <c r="C74" s="547" t="str">
        <f>B20</f>
        <v>Tadalafil 20mg</v>
      </c>
      <c r="D74" s="547"/>
      <c r="E74" s="370" t="s">
        <v>97</v>
      </c>
      <c r="F74" s="370"/>
      <c r="G74" s="463">
        <f>G70</f>
        <v>105.2037187894352</v>
      </c>
    </row>
    <row r="75" spans="1:7" ht="18.75" customHeight="1" x14ac:dyDescent="0.3">
      <c r="A75" s="379"/>
      <c r="B75" s="380"/>
      <c r="C75" s="383"/>
      <c r="D75" s="383"/>
      <c r="E75" s="370"/>
      <c r="F75" s="370"/>
      <c r="G75" s="464"/>
    </row>
    <row r="76" spans="1:7" ht="18.75" customHeight="1" x14ac:dyDescent="0.3">
      <c r="A76" s="371" t="s">
        <v>1</v>
      </c>
      <c r="B76" s="378" t="s">
        <v>98</v>
      </c>
      <c r="C76" s="370"/>
      <c r="D76" s="370"/>
      <c r="E76" s="370"/>
      <c r="F76" s="370"/>
      <c r="G76" s="434"/>
    </row>
    <row r="77" spans="1:7" ht="18.75" customHeight="1" x14ac:dyDescent="0.3">
      <c r="A77" s="371"/>
      <c r="B77" s="431"/>
      <c r="C77" s="370"/>
      <c r="D77" s="370"/>
      <c r="E77" s="370"/>
      <c r="F77" s="370"/>
      <c r="G77" s="434"/>
    </row>
    <row r="78" spans="1:7" ht="18.75" customHeight="1" x14ac:dyDescent="0.3">
      <c r="A78" s="434"/>
      <c r="B78" s="554" t="s">
        <v>99</v>
      </c>
      <c r="C78" s="555"/>
      <c r="D78" s="370"/>
      <c r="E78" s="434"/>
      <c r="F78" s="434"/>
      <c r="G78" s="434"/>
    </row>
    <row r="79" spans="1:7" ht="18.75" customHeight="1" x14ac:dyDescent="0.3">
      <c r="A79" s="434"/>
      <c r="B79" s="465" t="s">
        <v>43</v>
      </c>
      <c r="C79" s="466">
        <f>G70</f>
        <v>105.2037187894352</v>
      </c>
      <c r="D79" s="370"/>
      <c r="E79" s="434"/>
      <c r="F79" s="434"/>
      <c r="G79" s="434"/>
    </row>
    <row r="80" spans="1:7" ht="26.25" customHeight="1" x14ac:dyDescent="0.4">
      <c r="A80" s="434"/>
      <c r="B80" s="465" t="s">
        <v>100</v>
      </c>
      <c r="C80" s="467">
        <v>2.4</v>
      </c>
      <c r="D80" s="370"/>
      <c r="E80" s="434"/>
      <c r="F80" s="434"/>
      <c r="G80" s="434"/>
    </row>
    <row r="81" spans="1:7" ht="18.75" customHeight="1" x14ac:dyDescent="0.3">
      <c r="A81" s="434"/>
      <c r="B81" s="465" t="s">
        <v>101</v>
      </c>
      <c r="C81" s="466">
        <f>STDEV(G59:G68)</f>
        <v>7.1699844817149536</v>
      </c>
      <c r="D81" s="370"/>
      <c r="E81" s="434"/>
      <c r="F81" s="434"/>
      <c r="G81" s="434"/>
    </row>
    <row r="82" spans="1:7" ht="18.75" customHeight="1" x14ac:dyDescent="0.3">
      <c r="A82" s="434"/>
      <c r="B82" s="465" t="s">
        <v>102</v>
      </c>
      <c r="C82" s="466">
        <f>IF(OR(G70&lt;98.5,G70&gt;101.5),(IF(98.5&gt;G70,98.5,101.5)),C79)</f>
        <v>101.5</v>
      </c>
      <c r="D82" s="370"/>
      <c r="E82" s="434"/>
      <c r="F82" s="434"/>
      <c r="G82" s="434"/>
    </row>
    <row r="83" spans="1:7" ht="18.75" customHeight="1" x14ac:dyDescent="0.3">
      <c r="A83" s="434"/>
      <c r="B83" s="465" t="s">
        <v>103</v>
      </c>
      <c r="C83" s="468">
        <f>ABS(C82-C79)+(C80*C81)</f>
        <v>20.911681545551087</v>
      </c>
      <c r="D83" s="370"/>
      <c r="E83" s="434"/>
      <c r="F83" s="434"/>
      <c r="G83" s="434"/>
    </row>
    <row r="84" spans="1:7" ht="18.75" customHeight="1" x14ac:dyDescent="0.3">
      <c r="A84" s="432"/>
      <c r="B84" s="469"/>
      <c r="C84" s="370"/>
      <c r="D84" s="370"/>
      <c r="E84" s="370"/>
      <c r="F84" s="370"/>
      <c r="G84" s="370"/>
    </row>
    <row r="85" spans="1:7" ht="18.75" customHeight="1" x14ac:dyDescent="0.3">
      <c r="A85" s="378" t="s">
        <v>1</v>
      </c>
      <c r="B85" s="377"/>
      <c r="C85" s="370"/>
      <c r="D85" s="370"/>
      <c r="E85" s="370"/>
      <c r="F85" s="370"/>
      <c r="G85" s="370"/>
    </row>
    <row r="86" spans="1:7" ht="26.25" customHeight="1" x14ac:dyDescent="0.4">
      <c r="A86" s="379" t="s">
        <v>4</v>
      </c>
      <c r="B86" s="542" t="s">
        <v>136</v>
      </c>
      <c r="C86" s="542"/>
      <c r="D86" s="370"/>
      <c r="E86" s="370"/>
      <c r="F86" s="370"/>
      <c r="G86" s="370"/>
    </row>
    <row r="87" spans="1:7" ht="26.25" customHeight="1" x14ac:dyDescent="0.4">
      <c r="A87" s="380" t="s">
        <v>48</v>
      </c>
      <c r="B87" s="531" t="s">
        <v>140</v>
      </c>
      <c r="C87" s="531"/>
      <c r="D87" s="370"/>
      <c r="E87" s="370"/>
      <c r="F87" s="370"/>
      <c r="G87" s="370"/>
    </row>
    <row r="88" spans="1:7" ht="27" customHeight="1" thickBot="1" x14ac:dyDescent="0.45">
      <c r="A88" s="380" t="s">
        <v>6</v>
      </c>
      <c r="B88" s="108">
        <v>99.4</v>
      </c>
      <c r="C88" s="95"/>
      <c r="D88" s="370"/>
      <c r="E88" s="370"/>
      <c r="F88" s="370"/>
      <c r="G88" s="370"/>
    </row>
    <row r="89" spans="1:7" ht="27" customHeight="1" thickBot="1" x14ac:dyDescent="0.45">
      <c r="A89" s="380" t="s">
        <v>49</v>
      </c>
      <c r="B89" s="382">
        <v>0</v>
      </c>
      <c r="C89" s="551" t="s">
        <v>50</v>
      </c>
      <c r="D89" s="552"/>
      <c r="E89" s="552"/>
      <c r="F89" s="552"/>
      <c r="G89" s="553"/>
    </row>
    <row r="90" spans="1:7" ht="19.5" customHeight="1" thickBot="1" x14ac:dyDescent="0.35">
      <c r="A90" s="380" t="s">
        <v>51</v>
      </c>
      <c r="B90" s="383">
        <f>B88-B89</f>
        <v>99.4</v>
      </c>
      <c r="C90" s="384"/>
      <c r="D90" s="384"/>
      <c r="E90" s="384"/>
      <c r="F90" s="384"/>
      <c r="G90" s="384"/>
    </row>
    <row r="91" spans="1:7" ht="27" customHeight="1" thickBot="1" x14ac:dyDescent="0.45">
      <c r="A91" s="380" t="s">
        <v>52</v>
      </c>
      <c r="B91" s="385">
        <v>1</v>
      </c>
      <c r="C91" s="551" t="s">
        <v>53</v>
      </c>
      <c r="D91" s="552"/>
      <c r="E91" s="552"/>
      <c r="F91" s="552"/>
      <c r="G91" s="553"/>
    </row>
    <row r="92" spans="1:7" ht="27" customHeight="1" thickBot="1" x14ac:dyDescent="0.45">
      <c r="A92" s="380" t="s">
        <v>54</v>
      </c>
      <c r="B92" s="385">
        <v>1</v>
      </c>
      <c r="C92" s="551" t="s">
        <v>55</v>
      </c>
      <c r="D92" s="552"/>
      <c r="E92" s="552"/>
      <c r="F92" s="552"/>
      <c r="G92" s="553"/>
    </row>
    <row r="93" spans="1:7" ht="18.75" customHeight="1" x14ac:dyDescent="0.3">
      <c r="A93" s="380"/>
      <c r="B93" s="386"/>
      <c r="C93" s="387"/>
      <c r="D93" s="387"/>
      <c r="E93" s="387"/>
      <c r="F93" s="387"/>
      <c r="G93" s="387"/>
    </row>
    <row r="94" spans="1:7" ht="18.75" customHeight="1" x14ac:dyDescent="0.3">
      <c r="A94" s="380" t="s">
        <v>56</v>
      </c>
      <c r="B94" s="388">
        <f>B91/B92</f>
        <v>1</v>
      </c>
      <c r="C94" s="370" t="s">
        <v>57</v>
      </c>
      <c r="D94" s="370"/>
      <c r="E94" s="370"/>
      <c r="F94" s="370"/>
      <c r="G94" s="370"/>
    </row>
    <row r="95" spans="1:7" ht="19.5" customHeight="1" thickBot="1" x14ac:dyDescent="0.35">
      <c r="A95" s="380"/>
      <c r="B95" s="383"/>
      <c r="C95" s="389"/>
      <c r="D95" s="389"/>
      <c r="E95" s="389"/>
      <c r="F95" s="389"/>
      <c r="G95" s="370"/>
    </row>
    <row r="96" spans="1:7" ht="27" customHeight="1" thickBot="1" x14ac:dyDescent="0.45">
      <c r="A96" s="390" t="s">
        <v>58</v>
      </c>
      <c r="B96" s="118">
        <v>100</v>
      </c>
      <c r="C96" s="370"/>
      <c r="D96" s="548" t="s">
        <v>59</v>
      </c>
      <c r="E96" s="549"/>
      <c r="F96" s="548" t="s">
        <v>60</v>
      </c>
      <c r="G96" s="549"/>
    </row>
    <row r="97" spans="1:7" ht="26.25" customHeight="1" x14ac:dyDescent="0.4">
      <c r="A97" s="391" t="s">
        <v>61</v>
      </c>
      <c r="B97" s="120">
        <v>3</v>
      </c>
      <c r="C97" s="393" t="s">
        <v>62</v>
      </c>
      <c r="D97" s="394" t="s">
        <v>63</v>
      </c>
      <c r="E97" s="395" t="s">
        <v>64</v>
      </c>
      <c r="F97" s="394" t="s">
        <v>63</v>
      </c>
      <c r="G97" s="396" t="s">
        <v>64</v>
      </c>
    </row>
    <row r="98" spans="1:7" ht="26.25" customHeight="1" x14ac:dyDescent="0.4">
      <c r="A98" s="391" t="s">
        <v>65</v>
      </c>
      <c r="B98" s="120">
        <v>50</v>
      </c>
      <c r="C98" s="397">
        <v>1</v>
      </c>
      <c r="D98" s="398">
        <v>0.4592</v>
      </c>
      <c r="E98" s="399">
        <f>IF(ISBLANK(D98),"-",$D$108/$D$105*D98)</f>
        <v>0.38772289633731899</v>
      </c>
      <c r="F98" s="510">
        <v>0.51900000000000002</v>
      </c>
      <c r="G98" s="400">
        <f>IF(ISBLANK(F98),"-",$D$108/$F$105*F98)</f>
        <v>0.39585503925753152</v>
      </c>
    </row>
    <row r="99" spans="1:7" ht="26.25" customHeight="1" x14ac:dyDescent="0.4">
      <c r="A99" s="391" t="s">
        <v>66</v>
      </c>
      <c r="B99" s="392">
        <v>1</v>
      </c>
      <c r="C99" s="401">
        <v>2</v>
      </c>
      <c r="D99" s="402">
        <v>0.4667</v>
      </c>
      <c r="E99" s="403">
        <f>IF(ISBLANK(D99),"-",$D$108/$D$105*D99)</f>
        <v>0.39405547848568551</v>
      </c>
      <c r="F99" s="402">
        <v>0.51829999999999998</v>
      </c>
      <c r="G99" s="404">
        <f>IF(ISBLANK(F99),"-",$D$108/$F$105*F99)</f>
        <v>0.39532113072674102</v>
      </c>
    </row>
    <row r="100" spans="1:7" ht="26.25" customHeight="1" x14ac:dyDescent="0.4">
      <c r="A100" s="391" t="s">
        <v>67</v>
      </c>
      <c r="B100" s="392">
        <v>1</v>
      </c>
      <c r="C100" s="401">
        <v>3</v>
      </c>
      <c r="D100" s="509">
        <v>0.46700000000000003</v>
      </c>
      <c r="E100" s="403">
        <f>IF(ISBLANK(D100),"-",$D$108/$D$105*D100)</f>
        <v>0.39430878177162015</v>
      </c>
      <c r="F100" s="402">
        <v>0.52380000000000004</v>
      </c>
      <c r="G100" s="404">
        <f>IF(ISBLANK(F100),"-",$D$108/$F$105*F100)</f>
        <v>0.3995161263258093</v>
      </c>
    </row>
    <row r="101" spans="1:7" ht="26.25" customHeight="1" x14ac:dyDescent="0.4">
      <c r="A101" s="391" t="s">
        <v>68</v>
      </c>
      <c r="B101" s="392">
        <v>1</v>
      </c>
      <c r="C101" s="405">
        <v>4</v>
      </c>
      <c r="D101" s="406"/>
      <c r="E101" s="407" t="str">
        <f>IF(ISBLANK(D101),"-",$D$108/$D$105*D101)</f>
        <v>-</v>
      </c>
      <c r="F101" s="406"/>
      <c r="G101" s="408" t="str">
        <f>IF(ISBLANK(F101),"-",$D$108/$F$105*F101)</f>
        <v>-</v>
      </c>
    </row>
    <row r="102" spans="1:7" ht="27" customHeight="1" thickBot="1" x14ac:dyDescent="0.45">
      <c r="A102" s="391" t="s">
        <v>69</v>
      </c>
      <c r="B102" s="392">
        <v>1</v>
      </c>
      <c r="C102" s="409" t="s">
        <v>70</v>
      </c>
      <c r="D102" s="602">
        <f>AVERAGE(D98:D101)</f>
        <v>0.46429999999999999</v>
      </c>
      <c r="E102" s="411">
        <f>AVERAGE(E98:E101)</f>
        <v>0.39202905219820822</v>
      </c>
      <c r="F102" s="603">
        <f>AVERAGE(F98:F101)</f>
        <v>0.52036666666666676</v>
      </c>
      <c r="G102" s="412">
        <f>AVERAGE(G98:G101)</f>
        <v>0.39689743210336065</v>
      </c>
    </row>
    <row r="103" spans="1:7" ht="26.25" customHeight="1" x14ac:dyDescent="0.4">
      <c r="A103" s="391" t="s">
        <v>71</v>
      </c>
      <c r="B103" s="392">
        <v>1</v>
      </c>
      <c r="C103" s="413" t="s">
        <v>72</v>
      </c>
      <c r="D103" s="414">
        <v>23.83</v>
      </c>
      <c r="E103" s="370"/>
      <c r="F103" s="414">
        <v>26.38</v>
      </c>
      <c r="G103" s="370"/>
    </row>
    <row r="104" spans="1:7" ht="26.25" customHeight="1" x14ac:dyDescent="0.4">
      <c r="A104" s="391" t="s">
        <v>73</v>
      </c>
      <c r="B104" s="392">
        <v>1</v>
      </c>
      <c r="C104" s="415" t="s">
        <v>74</v>
      </c>
      <c r="D104" s="416">
        <f>D103*$B$34</f>
        <v>23.83</v>
      </c>
      <c r="E104" s="417"/>
      <c r="F104" s="416">
        <f>F103*$B$34</f>
        <v>26.38</v>
      </c>
      <c r="G104" s="370"/>
    </row>
    <row r="105" spans="1:7" ht="19.5" customHeight="1" thickBot="1" x14ac:dyDescent="0.35">
      <c r="A105" s="391" t="s">
        <v>75</v>
      </c>
      <c r="B105" s="418">
        <f>(B104/B103)*(B102/B101)*(B100/B99)*(B98/B97)*B96</f>
        <v>1666.6666666666667</v>
      </c>
      <c r="C105" s="415" t="s">
        <v>76</v>
      </c>
      <c r="D105" s="419">
        <f>D104*$B$30/100</f>
        <v>23.687019999999997</v>
      </c>
      <c r="E105" s="420"/>
      <c r="F105" s="419">
        <f>F104*$B$30/100</f>
        <v>26.221720000000001</v>
      </c>
      <c r="G105" s="370"/>
    </row>
    <row r="106" spans="1:7" ht="19.5" customHeight="1" thickBot="1" x14ac:dyDescent="0.35">
      <c r="A106" s="543" t="s">
        <v>77</v>
      </c>
      <c r="B106" s="544"/>
      <c r="C106" s="415" t="s">
        <v>78</v>
      </c>
      <c r="D106" s="416">
        <f>D105/$B$45</f>
        <v>1.4212211999999997E-2</v>
      </c>
      <c r="E106" s="420"/>
      <c r="F106" s="421">
        <f>F105/$B$45</f>
        <v>1.5733032000000001E-2</v>
      </c>
      <c r="G106" s="370"/>
    </row>
    <row r="107" spans="1:7" ht="27" customHeight="1" thickBot="1" x14ac:dyDescent="0.45">
      <c r="A107" s="545"/>
      <c r="B107" s="546"/>
      <c r="C107" s="422" t="s">
        <v>79</v>
      </c>
      <c r="D107" s="150">
        <v>1.2E-2</v>
      </c>
      <c r="E107" s="370"/>
      <c r="F107" s="423"/>
      <c r="G107" s="370"/>
    </row>
    <row r="108" spans="1:7" ht="18.75" customHeight="1" x14ac:dyDescent="0.3">
      <c r="A108" s="370"/>
      <c r="B108" s="370"/>
      <c r="C108" s="424" t="s">
        <v>80</v>
      </c>
      <c r="D108" s="419">
        <f>D107*$B$45</f>
        <v>20</v>
      </c>
      <c r="E108" s="370"/>
      <c r="F108" s="423"/>
      <c r="G108" s="370"/>
    </row>
    <row r="109" spans="1:7" ht="19.5" customHeight="1" thickBot="1" x14ac:dyDescent="0.35">
      <c r="A109" s="370"/>
      <c r="B109" s="370"/>
      <c r="C109" s="380" t="s">
        <v>81</v>
      </c>
      <c r="D109" s="425">
        <f>D108/B94</f>
        <v>20</v>
      </c>
      <c r="E109" s="370"/>
      <c r="F109" s="423"/>
      <c r="G109" s="370"/>
    </row>
    <row r="110" spans="1:7" ht="18.75" customHeight="1" x14ac:dyDescent="0.3">
      <c r="A110" s="370"/>
      <c r="B110" s="370"/>
      <c r="C110" s="390" t="s">
        <v>82</v>
      </c>
      <c r="D110" s="426">
        <f>AVERAGE(E98:E101,G98:G101)</f>
        <v>0.39446324215078438</v>
      </c>
      <c r="E110" s="370"/>
      <c r="F110" s="427"/>
      <c r="G110" s="370"/>
    </row>
    <row r="111" spans="1:7" ht="18.75" customHeight="1" x14ac:dyDescent="0.3">
      <c r="A111" s="370"/>
      <c r="B111" s="370"/>
      <c r="C111" s="391" t="s">
        <v>83</v>
      </c>
      <c r="D111" s="428">
        <f>STDEV(E98:E101,G98:G101)/D110</f>
        <v>9.7412876230172224E-3</v>
      </c>
      <c r="E111" s="370"/>
      <c r="F111" s="427"/>
      <c r="G111" s="370"/>
    </row>
    <row r="112" spans="1:7" ht="19.5" customHeight="1" thickBot="1" x14ac:dyDescent="0.35">
      <c r="A112" s="370"/>
      <c r="B112" s="370"/>
      <c r="C112" s="429" t="s">
        <v>20</v>
      </c>
      <c r="D112" s="430">
        <f>COUNT(E98:E101,G98:G101)</f>
        <v>6</v>
      </c>
      <c r="E112" s="370"/>
      <c r="F112" s="427"/>
      <c r="G112" s="370"/>
    </row>
    <row r="113" spans="1:7" ht="18.75" customHeight="1" x14ac:dyDescent="0.3">
      <c r="A113" s="370"/>
      <c r="B113" s="370"/>
      <c r="C113" s="370"/>
      <c r="D113" s="370"/>
      <c r="E113" s="370"/>
      <c r="F113" s="370"/>
      <c r="G113" s="370"/>
    </row>
    <row r="114" spans="1:7" ht="18.75" customHeight="1" x14ac:dyDescent="0.3">
      <c r="A114" s="371" t="s">
        <v>1</v>
      </c>
      <c r="B114" s="431" t="s">
        <v>84</v>
      </c>
      <c r="C114" s="370"/>
      <c r="D114" s="370"/>
      <c r="E114" s="370"/>
      <c r="F114" s="370"/>
      <c r="G114" s="370"/>
    </row>
    <row r="115" spans="1:7" ht="17.25" customHeight="1" thickBot="1" x14ac:dyDescent="0.35">
      <c r="A115" s="433"/>
      <c r="B115" s="433"/>
      <c r="C115" s="433"/>
      <c r="D115" s="434"/>
      <c r="E115" s="434"/>
      <c r="F115" s="434"/>
      <c r="G115" s="434"/>
    </row>
    <row r="116" spans="1:7" ht="57.75" customHeight="1" x14ac:dyDescent="0.4">
      <c r="A116" s="390" t="s">
        <v>88</v>
      </c>
      <c r="B116" s="118">
        <v>100</v>
      </c>
      <c r="C116" s="435" t="s">
        <v>89</v>
      </c>
      <c r="D116" s="470" t="s">
        <v>90</v>
      </c>
      <c r="E116" s="437" t="s">
        <v>91</v>
      </c>
      <c r="F116" s="438" t="s">
        <v>92</v>
      </c>
      <c r="G116" s="439" t="s">
        <v>93</v>
      </c>
    </row>
    <row r="117" spans="1:7" ht="26.25" customHeight="1" x14ac:dyDescent="0.4">
      <c r="A117" s="391" t="s">
        <v>61</v>
      </c>
      <c r="B117" s="120">
        <v>3</v>
      </c>
      <c r="C117" s="472">
        <v>1</v>
      </c>
      <c r="D117" s="473">
        <v>0.4516</v>
      </c>
      <c r="E117" s="441">
        <f t="shared" ref="E117:E136" si="3">IF(ISBLANK(D117),"-",D117/$D$110*$D$107*$B$125)</f>
        <v>22.896936988991992</v>
      </c>
      <c r="F117" s="442">
        <f t="shared" ref="F117:F136" si="4">IF(ISBLANK(D117),"-",E117/$E$138*100)</f>
        <v>97.76055591033564</v>
      </c>
      <c r="G117" s="443">
        <f t="shared" ref="G117:G136" si="5">IF(ISBLANK(D117),"-",E117/$B$56*100)</f>
        <v>114.48468494495995</v>
      </c>
    </row>
    <row r="118" spans="1:7" ht="26.25" customHeight="1" x14ac:dyDescent="0.4">
      <c r="A118" s="391" t="s">
        <v>65</v>
      </c>
      <c r="B118" s="120">
        <v>50</v>
      </c>
      <c r="C118" s="474">
        <v>2</v>
      </c>
      <c r="D118" s="475">
        <v>0.46289999999999998</v>
      </c>
      <c r="E118" s="445">
        <f t="shared" si="3"/>
        <v>23.469867431807781</v>
      </c>
      <c r="F118" s="446">
        <f t="shared" si="4"/>
        <v>100.20673456796804</v>
      </c>
      <c r="G118" s="447">
        <f t="shared" si="5"/>
        <v>117.3493371590389</v>
      </c>
    </row>
    <row r="119" spans="1:7" ht="26.25" customHeight="1" x14ac:dyDescent="0.4">
      <c r="A119" s="391" t="s">
        <v>66</v>
      </c>
      <c r="B119" s="471">
        <v>1</v>
      </c>
      <c r="C119" s="474">
        <v>3</v>
      </c>
      <c r="D119" s="604">
        <v>0.44</v>
      </c>
      <c r="E119" s="445">
        <f t="shared" si="3"/>
        <v>22.308796003446584</v>
      </c>
      <c r="F119" s="446">
        <f t="shared" si="4"/>
        <v>95.249434456482916</v>
      </c>
      <c r="G119" s="447">
        <f t="shared" si="5"/>
        <v>111.54398001723291</v>
      </c>
    </row>
    <row r="120" spans="1:7" ht="26.25" customHeight="1" x14ac:dyDescent="0.4">
      <c r="A120" s="391" t="s">
        <v>67</v>
      </c>
      <c r="B120" s="471">
        <v>1</v>
      </c>
      <c r="C120" s="474">
        <v>4</v>
      </c>
      <c r="D120" s="475">
        <v>0.47910000000000003</v>
      </c>
      <c r="E120" s="445">
        <f t="shared" si="3"/>
        <v>24.29123673920741</v>
      </c>
      <c r="F120" s="446">
        <f t="shared" si="4"/>
        <v>103.71364556386584</v>
      </c>
      <c r="G120" s="447">
        <f t="shared" si="5"/>
        <v>121.45618369603706</v>
      </c>
    </row>
    <row r="121" spans="1:7" ht="26.25" customHeight="1" x14ac:dyDescent="0.4">
      <c r="A121" s="391" t="s">
        <v>68</v>
      </c>
      <c r="B121" s="471">
        <v>1</v>
      </c>
      <c r="C121" s="474">
        <v>5</v>
      </c>
      <c r="D121" s="475">
        <v>0.48930000000000001</v>
      </c>
      <c r="E121" s="445">
        <f t="shared" si="3"/>
        <v>24.808395192014576</v>
      </c>
      <c r="F121" s="446">
        <f t="shared" si="4"/>
        <v>105.92170063535701</v>
      </c>
      <c r="G121" s="447">
        <f t="shared" si="5"/>
        <v>124.04197596007288</v>
      </c>
    </row>
    <row r="122" spans="1:7" ht="26.25" customHeight="1" x14ac:dyDescent="0.4">
      <c r="A122" s="391" t="s">
        <v>69</v>
      </c>
      <c r="B122" s="471">
        <v>1</v>
      </c>
      <c r="C122" s="474">
        <v>6</v>
      </c>
      <c r="D122" s="475">
        <v>0.48039999999999999</v>
      </c>
      <c r="E122" s="445">
        <f t="shared" si="3"/>
        <v>24.357149091035769</v>
      </c>
      <c r="F122" s="446">
        <f t="shared" si="4"/>
        <v>103.99506434748724</v>
      </c>
      <c r="G122" s="447">
        <f t="shared" si="5"/>
        <v>121.78574545517884</v>
      </c>
    </row>
    <row r="123" spans="1:7" ht="26.25" customHeight="1" x14ac:dyDescent="0.4">
      <c r="A123" s="391" t="s">
        <v>71</v>
      </c>
      <c r="B123" s="471">
        <v>1</v>
      </c>
      <c r="C123" s="474">
        <v>7</v>
      </c>
      <c r="D123" s="475">
        <v>0.48249999999999998</v>
      </c>
      <c r="E123" s="445">
        <f t="shared" si="3"/>
        <v>24.463622890143128</v>
      </c>
      <c r="F123" s="446">
        <f t="shared" si="4"/>
        <v>104.44966392102954</v>
      </c>
      <c r="G123" s="447">
        <f t="shared" si="5"/>
        <v>122.31811445071563</v>
      </c>
    </row>
    <row r="124" spans="1:7" ht="26.25" customHeight="1" x14ac:dyDescent="0.4">
      <c r="A124" s="391" t="s">
        <v>73</v>
      </c>
      <c r="B124" s="471">
        <v>1</v>
      </c>
      <c r="C124" s="474">
        <v>8</v>
      </c>
      <c r="D124" s="475">
        <v>0.43280000000000002</v>
      </c>
      <c r="E124" s="445">
        <f t="shared" si="3"/>
        <v>21.943742977935639</v>
      </c>
      <c r="F124" s="446">
        <f t="shared" si="4"/>
        <v>93.690807347195005</v>
      </c>
      <c r="G124" s="447">
        <f t="shared" si="5"/>
        <v>109.7187148896782</v>
      </c>
    </row>
    <row r="125" spans="1:7" ht="27" customHeight="1" thickBot="1" x14ac:dyDescent="0.45">
      <c r="A125" s="391" t="s">
        <v>75</v>
      </c>
      <c r="B125" s="476">
        <f>(B124/B123)*(B122/B121)*(B120/B119)*(B118/B117)*B116</f>
        <v>1666.6666666666667</v>
      </c>
      <c r="C125" s="474">
        <v>9</v>
      </c>
      <c r="D125" s="475">
        <v>0.46920000000000001</v>
      </c>
      <c r="E125" s="445">
        <f t="shared" si="3"/>
        <v>23.789288829129855</v>
      </c>
      <c r="F125" s="446">
        <f t="shared" si="4"/>
        <v>101.57053328859496</v>
      </c>
      <c r="G125" s="447">
        <f t="shared" si="5"/>
        <v>118.94644414564928</v>
      </c>
    </row>
    <row r="126" spans="1:7" ht="26.25" customHeight="1" x14ac:dyDescent="0.4">
      <c r="A126" s="543" t="s">
        <v>77</v>
      </c>
      <c r="B126" s="544"/>
      <c r="C126" s="474">
        <v>10</v>
      </c>
      <c r="D126" s="475">
        <v>0.4788</v>
      </c>
      <c r="E126" s="445">
        <f t="shared" si="3"/>
        <v>24.276026196477783</v>
      </c>
      <c r="F126" s="446">
        <f t="shared" si="4"/>
        <v>103.6487027676455</v>
      </c>
      <c r="G126" s="447">
        <f t="shared" si="5"/>
        <v>121.38013098238891</v>
      </c>
    </row>
    <row r="127" spans="1:7" ht="27" customHeight="1" thickBot="1" x14ac:dyDescent="0.45">
      <c r="A127" s="545"/>
      <c r="B127" s="546"/>
      <c r="C127" s="474">
        <v>11</v>
      </c>
      <c r="D127" s="475">
        <v>0.47039999999999998</v>
      </c>
      <c r="E127" s="445">
        <f t="shared" si="3"/>
        <v>23.850131000048346</v>
      </c>
      <c r="F127" s="446">
        <f t="shared" si="4"/>
        <v>101.83030447347628</v>
      </c>
      <c r="G127" s="447">
        <f t="shared" si="5"/>
        <v>119.25065500024172</v>
      </c>
    </row>
    <row r="128" spans="1:7" ht="26.25" customHeight="1" x14ac:dyDescent="0.4">
      <c r="A128" s="477"/>
      <c r="B128" s="478"/>
      <c r="C128" s="474">
        <v>12</v>
      </c>
      <c r="D128" s="475">
        <v>0.45469999999999999</v>
      </c>
      <c r="E128" s="445">
        <f t="shared" si="3"/>
        <v>23.054112597198092</v>
      </c>
      <c r="F128" s="446">
        <f t="shared" si="4"/>
        <v>98.431631471279033</v>
      </c>
      <c r="G128" s="447">
        <f t="shared" si="5"/>
        <v>115.27056298599045</v>
      </c>
    </row>
    <row r="129" spans="1:7" ht="26.25" customHeight="1" x14ac:dyDescent="0.4">
      <c r="A129" s="477"/>
      <c r="B129" s="478"/>
      <c r="C129" s="474">
        <v>13</v>
      </c>
      <c r="D129" s="475">
        <v>0.4395</v>
      </c>
      <c r="E129" s="445">
        <f t="shared" si="3"/>
        <v>22.283445098897214</v>
      </c>
      <c r="F129" s="446">
        <f t="shared" si="4"/>
        <v>95.141196462782375</v>
      </c>
      <c r="G129" s="447">
        <f t="shared" si="5"/>
        <v>111.41722549448608</v>
      </c>
    </row>
    <row r="130" spans="1:7" ht="26.25" customHeight="1" x14ac:dyDescent="0.4">
      <c r="A130" s="477"/>
      <c r="B130" s="478"/>
      <c r="C130" s="474">
        <v>14</v>
      </c>
      <c r="D130" s="475">
        <v>0.46779999999999999</v>
      </c>
      <c r="E130" s="445">
        <f t="shared" si="3"/>
        <v>23.718306296391621</v>
      </c>
      <c r="F130" s="446">
        <f t="shared" si="4"/>
        <v>101.26746690623342</v>
      </c>
      <c r="G130" s="447">
        <f t="shared" si="5"/>
        <v>118.59153148195811</v>
      </c>
    </row>
    <row r="131" spans="1:7" ht="26.25" customHeight="1" x14ac:dyDescent="0.4">
      <c r="A131" s="477"/>
      <c r="B131" s="478"/>
      <c r="C131" s="474">
        <v>15</v>
      </c>
      <c r="D131" s="475">
        <v>0.48680000000000001</v>
      </c>
      <c r="E131" s="445">
        <f t="shared" si="3"/>
        <v>24.681640669267722</v>
      </c>
      <c r="F131" s="446">
        <f t="shared" si="4"/>
        <v>105.38051066685428</v>
      </c>
      <c r="G131" s="447">
        <f t="shared" si="5"/>
        <v>123.40820334633862</v>
      </c>
    </row>
    <row r="132" spans="1:7" ht="26.25" customHeight="1" x14ac:dyDescent="0.4">
      <c r="A132" s="477"/>
      <c r="B132" s="478"/>
      <c r="C132" s="474">
        <v>16</v>
      </c>
      <c r="D132" s="475">
        <v>0.44479999999999997</v>
      </c>
      <c r="E132" s="445">
        <f t="shared" si="3"/>
        <v>22.552164687120545</v>
      </c>
      <c r="F132" s="446">
        <f t="shared" si="4"/>
        <v>96.288519196008167</v>
      </c>
      <c r="G132" s="447">
        <f t="shared" si="5"/>
        <v>112.76082343560272</v>
      </c>
    </row>
    <row r="133" spans="1:7" ht="26.25" customHeight="1" x14ac:dyDescent="0.4">
      <c r="A133" s="477"/>
      <c r="B133" s="478"/>
      <c r="C133" s="474">
        <v>17</v>
      </c>
      <c r="D133" s="475">
        <v>0.4466</v>
      </c>
      <c r="E133" s="445">
        <f t="shared" si="3"/>
        <v>22.643427943498285</v>
      </c>
      <c r="F133" s="446">
        <f t="shared" si="4"/>
        <v>96.678175973330156</v>
      </c>
      <c r="G133" s="447">
        <f t="shared" si="5"/>
        <v>113.21713971749143</v>
      </c>
    </row>
    <row r="134" spans="1:7" ht="26.25" customHeight="1" x14ac:dyDescent="0.4">
      <c r="A134" s="477"/>
      <c r="B134" s="478"/>
      <c r="C134" s="474">
        <v>18</v>
      </c>
      <c r="D134" s="475">
        <v>0.44350000000000001</v>
      </c>
      <c r="E134" s="445">
        <f t="shared" si="3"/>
        <v>22.486252335292182</v>
      </c>
      <c r="F134" s="446">
        <f t="shared" si="4"/>
        <v>96.007100412386762</v>
      </c>
      <c r="G134" s="447">
        <f t="shared" si="5"/>
        <v>112.43126167646092</v>
      </c>
    </row>
    <row r="135" spans="1:7" ht="26.25" customHeight="1" x14ac:dyDescent="0.4">
      <c r="A135" s="477"/>
      <c r="B135" s="478"/>
      <c r="C135" s="474">
        <v>19</v>
      </c>
      <c r="D135" s="475">
        <v>0.45290000000000002</v>
      </c>
      <c r="E135" s="445">
        <f t="shared" si="3"/>
        <v>22.962849340820359</v>
      </c>
      <c r="F135" s="446">
        <f t="shared" si="4"/>
        <v>98.041974693957073</v>
      </c>
      <c r="G135" s="447">
        <f t="shared" si="5"/>
        <v>114.81424670410179</v>
      </c>
    </row>
    <row r="136" spans="1:7" ht="26.25" customHeight="1" x14ac:dyDescent="0.4">
      <c r="A136" s="477"/>
      <c r="B136" s="478"/>
      <c r="C136" s="479">
        <v>20</v>
      </c>
      <c r="D136" s="480">
        <v>0.46529999999999999</v>
      </c>
      <c r="E136" s="481">
        <f t="shared" si="3"/>
        <v>23.591551773644763</v>
      </c>
      <c r="F136" s="482">
        <f t="shared" si="4"/>
        <v>100.72627693773069</v>
      </c>
      <c r="G136" s="483">
        <f t="shared" si="5"/>
        <v>117.95775886822382</v>
      </c>
    </row>
    <row r="137" spans="1:7" ht="19.5" customHeight="1" thickBot="1" x14ac:dyDescent="0.35">
      <c r="A137" s="478"/>
      <c r="B137" s="478"/>
      <c r="C137" s="444"/>
      <c r="D137" s="420"/>
      <c r="E137" s="370"/>
      <c r="F137" s="484"/>
      <c r="G137" s="485"/>
    </row>
    <row r="138" spans="1:7" ht="26.25" customHeight="1" x14ac:dyDescent="0.4">
      <c r="A138" s="434"/>
      <c r="B138" s="434"/>
      <c r="C138" s="444" t="s">
        <v>94</v>
      </c>
      <c r="D138" s="453"/>
      <c r="E138" s="486">
        <f>AVERAGE(E117:E136)</f>
        <v>23.421447204118483</v>
      </c>
      <c r="F138" s="487">
        <f>AVERAGE(F117:F136)</f>
        <v>99.999999999999986</v>
      </c>
      <c r="G138" s="488">
        <f>AVERAGE(G117:G136)</f>
        <v>117.10723602059238</v>
      </c>
    </row>
    <row r="139" spans="1:7" ht="26.25" customHeight="1" x14ac:dyDescent="0.4">
      <c r="A139" s="434"/>
      <c r="B139" s="434"/>
      <c r="C139" s="444"/>
      <c r="D139" s="453"/>
      <c r="E139" s="489">
        <f>STDEV(E117:E136)/E138</f>
        <v>3.7899959526884609E-2</v>
      </c>
      <c r="F139" s="457">
        <f>STDEV(F117:F136)/F138</f>
        <v>3.7899959526884588E-2</v>
      </c>
      <c r="G139" s="458">
        <f>STDEV(G117:G136)/G138</f>
        <v>3.7899959526884602E-2</v>
      </c>
    </row>
    <row r="140" spans="1:7" ht="27" customHeight="1" thickBot="1" x14ac:dyDescent="0.45">
      <c r="A140" s="434"/>
      <c r="B140" s="434"/>
      <c r="C140" s="448"/>
      <c r="D140" s="459"/>
      <c r="E140" s="490">
        <f>COUNT(E117:E136)</f>
        <v>20</v>
      </c>
      <c r="F140" s="460">
        <f>COUNT(F117:F126)</f>
        <v>10</v>
      </c>
      <c r="G140" s="461">
        <f>COUNT(G117:G136)</f>
        <v>20</v>
      </c>
    </row>
    <row r="141" spans="1:7" ht="18.75" customHeight="1" x14ac:dyDescent="0.3">
      <c r="A141" s="434"/>
      <c r="B141" s="370"/>
      <c r="C141" s="370"/>
      <c r="D141" s="417"/>
      <c r="E141" s="453"/>
      <c r="F141" s="370"/>
      <c r="G141" s="462"/>
    </row>
    <row r="142" spans="1:7" ht="18.75" customHeight="1" x14ac:dyDescent="0.3">
      <c r="A142" s="379" t="s">
        <v>95</v>
      </c>
      <c r="B142" s="380" t="s">
        <v>96</v>
      </c>
      <c r="C142" s="547" t="str">
        <f>B20</f>
        <v>Tadalafil 20mg</v>
      </c>
      <c r="D142" s="547"/>
      <c r="E142" s="370" t="s">
        <v>97</v>
      </c>
      <c r="F142" s="370"/>
      <c r="G142" s="463">
        <f>G138</f>
        <v>117.10723602059238</v>
      </c>
    </row>
    <row r="143" spans="1:7" ht="18.75" customHeight="1" x14ac:dyDescent="0.3">
      <c r="A143" s="379"/>
      <c r="B143" s="380"/>
      <c r="C143" s="383"/>
      <c r="D143" s="383"/>
      <c r="E143" s="370"/>
      <c r="F143" s="370"/>
      <c r="G143" s="464"/>
    </row>
    <row r="144" spans="1:7" ht="18.75" customHeight="1" x14ac:dyDescent="0.3">
      <c r="A144" s="371" t="s">
        <v>1</v>
      </c>
      <c r="B144" s="378" t="s">
        <v>98</v>
      </c>
      <c r="C144" s="370"/>
      <c r="D144" s="370"/>
      <c r="E144" s="370"/>
      <c r="F144" s="370"/>
      <c r="G144" s="434"/>
    </row>
    <row r="145" spans="1:7" ht="19.5" customHeight="1" thickBot="1" x14ac:dyDescent="0.35">
      <c r="A145" s="371"/>
      <c r="B145" s="431"/>
      <c r="C145" s="370"/>
      <c r="D145" s="370"/>
      <c r="E145" s="370"/>
      <c r="F145" s="370"/>
      <c r="G145" s="434"/>
    </row>
    <row r="146" spans="1:7" ht="18.75" customHeight="1" x14ac:dyDescent="0.3">
      <c r="A146" s="434"/>
      <c r="B146" s="548" t="s">
        <v>99</v>
      </c>
      <c r="C146" s="549"/>
      <c r="D146" s="370"/>
      <c r="E146" s="434"/>
      <c r="F146" s="434"/>
      <c r="G146" s="434"/>
    </row>
    <row r="147" spans="1:7" ht="18.75" customHeight="1" x14ac:dyDescent="0.3">
      <c r="A147" s="434"/>
      <c r="B147" s="491" t="s">
        <v>43</v>
      </c>
      <c r="C147" s="492">
        <f>AVERAGE(G59:G68,G117:G136)</f>
        <v>113.13939694354002</v>
      </c>
      <c r="D147" s="370"/>
      <c r="E147" s="434"/>
      <c r="F147" s="434"/>
      <c r="G147" s="434"/>
    </row>
    <row r="148" spans="1:7" ht="26.25" customHeight="1" x14ac:dyDescent="0.4">
      <c r="A148" s="434"/>
      <c r="B148" s="491" t="s">
        <v>100</v>
      </c>
      <c r="C148" s="493">
        <v>2</v>
      </c>
      <c r="D148" s="370"/>
      <c r="E148" s="434"/>
      <c r="F148" s="434"/>
      <c r="G148" s="434"/>
    </row>
    <row r="149" spans="1:7" ht="18.75" customHeight="1" x14ac:dyDescent="0.3">
      <c r="A149" s="434"/>
      <c r="B149" s="491" t="s">
        <v>101</v>
      </c>
      <c r="C149" s="492">
        <f>STDEV(G59:G68,G117:G136)</f>
        <v>7.837981312491749</v>
      </c>
      <c r="D149" s="370"/>
      <c r="E149" s="434"/>
      <c r="F149" s="434"/>
      <c r="G149" s="434"/>
    </row>
    <row r="150" spans="1:7" ht="19.5" customHeight="1" thickBot="1" x14ac:dyDescent="0.35">
      <c r="A150" s="434"/>
      <c r="B150" s="494" t="s">
        <v>102</v>
      </c>
      <c r="C150" s="495">
        <f>IF(OR(G138&lt;98.5,G138&gt;101.5),(IF(98.5&gt;G138,98.5,101.5)),C147)</f>
        <v>101.5</v>
      </c>
      <c r="D150" s="370"/>
      <c r="E150" s="434"/>
      <c r="F150" s="434"/>
      <c r="G150" s="434"/>
    </row>
    <row r="151" spans="1:7" ht="18.75" customHeight="1" x14ac:dyDescent="0.3">
      <c r="A151" s="434"/>
      <c r="B151" s="496" t="s">
        <v>133</v>
      </c>
      <c r="C151" s="497">
        <f>ABS(C150-C147)+(C148*C149)</f>
        <v>27.315359568523519</v>
      </c>
      <c r="D151" s="370"/>
      <c r="E151" s="434"/>
      <c r="F151" s="434"/>
      <c r="G151" s="434"/>
    </row>
    <row r="152" spans="1:7" ht="18.75" customHeight="1" x14ac:dyDescent="0.3">
      <c r="A152" s="434"/>
      <c r="B152" s="491" t="s">
        <v>134</v>
      </c>
      <c r="C152" s="498">
        <f>(1-(0.01)*(25))*C150</f>
        <v>76.125</v>
      </c>
      <c r="D152" s="370"/>
      <c r="E152" s="434"/>
      <c r="F152" s="434"/>
      <c r="G152" s="434"/>
    </row>
    <row r="153" spans="1:7" ht="19.5" customHeight="1" thickBot="1" x14ac:dyDescent="0.35">
      <c r="A153" s="434"/>
      <c r="B153" s="499" t="s">
        <v>135</v>
      </c>
      <c r="C153" s="500">
        <f>(1+(0.01)*(25))*C150</f>
        <v>126.875</v>
      </c>
      <c r="D153" s="370"/>
      <c r="E153" s="434"/>
      <c r="F153" s="434"/>
      <c r="G153" s="434"/>
    </row>
    <row r="154" spans="1:7" ht="18.75" customHeight="1" x14ac:dyDescent="0.3">
      <c r="A154" s="434"/>
      <c r="B154" s="380"/>
      <c r="C154" s="501"/>
      <c r="D154" s="370"/>
      <c r="E154" s="434"/>
      <c r="F154" s="434"/>
      <c r="G154" s="434"/>
    </row>
    <row r="155" spans="1:7" ht="18.75" customHeight="1" x14ac:dyDescent="0.3">
      <c r="A155" s="432"/>
      <c r="B155" s="469"/>
      <c r="C155" s="370"/>
      <c r="D155" s="370"/>
      <c r="E155" s="370"/>
      <c r="F155" s="370"/>
      <c r="G155" s="370"/>
    </row>
    <row r="156" spans="1:7" ht="19.5" customHeight="1" thickBot="1" x14ac:dyDescent="0.35">
      <c r="A156" s="502"/>
      <c r="B156" s="502"/>
      <c r="C156" s="503"/>
      <c r="D156" s="503"/>
      <c r="E156" s="503"/>
      <c r="F156" s="503"/>
      <c r="G156" s="503"/>
    </row>
    <row r="157" spans="1:7" ht="18.75" customHeight="1" x14ac:dyDescent="0.3">
      <c r="A157" s="370"/>
      <c r="B157" s="550" t="s">
        <v>26</v>
      </c>
      <c r="C157" s="550"/>
      <c r="D157" s="370"/>
      <c r="E157" s="504" t="s">
        <v>27</v>
      </c>
      <c r="F157" s="505"/>
      <c r="G157" s="504" t="s">
        <v>28</v>
      </c>
    </row>
    <row r="158" spans="1:7" ht="60" customHeight="1" x14ac:dyDescent="0.3">
      <c r="A158" s="379" t="s">
        <v>29</v>
      </c>
      <c r="B158" s="506" t="s">
        <v>137</v>
      </c>
      <c r="C158" s="506" t="s">
        <v>157</v>
      </c>
      <c r="D158" s="370"/>
      <c r="E158" s="506"/>
      <c r="F158" s="370"/>
      <c r="G158" s="506"/>
    </row>
    <row r="159" spans="1:7" ht="60" customHeight="1" x14ac:dyDescent="0.3">
      <c r="A159" s="379" t="s">
        <v>30</v>
      </c>
      <c r="B159" s="507"/>
      <c r="C159" s="507"/>
      <c r="D159" s="370"/>
      <c r="E159" s="507"/>
      <c r="F159" s="370"/>
      <c r="G159" s="508"/>
    </row>
  </sheetData>
  <sheetProtection password="AD9C" formatCells="0" formatColumns="0" formatRows="0" insertColumns="0" insertRows="0" insertHyperlinks="0" deleteColumns="0" deleteRows="0" sort="0" autoFilter="0" pivotTables="0"/>
  <mergeCells count="28">
    <mergeCell ref="B26:C26"/>
    <mergeCell ref="A1:G7"/>
    <mergeCell ref="A8:G14"/>
    <mergeCell ref="A16:G16"/>
    <mergeCell ref="B18:C18"/>
    <mergeCell ref="B20:C20"/>
    <mergeCell ref="B87:C87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6:C86"/>
    <mergeCell ref="A126:B127"/>
    <mergeCell ref="C142:D142"/>
    <mergeCell ref="B146:C146"/>
    <mergeCell ref="B157:C157"/>
    <mergeCell ref="C89:G89"/>
    <mergeCell ref="C91:G91"/>
    <mergeCell ref="C92:G92"/>
    <mergeCell ref="D96:E96"/>
    <mergeCell ref="F96:G96"/>
    <mergeCell ref="A106:B107"/>
  </mergeCells>
  <conditionalFormatting sqref="G117:G136 G59:G68">
    <cfRule type="cellIs" dxfId="0" priority="30" operator="notBetween">
      <formula>$C$152</formula>
      <formula>$C$153</formula>
    </cfRule>
  </conditionalFormatting>
  <pageMargins left="0.7" right="0.7" top="0.75" bottom="0.75" header="0.3" footer="0.3"/>
  <pageSetup scale="35" orientation="portrait" r:id="rId1"/>
  <headerFooter>
    <oddHeader>&amp;LVer 2</oddHeader>
    <oddFooter>&amp;LNQCL/ADDO/014&amp;CPage &amp;P of &amp;N&amp;R&amp;D &amp;T</oddFooter>
  </headerFooter>
  <rowBreaks count="1" manualBreakCount="1">
    <brk id="84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BreakPreview" topLeftCell="A122" zoomScale="60" zoomScaleNormal="60" zoomScalePageLayoutView="55" workbookViewId="0">
      <selection activeCell="D126" sqref="D126:D131"/>
    </sheetView>
  </sheetViews>
  <sheetFormatPr defaultRowHeight="13.5" x14ac:dyDescent="0.25"/>
  <cols>
    <col min="1" max="1" width="55.42578125" style="207" customWidth="1"/>
    <col min="2" max="2" width="33.7109375" style="207" customWidth="1"/>
    <col min="3" max="3" width="42.28515625" style="207" customWidth="1"/>
    <col min="4" max="4" width="30.5703125" style="207" customWidth="1"/>
    <col min="5" max="5" width="39.85546875" style="207" customWidth="1"/>
    <col min="6" max="6" width="30.7109375" style="207" customWidth="1"/>
    <col min="7" max="7" width="39.85546875" style="207" customWidth="1"/>
    <col min="8" max="8" width="41.140625" style="207" customWidth="1"/>
    <col min="9" max="9" width="30.42578125" style="207" customWidth="1"/>
    <col min="10" max="10" width="21.28515625" style="207" customWidth="1"/>
    <col min="11" max="11" width="9.140625" style="207" customWidth="1"/>
    <col min="12" max="16384" width="9.140625" style="209"/>
  </cols>
  <sheetData>
    <row r="1" spans="1:8" x14ac:dyDescent="0.25">
      <c r="A1" s="591" t="s">
        <v>45</v>
      </c>
      <c r="B1" s="591"/>
      <c r="C1" s="591"/>
      <c r="D1" s="591"/>
      <c r="E1" s="591"/>
      <c r="F1" s="591"/>
      <c r="G1" s="591"/>
      <c r="H1" s="591"/>
    </row>
    <row r="2" spans="1:8" x14ac:dyDescent="0.25">
      <c r="A2" s="591"/>
      <c r="B2" s="591"/>
      <c r="C2" s="591"/>
      <c r="D2" s="591"/>
      <c r="E2" s="591"/>
      <c r="F2" s="591"/>
      <c r="G2" s="591"/>
      <c r="H2" s="591"/>
    </row>
    <row r="3" spans="1:8" x14ac:dyDescent="0.25">
      <c r="A3" s="591"/>
      <c r="B3" s="591"/>
      <c r="C3" s="591"/>
      <c r="D3" s="591"/>
      <c r="E3" s="591"/>
      <c r="F3" s="591"/>
      <c r="G3" s="591"/>
      <c r="H3" s="591"/>
    </row>
    <row r="4" spans="1:8" x14ac:dyDescent="0.25">
      <c r="A4" s="591"/>
      <c r="B4" s="591"/>
      <c r="C4" s="591"/>
      <c r="D4" s="591"/>
      <c r="E4" s="591"/>
      <c r="F4" s="591"/>
      <c r="G4" s="591"/>
      <c r="H4" s="591"/>
    </row>
    <row r="5" spans="1:8" x14ac:dyDescent="0.25">
      <c r="A5" s="591"/>
      <c r="B5" s="591"/>
      <c r="C5" s="591"/>
      <c r="D5" s="591"/>
      <c r="E5" s="591"/>
      <c r="F5" s="591"/>
      <c r="G5" s="591"/>
      <c r="H5" s="591"/>
    </row>
    <row r="6" spans="1:8" x14ac:dyDescent="0.25">
      <c r="A6" s="591"/>
      <c r="B6" s="591"/>
      <c r="C6" s="591"/>
      <c r="D6" s="591"/>
      <c r="E6" s="591"/>
      <c r="F6" s="591"/>
      <c r="G6" s="591"/>
      <c r="H6" s="591"/>
    </row>
    <row r="7" spans="1:8" x14ac:dyDescent="0.25">
      <c r="A7" s="591"/>
      <c r="B7" s="591"/>
      <c r="C7" s="591"/>
      <c r="D7" s="591"/>
      <c r="E7" s="591"/>
      <c r="F7" s="591"/>
      <c r="G7" s="591"/>
      <c r="H7" s="591"/>
    </row>
    <row r="8" spans="1:8" x14ac:dyDescent="0.25">
      <c r="A8" s="592" t="s">
        <v>46</v>
      </c>
      <c r="B8" s="592"/>
      <c r="C8" s="592"/>
      <c r="D8" s="592"/>
      <c r="E8" s="592"/>
      <c r="F8" s="592"/>
      <c r="G8" s="592"/>
      <c r="H8" s="592"/>
    </row>
    <row r="9" spans="1:8" x14ac:dyDescent="0.25">
      <c r="A9" s="592"/>
      <c r="B9" s="592"/>
      <c r="C9" s="592"/>
      <c r="D9" s="592"/>
      <c r="E9" s="592"/>
      <c r="F9" s="592"/>
      <c r="G9" s="592"/>
      <c r="H9" s="592"/>
    </row>
    <row r="10" spans="1:8" x14ac:dyDescent="0.25">
      <c r="A10" s="592"/>
      <c r="B10" s="592"/>
      <c r="C10" s="592"/>
      <c r="D10" s="592"/>
      <c r="E10" s="592"/>
      <c r="F10" s="592"/>
      <c r="G10" s="592"/>
      <c r="H10" s="592"/>
    </row>
    <row r="11" spans="1:8" x14ac:dyDescent="0.25">
      <c r="A11" s="592"/>
      <c r="B11" s="592"/>
      <c r="C11" s="592"/>
      <c r="D11" s="592"/>
      <c r="E11" s="592"/>
      <c r="F11" s="592"/>
      <c r="G11" s="592"/>
      <c r="H11" s="592"/>
    </row>
    <row r="12" spans="1:8" x14ac:dyDescent="0.25">
      <c r="A12" s="592"/>
      <c r="B12" s="592"/>
      <c r="C12" s="592"/>
      <c r="D12" s="592"/>
      <c r="E12" s="592"/>
      <c r="F12" s="592"/>
      <c r="G12" s="592"/>
      <c r="H12" s="592"/>
    </row>
    <row r="13" spans="1:8" x14ac:dyDescent="0.25">
      <c r="A13" s="592"/>
      <c r="B13" s="592"/>
      <c r="C13" s="592"/>
      <c r="D13" s="592"/>
      <c r="E13" s="592"/>
      <c r="F13" s="592"/>
      <c r="G13" s="592"/>
      <c r="H13" s="592"/>
    </row>
    <row r="14" spans="1:8" x14ac:dyDescent="0.25">
      <c r="A14" s="592"/>
      <c r="B14" s="592"/>
      <c r="C14" s="592"/>
      <c r="D14" s="592"/>
      <c r="E14" s="592"/>
      <c r="F14" s="592"/>
      <c r="G14" s="592"/>
      <c r="H14" s="592"/>
    </row>
    <row r="15" spans="1:8" ht="19.5" customHeight="1" thickBot="1" x14ac:dyDescent="0.3"/>
    <row r="16" spans="1:8" ht="19.5" customHeight="1" thickBot="1" x14ac:dyDescent="0.3">
      <c r="A16" s="593" t="s">
        <v>31</v>
      </c>
      <c r="B16" s="594"/>
      <c r="C16" s="594"/>
      <c r="D16" s="594"/>
      <c r="E16" s="594"/>
      <c r="F16" s="594"/>
      <c r="G16" s="594"/>
      <c r="H16" s="595"/>
    </row>
    <row r="17" spans="1:13" ht="18.75" x14ac:dyDescent="0.3">
      <c r="A17" s="208" t="s">
        <v>47</v>
      </c>
      <c r="B17" s="208"/>
    </row>
    <row r="18" spans="1:13" ht="18.75" x14ac:dyDescent="0.3">
      <c r="A18" s="210" t="s">
        <v>33</v>
      </c>
      <c r="B18" s="596" t="s">
        <v>150</v>
      </c>
      <c r="C18" s="597"/>
      <c r="D18" s="211"/>
      <c r="E18" s="211"/>
    </row>
    <row r="19" spans="1:13" ht="18.75" x14ac:dyDescent="0.3">
      <c r="A19" s="210" t="s">
        <v>34</v>
      </c>
      <c r="B19" s="212" t="s">
        <v>151</v>
      </c>
      <c r="C19" s="213">
        <v>35</v>
      </c>
    </row>
    <row r="20" spans="1:13" ht="18.75" x14ac:dyDescent="0.3">
      <c r="A20" s="210" t="s">
        <v>35</v>
      </c>
      <c r="B20" s="212" t="s">
        <v>152</v>
      </c>
    </row>
    <row r="21" spans="1:13" ht="18.75" x14ac:dyDescent="0.3">
      <c r="A21" s="210" t="s">
        <v>36</v>
      </c>
      <c r="B21" s="214" t="s">
        <v>153</v>
      </c>
      <c r="C21" s="215"/>
      <c r="D21" s="215"/>
      <c r="E21" s="215"/>
      <c r="F21" s="215"/>
      <c r="G21" s="215"/>
      <c r="H21" s="215"/>
    </row>
    <row r="22" spans="1:13" ht="18.75" x14ac:dyDescent="0.3">
      <c r="A22" s="210" t="s">
        <v>37</v>
      </c>
      <c r="B22" s="216">
        <v>42403</v>
      </c>
    </row>
    <row r="23" spans="1:13" ht="18.75" x14ac:dyDescent="0.3">
      <c r="A23" s="210" t="s">
        <v>38</v>
      </c>
      <c r="B23" s="216">
        <v>42408</v>
      </c>
    </row>
    <row r="24" spans="1:13" ht="18.75" x14ac:dyDescent="0.3">
      <c r="A24" s="210"/>
      <c r="B24" s="217"/>
    </row>
    <row r="25" spans="1:13" ht="18.75" x14ac:dyDescent="0.3">
      <c r="A25" s="218" t="s">
        <v>1</v>
      </c>
      <c r="B25" s="217"/>
    </row>
    <row r="26" spans="1:13" ht="26.25" customHeight="1" x14ac:dyDescent="0.4">
      <c r="A26" s="219" t="s">
        <v>4</v>
      </c>
      <c r="B26" s="598" t="s">
        <v>154</v>
      </c>
      <c r="C26" s="568"/>
    </row>
    <row r="27" spans="1:13" ht="26.25" customHeight="1" x14ac:dyDescent="0.4">
      <c r="A27" s="220" t="s">
        <v>48</v>
      </c>
      <c r="B27" s="221" t="s">
        <v>140</v>
      </c>
    </row>
    <row r="28" spans="1:13" ht="27" customHeight="1" thickBot="1" x14ac:dyDescent="0.45">
      <c r="A28" s="220" t="s">
        <v>6</v>
      </c>
      <c r="B28" s="222">
        <v>99.4</v>
      </c>
    </row>
    <row r="29" spans="1:13" s="223" customFormat="1" ht="27" customHeight="1" thickBot="1" x14ac:dyDescent="0.45">
      <c r="A29" s="220" t="s">
        <v>49</v>
      </c>
      <c r="B29" s="222">
        <v>0</v>
      </c>
      <c r="C29" s="569" t="s">
        <v>104</v>
      </c>
      <c r="D29" s="570"/>
      <c r="E29" s="570"/>
      <c r="F29" s="570"/>
      <c r="G29" s="571"/>
      <c r="I29" s="224"/>
      <c r="J29" s="224"/>
      <c r="K29" s="224"/>
    </row>
    <row r="30" spans="1:13" s="223" customFormat="1" ht="19.5" customHeight="1" thickBot="1" x14ac:dyDescent="0.35">
      <c r="A30" s="220" t="s">
        <v>51</v>
      </c>
      <c r="B30" s="225">
        <f>B28-B29</f>
        <v>99.4</v>
      </c>
      <c r="C30" s="226"/>
      <c r="D30" s="226"/>
      <c r="E30" s="226"/>
      <c r="F30" s="226"/>
      <c r="G30" s="227"/>
      <c r="I30" s="224"/>
      <c r="J30" s="224"/>
      <c r="K30" s="224"/>
    </row>
    <row r="31" spans="1:13" s="223" customFormat="1" ht="27" customHeight="1" thickBot="1" x14ac:dyDescent="0.45">
      <c r="A31" s="220" t="s">
        <v>52</v>
      </c>
      <c r="B31" s="228">
        <v>1</v>
      </c>
      <c r="C31" s="572" t="s">
        <v>53</v>
      </c>
      <c r="D31" s="573"/>
      <c r="E31" s="573"/>
      <c r="F31" s="573"/>
      <c r="G31" s="573"/>
      <c r="H31" s="574"/>
      <c r="I31" s="224"/>
      <c r="J31" s="224"/>
      <c r="K31" s="224"/>
    </row>
    <row r="32" spans="1:13" s="223" customFormat="1" ht="27" customHeight="1" thickBot="1" x14ac:dyDescent="0.45">
      <c r="A32" s="220" t="s">
        <v>54</v>
      </c>
      <c r="B32" s="228">
        <v>1</v>
      </c>
      <c r="C32" s="572" t="s">
        <v>55</v>
      </c>
      <c r="D32" s="573"/>
      <c r="E32" s="573"/>
      <c r="F32" s="573"/>
      <c r="G32" s="573"/>
      <c r="H32" s="574"/>
      <c r="I32" s="224"/>
      <c r="J32" s="224"/>
      <c r="K32" s="229"/>
      <c r="L32" s="229"/>
      <c r="M32" s="230"/>
    </row>
    <row r="33" spans="1:13" s="223" customFormat="1" ht="17.25" customHeight="1" x14ac:dyDescent="0.3">
      <c r="A33" s="220"/>
      <c r="B33" s="231"/>
      <c r="C33" s="232"/>
      <c r="D33" s="232"/>
      <c r="E33" s="232"/>
      <c r="F33" s="232"/>
      <c r="G33" s="232"/>
      <c r="H33" s="232"/>
      <c r="I33" s="224"/>
      <c r="J33" s="224"/>
      <c r="K33" s="229"/>
      <c r="L33" s="229"/>
      <c r="M33" s="230"/>
    </row>
    <row r="34" spans="1:13" s="223" customFormat="1" ht="18.75" x14ac:dyDescent="0.3">
      <c r="A34" s="220" t="s">
        <v>56</v>
      </c>
      <c r="B34" s="233">
        <f>B31/B32</f>
        <v>1</v>
      </c>
      <c r="C34" s="234" t="s">
        <v>57</v>
      </c>
      <c r="D34" s="234"/>
      <c r="E34" s="234"/>
      <c r="F34" s="234"/>
      <c r="G34" s="234"/>
      <c r="I34" s="224"/>
      <c r="J34" s="224"/>
      <c r="K34" s="229"/>
      <c r="L34" s="229"/>
      <c r="M34" s="230"/>
    </row>
    <row r="35" spans="1:13" s="223" customFormat="1" ht="19.5" customHeight="1" thickBot="1" x14ac:dyDescent="0.35">
      <c r="A35" s="220"/>
      <c r="B35" s="225"/>
      <c r="G35" s="234"/>
      <c r="I35" s="224"/>
      <c r="J35" s="224"/>
      <c r="K35" s="229"/>
      <c r="L35" s="229"/>
      <c r="M35" s="230"/>
    </row>
    <row r="36" spans="1:13" s="223" customFormat="1" ht="27" customHeight="1" thickBot="1" x14ac:dyDescent="0.45">
      <c r="A36" s="235" t="s">
        <v>128</v>
      </c>
      <c r="B36" s="236">
        <v>50</v>
      </c>
      <c r="C36" s="234"/>
      <c r="D36" s="575" t="s">
        <v>59</v>
      </c>
      <c r="E36" s="590"/>
      <c r="F36" s="575" t="s">
        <v>60</v>
      </c>
      <c r="G36" s="576"/>
      <c r="I36" s="224"/>
      <c r="J36" s="224"/>
      <c r="K36" s="229"/>
      <c r="L36" s="229"/>
      <c r="M36" s="230"/>
    </row>
    <row r="37" spans="1:13" s="223" customFormat="1" ht="26.25" customHeight="1" x14ac:dyDescent="0.4">
      <c r="A37" s="237" t="s">
        <v>61</v>
      </c>
      <c r="B37" s="238">
        <v>1</v>
      </c>
      <c r="C37" s="239" t="s">
        <v>129</v>
      </c>
      <c r="D37" s="240" t="s">
        <v>63</v>
      </c>
      <c r="E37" s="241" t="s">
        <v>64</v>
      </c>
      <c r="F37" s="240" t="s">
        <v>63</v>
      </c>
      <c r="G37" s="242" t="s">
        <v>64</v>
      </c>
      <c r="I37" s="224"/>
      <c r="J37" s="224"/>
      <c r="K37" s="229"/>
      <c r="L37" s="229"/>
      <c r="M37" s="230"/>
    </row>
    <row r="38" spans="1:13" s="223" customFormat="1" ht="26.25" customHeight="1" x14ac:dyDescent="0.4">
      <c r="A38" s="237" t="s">
        <v>65</v>
      </c>
      <c r="B38" s="238">
        <v>1</v>
      </c>
      <c r="C38" s="243">
        <v>1</v>
      </c>
      <c r="D38" s="244">
        <v>83109278</v>
      </c>
      <c r="E38" s="245">
        <f>IF(ISBLANK(D38),"-",$D$48/$D$45*D38)</f>
        <v>79964559.737922549</v>
      </c>
      <c r="F38" s="244">
        <v>84399188</v>
      </c>
      <c r="G38" s="246">
        <f>IF(ISBLANK(F38),"-",$D$48/$F$45*F38)</f>
        <v>79383545.100069374</v>
      </c>
      <c r="I38" s="224"/>
      <c r="J38" s="224"/>
      <c r="K38" s="229"/>
      <c r="L38" s="229"/>
      <c r="M38" s="230"/>
    </row>
    <row r="39" spans="1:13" s="223" customFormat="1" ht="26.25" customHeight="1" x14ac:dyDescent="0.4">
      <c r="A39" s="237" t="s">
        <v>66</v>
      </c>
      <c r="B39" s="238">
        <v>1</v>
      </c>
      <c r="C39" s="247">
        <v>2</v>
      </c>
      <c r="D39" s="248">
        <v>83128486</v>
      </c>
      <c r="E39" s="249">
        <f>IF(ISBLANK(D39),"-",$D$48/$D$45*D39)</f>
        <v>79983040.938823447</v>
      </c>
      <c r="F39" s="248">
        <v>84409844</v>
      </c>
      <c r="G39" s="250">
        <f>IF(ISBLANK(F39),"-",$D$48/$F$45*F39)</f>
        <v>79393567.839347228</v>
      </c>
      <c r="I39" s="224"/>
      <c r="J39" s="224"/>
      <c r="K39" s="229"/>
      <c r="L39" s="229"/>
      <c r="M39" s="230"/>
    </row>
    <row r="40" spans="1:13" ht="26.25" customHeight="1" x14ac:dyDescent="0.4">
      <c r="A40" s="237" t="s">
        <v>67</v>
      </c>
      <c r="B40" s="238">
        <v>1</v>
      </c>
      <c r="C40" s="247">
        <v>3</v>
      </c>
      <c r="D40" s="248">
        <v>83202372</v>
      </c>
      <c r="E40" s="249">
        <f>IF(ISBLANK(D40),"-",$D$48/$D$45*D40)</f>
        <v>80054131.214217201</v>
      </c>
      <c r="F40" s="248">
        <v>84504938</v>
      </c>
      <c r="G40" s="250">
        <f>IF(ISBLANK(F40),"-",$D$48/$F$45*F40)</f>
        <v>79483010.629220337</v>
      </c>
      <c r="K40" s="229"/>
      <c r="L40" s="229"/>
      <c r="M40" s="234"/>
    </row>
    <row r="41" spans="1:13" ht="26.25" customHeight="1" x14ac:dyDescent="0.4">
      <c r="A41" s="237" t="s">
        <v>68</v>
      </c>
      <c r="B41" s="238">
        <v>1</v>
      </c>
      <c r="C41" s="251">
        <v>4</v>
      </c>
      <c r="D41" s="252"/>
      <c r="E41" s="253" t="str">
        <f>IF(ISBLANK(D41),"-",$D$48/$D$45*D41)</f>
        <v>-</v>
      </c>
      <c r="F41" s="252"/>
      <c r="G41" s="254" t="str">
        <f>IF(ISBLANK(F41),"-",$D$48/$F$45*F41)</f>
        <v>-</v>
      </c>
      <c r="K41" s="229"/>
      <c r="L41" s="229"/>
      <c r="M41" s="234"/>
    </row>
    <row r="42" spans="1:13" ht="27" customHeight="1" thickBot="1" x14ac:dyDescent="0.45">
      <c r="A42" s="237" t="s">
        <v>69</v>
      </c>
      <c r="B42" s="238">
        <v>1</v>
      </c>
      <c r="C42" s="255" t="s">
        <v>70</v>
      </c>
      <c r="D42" s="256">
        <f>AVERAGE(D38:D41)</f>
        <v>83146712</v>
      </c>
      <c r="E42" s="257">
        <f>AVERAGE(E38:E41)</f>
        <v>80000577.296987727</v>
      </c>
      <c r="F42" s="258">
        <f>AVERAGE(F38:F41)</f>
        <v>84437990</v>
      </c>
      <c r="G42" s="259">
        <f>AVERAGE(G38:G41)</f>
        <v>79420041.189545646</v>
      </c>
      <c r="H42" s="260"/>
    </row>
    <row r="43" spans="1:13" ht="26.25" customHeight="1" x14ac:dyDescent="0.4">
      <c r="A43" s="237" t="s">
        <v>71</v>
      </c>
      <c r="B43" s="222">
        <v>1</v>
      </c>
      <c r="C43" s="261" t="s">
        <v>72</v>
      </c>
      <c r="D43" s="262">
        <v>13.07</v>
      </c>
      <c r="E43" s="234"/>
      <c r="F43" s="262">
        <v>13.37</v>
      </c>
      <c r="H43" s="260"/>
    </row>
    <row r="44" spans="1:13" ht="26.25" customHeight="1" x14ac:dyDescent="0.4">
      <c r="A44" s="237" t="s">
        <v>73</v>
      </c>
      <c r="B44" s="222">
        <v>1</v>
      </c>
      <c r="C44" s="263" t="s">
        <v>74</v>
      </c>
      <c r="D44" s="264">
        <f>D43*$B$34</f>
        <v>13.07</v>
      </c>
      <c r="E44" s="265"/>
      <c r="F44" s="266">
        <f>F43*$B$34</f>
        <v>13.37</v>
      </c>
      <c r="H44" s="260"/>
    </row>
    <row r="45" spans="1:13" ht="19.5" customHeight="1" thickBot="1" x14ac:dyDescent="0.35">
      <c r="A45" s="237" t="s">
        <v>75</v>
      </c>
      <c r="B45" s="225">
        <f>(B44/B43)*(B42/B41)*(B40/B39)*(B38/B37)*B36</f>
        <v>50</v>
      </c>
      <c r="C45" s="263" t="s">
        <v>76</v>
      </c>
      <c r="D45" s="267">
        <f>D44*$B$30/100</f>
        <v>12.991580000000001</v>
      </c>
      <c r="E45" s="268"/>
      <c r="F45" s="269">
        <f>F44*$B$30/100</f>
        <v>13.28978</v>
      </c>
      <c r="H45" s="260"/>
    </row>
    <row r="46" spans="1:13" ht="19.5" customHeight="1" thickBot="1" x14ac:dyDescent="0.35">
      <c r="A46" s="562" t="s">
        <v>77</v>
      </c>
      <c r="B46" s="577"/>
      <c r="C46" s="263" t="s">
        <v>78</v>
      </c>
      <c r="D46" s="264">
        <f>D45/$B$45</f>
        <v>0.2598316</v>
      </c>
      <c r="E46" s="268"/>
      <c r="F46" s="270">
        <f>F45/$B$45</f>
        <v>0.26579560000000002</v>
      </c>
      <c r="H46" s="260"/>
    </row>
    <row r="47" spans="1:13" ht="27" customHeight="1" thickBot="1" x14ac:dyDescent="0.45">
      <c r="A47" s="564"/>
      <c r="B47" s="578"/>
      <c r="C47" s="263" t="s">
        <v>79</v>
      </c>
      <c r="D47" s="271">
        <v>0.25</v>
      </c>
      <c r="F47" s="272"/>
      <c r="H47" s="260"/>
    </row>
    <row r="48" spans="1:13" ht="18.75" x14ac:dyDescent="0.3">
      <c r="C48" s="263" t="s">
        <v>80</v>
      </c>
      <c r="D48" s="264">
        <f>D47*$B$45</f>
        <v>12.5</v>
      </c>
      <c r="F48" s="272"/>
      <c r="H48" s="260"/>
    </row>
    <row r="49" spans="1:11" ht="19.5" customHeight="1" thickBot="1" x14ac:dyDescent="0.35">
      <c r="C49" s="273" t="s">
        <v>81</v>
      </c>
      <c r="D49" s="274">
        <f>D48/B34</f>
        <v>12.5</v>
      </c>
      <c r="F49" s="275"/>
      <c r="H49" s="260"/>
    </row>
    <row r="50" spans="1:11" ht="18.75" x14ac:dyDescent="0.3">
      <c r="C50" s="276" t="s">
        <v>82</v>
      </c>
      <c r="D50" s="277">
        <f>AVERAGE(E38:E41,G38:G41)</f>
        <v>79710309.243266702</v>
      </c>
      <c r="F50" s="275"/>
      <c r="H50" s="260"/>
    </row>
    <row r="51" spans="1:11" ht="18.75" x14ac:dyDescent="0.3">
      <c r="C51" s="278" t="s">
        <v>83</v>
      </c>
      <c r="D51" s="279">
        <f>STDEV(E38:E41,G38:G41)/D50</f>
        <v>4.0302041608885342E-3</v>
      </c>
      <c r="F51" s="275"/>
    </row>
    <row r="52" spans="1:11" ht="19.5" customHeight="1" thickBot="1" x14ac:dyDescent="0.35">
      <c r="C52" s="280" t="s">
        <v>20</v>
      </c>
      <c r="D52" s="281">
        <f>COUNT(E38:E41,G38:G41)</f>
        <v>6</v>
      </c>
      <c r="F52" s="275"/>
    </row>
    <row r="54" spans="1:11" ht="18.75" x14ac:dyDescent="0.3">
      <c r="A54" s="208" t="s">
        <v>1</v>
      </c>
      <c r="B54" s="282" t="s">
        <v>84</v>
      </c>
    </row>
    <row r="55" spans="1:11" ht="18.75" x14ac:dyDescent="0.3">
      <c r="A55" s="234" t="s">
        <v>85</v>
      </c>
      <c r="B55" s="283" t="str">
        <f>B21</f>
        <v>Each film coated tablet contains Tadalafil 20 mg</v>
      </c>
    </row>
    <row r="56" spans="1:11" ht="26.25" customHeight="1" x14ac:dyDescent="0.4">
      <c r="A56" s="283" t="s">
        <v>86</v>
      </c>
      <c r="B56" s="222">
        <v>20</v>
      </c>
      <c r="C56" s="234" t="str">
        <f>B20</f>
        <v>Tadalafil 20 mg</v>
      </c>
      <c r="H56" s="265"/>
    </row>
    <row r="57" spans="1:11" ht="18.75" x14ac:dyDescent="0.3">
      <c r="A57" s="283" t="s">
        <v>87</v>
      </c>
      <c r="B57" s="284">
        <f>[2]Uniformity!C36</f>
        <v>325.27200000000005</v>
      </c>
      <c r="H57" s="265"/>
    </row>
    <row r="58" spans="1:11" ht="19.5" customHeight="1" thickBot="1" x14ac:dyDescent="0.35">
      <c r="H58" s="265"/>
    </row>
    <row r="59" spans="1:11" s="223" customFormat="1" ht="27" customHeight="1" thickBot="1" x14ac:dyDescent="0.45">
      <c r="A59" s="235" t="s">
        <v>130</v>
      </c>
      <c r="B59" s="236">
        <v>100</v>
      </c>
      <c r="C59" s="234"/>
      <c r="D59" s="285" t="s">
        <v>120</v>
      </c>
      <c r="E59" s="286" t="s">
        <v>62</v>
      </c>
      <c r="F59" s="286" t="s">
        <v>63</v>
      </c>
      <c r="G59" s="286" t="s">
        <v>121</v>
      </c>
      <c r="H59" s="239" t="s">
        <v>122</v>
      </c>
      <c r="K59" s="224"/>
    </row>
    <row r="60" spans="1:11" s="223" customFormat="1" ht="22.5" customHeight="1" x14ac:dyDescent="0.4">
      <c r="A60" s="237" t="s">
        <v>109</v>
      </c>
      <c r="B60" s="238">
        <v>1</v>
      </c>
      <c r="C60" s="579" t="s">
        <v>123</v>
      </c>
      <c r="D60" s="582">
        <v>406.22</v>
      </c>
      <c r="E60" s="287">
        <v>1</v>
      </c>
      <c r="F60" s="288">
        <v>81947077</v>
      </c>
      <c r="G60" s="289">
        <f>IF(ISBLANK(F60),"-",(F60/$D$50*$D$47*$B$68)*($B$57/$D$60))</f>
        <v>20.579952120839931</v>
      </c>
      <c r="H60" s="290">
        <f t="shared" ref="H60:H71" si="0">IF(ISBLANK(F60),"-",G60/$B$56)</f>
        <v>1.0289976060419965</v>
      </c>
      <c r="K60" s="224"/>
    </row>
    <row r="61" spans="1:11" s="223" customFormat="1" ht="26.25" customHeight="1" x14ac:dyDescent="0.4">
      <c r="A61" s="237" t="s">
        <v>110</v>
      </c>
      <c r="B61" s="238">
        <v>1</v>
      </c>
      <c r="C61" s="580"/>
      <c r="D61" s="583"/>
      <c r="E61" s="291">
        <v>2</v>
      </c>
      <c r="F61" s="248">
        <v>82165300</v>
      </c>
      <c r="G61" s="292">
        <f>IF(ISBLANK(F61),"-",(F61/$D$50*$D$47*$B$68)*($B$57/$D$60))</f>
        <v>20.634756014475652</v>
      </c>
      <c r="H61" s="293">
        <f t="shared" si="0"/>
        <v>1.0317378007237825</v>
      </c>
      <c r="K61" s="224"/>
    </row>
    <row r="62" spans="1:11" s="223" customFormat="1" ht="26.25" customHeight="1" x14ac:dyDescent="0.4">
      <c r="A62" s="237" t="s">
        <v>111</v>
      </c>
      <c r="B62" s="238">
        <v>1</v>
      </c>
      <c r="C62" s="580"/>
      <c r="D62" s="583"/>
      <c r="E62" s="291">
        <v>3</v>
      </c>
      <c r="F62" s="294">
        <v>82270311</v>
      </c>
      <c r="G62" s="292">
        <f>IF(ISBLANK(F62),"-",(F62/$D$50*$D$47*$B$68)*($B$57/$D$60))</f>
        <v>20.66112817357245</v>
      </c>
      <c r="H62" s="293">
        <f t="shared" si="0"/>
        <v>1.0330564086786225</v>
      </c>
      <c r="K62" s="224"/>
    </row>
    <row r="63" spans="1:11" ht="21" customHeight="1" thickBot="1" x14ac:dyDescent="0.45">
      <c r="A63" s="237" t="s">
        <v>112</v>
      </c>
      <c r="B63" s="238">
        <v>1</v>
      </c>
      <c r="C63" s="581"/>
      <c r="D63" s="584"/>
      <c r="E63" s="295">
        <v>4</v>
      </c>
      <c r="F63" s="296"/>
      <c r="G63" s="292" t="str">
        <f>IF(ISBLANK(F63),"-",(F63/$D$50*$D$47*$B$68)*($B$57/$D$60))</f>
        <v>-</v>
      </c>
      <c r="H63" s="293" t="str">
        <f t="shared" si="0"/>
        <v>-</v>
      </c>
    </row>
    <row r="64" spans="1:11" ht="26.25" customHeight="1" x14ac:dyDescent="0.4">
      <c r="A64" s="237" t="s">
        <v>113</v>
      </c>
      <c r="B64" s="238">
        <v>1</v>
      </c>
      <c r="C64" s="579" t="s">
        <v>124</v>
      </c>
      <c r="D64" s="582">
        <v>415.54</v>
      </c>
      <c r="E64" s="287">
        <v>1</v>
      </c>
      <c r="F64" s="288">
        <v>86491069</v>
      </c>
      <c r="G64" s="297">
        <f>IF(ISBLANK(F64),"-",(F64/$D$50*$D$47*$B$68)*($B$57/$D$64))</f>
        <v>21.233941871106783</v>
      </c>
      <c r="H64" s="298">
        <f t="shared" si="0"/>
        <v>1.0616970935553391</v>
      </c>
    </row>
    <row r="65" spans="1:8" ht="26.25" customHeight="1" x14ac:dyDescent="0.4">
      <c r="A65" s="237" t="s">
        <v>114</v>
      </c>
      <c r="B65" s="238">
        <v>1</v>
      </c>
      <c r="C65" s="580"/>
      <c r="D65" s="583"/>
      <c r="E65" s="291">
        <v>2</v>
      </c>
      <c r="F65" s="248">
        <v>85532828</v>
      </c>
      <c r="G65" s="299">
        <f>IF(ISBLANK(F65),"-",(F65/$D$50*$D$47*$B$68)*($B$57/$D$64))</f>
        <v>20.998689446460361</v>
      </c>
      <c r="H65" s="300">
        <f t="shared" si="0"/>
        <v>1.049934472323018</v>
      </c>
    </row>
    <row r="66" spans="1:8" ht="26.25" customHeight="1" x14ac:dyDescent="0.4">
      <c r="A66" s="237" t="s">
        <v>115</v>
      </c>
      <c r="B66" s="238">
        <v>1</v>
      </c>
      <c r="C66" s="580"/>
      <c r="D66" s="583"/>
      <c r="E66" s="291">
        <v>3</v>
      </c>
      <c r="F66" s="248">
        <v>85994848</v>
      </c>
      <c r="G66" s="299">
        <f>IF(ISBLANK(F66),"-",(F66/$D$50*$D$47*$B$68)*($B$57/$D$64))</f>
        <v>21.112117410026038</v>
      </c>
      <c r="H66" s="300">
        <f t="shared" si="0"/>
        <v>1.0556058705013018</v>
      </c>
    </row>
    <row r="67" spans="1:8" ht="21" customHeight="1" thickBot="1" x14ac:dyDescent="0.45">
      <c r="A67" s="237" t="s">
        <v>116</v>
      </c>
      <c r="B67" s="238">
        <v>1</v>
      </c>
      <c r="C67" s="581"/>
      <c r="D67" s="584"/>
      <c r="E67" s="295">
        <v>4</v>
      </c>
      <c r="F67" s="296"/>
      <c r="G67" s="301" t="str">
        <f>IF(ISBLANK(F67),"-",(F67/$D$50*$D$47*$B$68)*($B$57/$D$64))</f>
        <v>-</v>
      </c>
      <c r="H67" s="302" t="str">
        <f t="shared" si="0"/>
        <v>-</v>
      </c>
    </row>
    <row r="68" spans="1:8" ht="21.75" customHeight="1" x14ac:dyDescent="0.4">
      <c r="A68" s="237" t="s">
        <v>117</v>
      </c>
      <c r="B68" s="303">
        <f>(B67/B66)*(B65/B64)*(B63/B62)*(B61/B60)*B59</f>
        <v>100</v>
      </c>
      <c r="C68" s="579" t="s">
        <v>125</v>
      </c>
      <c r="D68" s="582">
        <v>424.42</v>
      </c>
      <c r="E68" s="287">
        <v>1</v>
      </c>
      <c r="F68" s="288">
        <v>86304740</v>
      </c>
      <c r="G68" s="297">
        <f>IF(ISBLANK(F68),"-",(F68/$D$50*$D$47*$B$68)*($B$57/$D$68))</f>
        <v>20.744883594074178</v>
      </c>
      <c r="H68" s="293">
        <f t="shared" si="0"/>
        <v>1.0372441797037089</v>
      </c>
    </row>
    <row r="69" spans="1:8" ht="21.75" customHeight="1" thickBot="1" x14ac:dyDescent="0.45">
      <c r="A69" s="304" t="s">
        <v>126</v>
      </c>
      <c r="B69" s="305">
        <f>D47*B68/B56*B57</f>
        <v>406.59000000000003</v>
      </c>
      <c r="C69" s="580"/>
      <c r="D69" s="583"/>
      <c r="E69" s="291">
        <v>2</v>
      </c>
      <c r="F69" s="248">
        <v>86220080</v>
      </c>
      <c r="G69" s="299">
        <f>IF(ISBLANK(F69),"-",(F69/$D$50*$D$47*$B$68)*($B$57/$D$68))</f>
        <v>20.724534053074759</v>
      </c>
      <c r="H69" s="293">
        <f t="shared" si="0"/>
        <v>1.036226702653738</v>
      </c>
    </row>
    <row r="70" spans="1:8" ht="22.5" customHeight="1" x14ac:dyDescent="0.4">
      <c r="A70" s="586" t="s">
        <v>77</v>
      </c>
      <c r="B70" s="587"/>
      <c r="C70" s="580"/>
      <c r="D70" s="583"/>
      <c r="E70" s="291">
        <v>3</v>
      </c>
      <c r="F70" s="248">
        <v>86048747</v>
      </c>
      <c r="G70" s="299">
        <f>IF(ISBLANK(F70),"-",(F70/$D$50*$D$47*$B$68)*($B$57/$D$68))</f>
        <v>20.683351110621963</v>
      </c>
      <c r="H70" s="293">
        <f t="shared" si="0"/>
        <v>1.0341675555310981</v>
      </c>
    </row>
    <row r="71" spans="1:8" ht="21.75" customHeight="1" thickBot="1" x14ac:dyDescent="0.45">
      <c r="A71" s="588"/>
      <c r="B71" s="589"/>
      <c r="C71" s="585"/>
      <c r="D71" s="584"/>
      <c r="E71" s="295">
        <v>4</v>
      </c>
      <c r="F71" s="296"/>
      <c r="G71" s="301" t="str">
        <f>IF(ISBLANK(F71),"-",(F71/$D$50*$D$47*$B$68)*($B$57/$D$68))</f>
        <v>-</v>
      </c>
      <c r="H71" s="306" t="str">
        <f t="shared" si="0"/>
        <v>-</v>
      </c>
    </row>
    <row r="72" spans="1:8" ht="26.25" customHeight="1" x14ac:dyDescent="0.4">
      <c r="A72" s="265"/>
      <c r="B72" s="265"/>
      <c r="C72" s="265"/>
      <c r="D72" s="265"/>
      <c r="E72" s="265"/>
      <c r="F72" s="265"/>
      <c r="G72" s="307" t="s">
        <v>70</v>
      </c>
      <c r="H72" s="308">
        <f>AVERAGE(H60:H71)</f>
        <v>1.040963076634734</v>
      </c>
    </row>
    <row r="73" spans="1:8" ht="26.25" customHeight="1" x14ac:dyDescent="0.4">
      <c r="C73" s="265"/>
      <c r="D73" s="265"/>
      <c r="E73" s="265"/>
      <c r="F73" s="265"/>
      <c r="G73" s="278" t="s">
        <v>83</v>
      </c>
      <c r="H73" s="309">
        <f>STDEV(H60:H71)/H72</f>
        <v>1.125453012056897E-2</v>
      </c>
    </row>
    <row r="74" spans="1:8" ht="27" customHeight="1" thickBot="1" x14ac:dyDescent="0.45">
      <c r="A74" s="265"/>
      <c r="B74" s="265"/>
      <c r="C74" s="265"/>
      <c r="D74" s="265"/>
      <c r="E74" s="268"/>
      <c r="F74" s="265"/>
      <c r="G74" s="280" t="s">
        <v>20</v>
      </c>
      <c r="H74" s="310">
        <f>COUNT(H60:H71)</f>
        <v>9</v>
      </c>
    </row>
    <row r="75" spans="1:8" ht="18.75" x14ac:dyDescent="0.3">
      <c r="A75" s="265"/>
      <c r="B75" s="265"/>
      <c r="C75" s="265"/>
      <c r="D75" s="265"/>
      <c r="E75" s="268"/>
      <c r="F75" s="265"/>
      <c r="G75" s="220"/>
      <c r="H75" s="225"/>
    </row>
    <row r="76" spans="1:8" ht="18.75" x14ac:dyDescent="0.3">
      <c r="A76" s="219" t="s">
        <v>95</v>
      </c>
      <c r="B76" s="220" t="s">
        <v>118</v>
      </c>
      <c r="C76" s="566" t="str">
        <f>B20</f>
        <v>Tadalafil 20 mg</v>
      </c>
      <c r="D76" s="566"/>
      <c r="E76" s="234" t="s">
        <v>97</v>
      </c>
      <c r="F76" s="234"/>
      <c r="G76" s="311">
        <f>H72</f>
        <v>1.040963076634734</v>
      </c>
      <c r="H76" s="225"/>
    </row>
    <row r="77" spans="1:8" ht="18.75" x14ac:dyDescent="0.3">
      <c r="A77" s="265"/>
      <c r="B77" s="265"/>
      <c r="C77" s="265"/>
      <c r="D77" s="265"/>
      <c r="E77" s="268"/>
      <c r="F77" s="265"/>
      <c r="G77" s="220"/>
      <c r="H77" s="225"/>
    </row>
    <row r="78" spans="1:8" ht="26.25" customHeight="1" x14ac:dyDescent="0.4">
      <c r="A78" s="218" t="s">
        <v>131</v>
      </c>
      <c r="B78" s="218" t="s">
        <v>132</v>
      </c>
      <c r="D78" s="312" t="s">
        <v>155</v>
      </c>
    </row>
    <row r="79" spans="1:8" ht="18.75" x14ac:dyDescent="0.3">
      <c r="A79" s="218"/>
      <c r="B79" s="218"/>
    </row>
    <row r="80" spans="1:8" ht="26.25" customHeight="1" x14ac:dyDescent="0.4">
      <c r="A80" s="219" t="s">
        <v>4</v>
      </c>
      <c r="B80" s="568" t="str">
        <f>B26</f>
        <v>Tadalfil</v>
      </c>
      <c r="C80" s="568"/>
    </row>
    <row r="81" spans="1:11" ht="26.25" customHeight="1" x14ac:dyDescent="0.4">
      <c r="A81" s="220" t="s">
        <v>48</v>
      </c>
      <c r="B81" s="222" t="str">
        <f>B27</f>
        <v>T1-2</v>
      </c>
    </row>
    <row r="82" spans="1:11" ht="27" customHeight="1" thickBot="1" x14ac:dyDescent="0.45">
      <c r="A82" s="220" t="s">
        <v>6</v>
      </c>
      <c r="B82" s="222">
        <f>B28</f>
        <v>99.4</v>
      </c>
    </row>
    <row r="83" spans="1:11" s="223" customFormat="1" ht="27" customHeight="1" thickBot="1" x14ac:dyDescent="0.45">
      <c r="A83" s="220" t="s">
        <v>49</v>
      </c>
      <c r="B83" s="222">
        <f>B29</f>
        <v>0</v>
      </c>
      <c r="C83" s="569" t="s">
        <v>104</v>
      </c>
      <c r="D83" s="570"/>
      <c r="E83" s="570"/>
      <c r="F83" s="570"/>
      <c r="G83" s="571"/>
      <c r="I83" s="224"/>
      <c r="J83" s="224"/>
      <c r="K83" s="224"/>
    </row>
    <row r="84" spans="1:11" s="223" customFormat="1" ht="19.5" customHeight="1" thickBot="1" x14ac:dyDescent="0.35">
      <c r="A84" s="220" t="s">
        <v>51</v>
      </c>
      <c r="B84" s="225">
        <f>B82-B83</f>
        <v>99.4</v>
      </c>
      <c r="C84" s="226"/>
      <c r="D84" s="226"/>
      <c r="E84" s="226"/>
      <c r="F84" s="226"/>
      <c r="G84" s="227"/>
      <c r="I84" s="224"/>
      <c r="J84" s="224"/>
      <c r="K84" s="224"/>
    </row>
    <row r="85" spans="1:11" s="223" customFormat="1" ht="27" customHeight="1" thickBot="1" x14ac:dyDescent="0.45">
      <c r="A85" s="220" t="s">
        <v>52</v>
      </c>
      <c r="B85" s="228">
        <v>1</v>
      </c>
      <c r="C85" s="572" t="s">
        <v>53</v>
      </c>
      <c r="D85" s="573"/>
      <c r="E85" s="573"/>
      <c r="F85" s="573"/>
      <c r="G85" s="573"/>
      <c r="H85" s="574"/>
      <c r="I85" s="224"/>
      <c r="J85" s="224"/>
      <c r="K85" s="224"/>
    </row>
    <row r="86" spans="1:11" s="223" customFormat="1" ht="27" customHeight="1" thickBot="1" x14ac:dyDescent="0.45">
      <c r="A86" s="220" t="s">
        <v>54</v>
      </c>
      <c r="B86" s="228">
        <v>1</v>
      </c>
      <c r="C86" s="572" t="s">
        <v>55</v>
      </c>
      <c r="D86" s="573"/>
      <c r="E86" s="573"/>
      <c r="F86" s="573"/>
      <c r="G86" s="573"/>
      <c r="H86" s="574"/>
      <c r="I86" s="224"/>
      <c r="J86" s="224"/>
      <c r="K86" s="224"/>
    </row>
    <row r="87" spans="1:11" s="223" customFormat="1" ht="18.75" x14ac:dyDescent="0.3">
      <c r="A87" s="220"/>
      <c r="B87" s="225"/>
      <c r="C87" s="226"/>
      <c r="D87" s="226"/>
      <c r="E87" s="226"/>
      <c r="F87" s="226"/>
      <c r="G87" s="227"/>
      <c r="I87" s="224"/>
      <c r="J87" s="224"/>
      <c r="K87" s="224"/>
    </row>
    <row r="88" spans="1:11" s="223" customFormat="1" ht="18.75" x14ac:dyDescent="0.3">
      <c r="A88" s="220" t="s">
        <v>56</v>
      </c>
      <c r="B88" s="233">
        <f>B85/B86</f>
        <v>1</v>
      </c>
      <c r="C88" s="234" t="s">
        <v>57</v>
      </c>
      <c r="D88" s="226"/>
      <c r="E88" s="226"/>
      <c r="F88" s="226"/>
      <c r="G88" s="227"/>
      <c r="I88" s="224"/>
      <c r="J88" s="224"/>
      <c r="K88" s="224"/>
    </row>
    <row r="89" spans="1:11" ht="19.5" customHeight="1" thickBot="1" x14ac:dyDescent="0.35">
      <c r="A89" s="218"/>
      <c r="B89" s="218"/>
    </row>
    <row r="90" spans="1:11" ht="27" customHeight="1" thickBot="1" x14ac:dyDescent="0.45">
      <c r="A90" s="235" t="s">
        <v>128</v>
      </c>
      <c r="B90" s="236">
        <v>50</v>
      </c>
      <c r="D90" s="313" t="s">
        <v>59</v>
      </c>
      <c r="E90" s="314"/>
      <c r="F90" s="575" t="s">
        <v>60</v>
      </c>
      <c r="G90" s="576"/>
    </row>
    <row r="91" spans="1:11" ht="26.25" customHeight="1" x14ac:dyDescent="0.4">
      <c r="A91" s="237" t="s">
        <v>61</v>
      </c>
      <c r="B91" s="238">
        <v>2</v>
      </c>
      <c r="C91" s="315" t="s">
        <v>129</v>
      </c>
      <c r="D91" s="240" t="s">
        <v>63</v>
      </c>
      <c r="E91" s="241" t="s">
        <v>64</v>
      </c>
      <c r="F91" s="240" t="s">
        <v>63</v>
      </c>
      <c r="G91" s="242" t="s">
        <v>64</v>
      </c>
    </row>
    <row r="92" spans="1:11" ht="26.25" customHeight="1" x14ac:dyDescent="0.4">
      <c r="A92" s="237" t="s">
        <v>65</v>
      </c>
      <c r="B92" s="238">
        <v>20</v>
      </c>
      <c r="C92" s="316">
        <v>1</v>
      </c>
      <c r="D92" s="244">
        <v>8442844</v>
      </c>
      <c r="E92" s="245">
        <f>IF(ISBLANK(D92),"-",$D$102/$D$99*D92)</f>
        <v>6498704.5455595087</v>
      </c>
      <c r="F92" s="244">
        <v>8667763</v>
      </c>
      <c r="G92" s="246">
        <f>IF(ISBLANK(F92),"-",$D$102/$F$99*F92)</f>
        <v>6522126.7771174544</v>
      </c>
    </row>
    <row r="93" spans="1:11" ht="26.25" customHeight="1" x14ac:dyDescent="0.4">
      <c r="A93" s="237" t="s">
        <v>66</v>
      </c>
      <c r="B93" s="238">
        <v>1</v>
      </c>
      <c r="C93" s="265">
        <v>2</v>
      </c>
      <c r="D93" s="248">
        <v>8389368</v>
      </c>
      <c r="E93" s="249">
        <f>IF(ISBLANK(D93),"-",$D$102/$D$99*D93)</f>
        <v>6457542.5006042374</v>
      </c>
      <c r="F93" s="248">
        <v>8648708</v>
      </c>
      <c r="G93" s="250">
        <f>IF(ISBLANK(F93),"-",$D$102/$F$99*F93)</f>
        <v>6507788.6917616399</v>
      </c>
    </row>
    <row r="94" spans="1:11" ht="26.25" customHeight="1" x14ac:dyDescent="0.4">
      <c r="A94" s="237" t="s">
        <v>67</v>
      </c>
      <c r="B94" s="238">
        <v>1</v>
      </c>
      <c r="C94" s="265">
        <v>3</v>
      </c>
      <c r="D94" s="248">
        <v>8412460</v>
      </c>
      <c r="E94" s="249">
        <f>IF(ISBLANK(D94),"-",$D$102/$D$99*D94)</f>
        <v>6475317.089992133</v>
      </c>
      <c r="F94" s="248">
        <v>8743225</v>
      </c>
      <c r="G94" s="250">
        <f>IF(ISBLANK(F94),"-",$D$102/$F$99*F94)</f>
        <v>6578908.7554496769</v>
      </c>
    </row>
    <row r="95" spans="1:11" ht="26.25" customHeight="1" x14ac:dyDescent="0.4">
      <c r="A95" s="237" t="s">
        <v>68</v>
      </c>
      <c r="B95" s="238">
        <v>1</v>
      </c>
      <c r="C95" s="317">
        <v>4</v>
      </c>
      <c r="D95" s="252"/>
      <c r="E95" s="253" t="str">
        <f>IF(ISBLANK(D95),"-",$D$102/$D$99*D95)</f>
        <v>-</v>
      </c>
      <c r="F95" s="318"/>
      <c r="G95" s="254" t="str">
        <f>IF(ISBLANK(F95),"-",$D$102/$F$99*F95)</f>
        <v>-</v>
      </c>
    </row>
    <row r="96" spans="1:11" ht="27" customHeight="1" thickBot="1" x14ac:dyDescent="0.45">
      <c r="A96" s="237" t="s">
        <v>69</v>
      </c>
      <c r="B96" s="238">
        <v>1</v>
      </c>
      <c r="C96" s="220" t="s">
        <v>70</v>
      </c>
      <c r="D96" s="319">
        <f>AVERAGE(D92:D95)</f>
        <v>8414890.666666666</v>
      </c>
      <c r="E96" s="257">
        <f>AVERAGE(E92:E95)</f>
        <v>6477188.0453852927</v>
      </c>
      <c r="F96" s="320">
        <f>AVERAGE(F92:F95)</f>
        <v>8686565.333333334</v>
      </c>
      <c r="G96" s="321">
        <f>AVERAGE(G92:G95)</f>
        <v>6536274.7414429234</v>
      </c>
    </row>
    <row r="97" spans="1:9" ht="26.25" customHeight="1" x14ac:dyDescent="0.4">
      <c r="A97" s="237" t="s">
        <v>71</v>
      </c>
      <c r="B97" s="222">
        <v>1</v>
      </c>
      <c r="C97" s="261" t="s">
        <v>72</v>
      </c>
      <c r="D97" s="262">
        <v>13.07</v>
      </c>
      <c r="E97" s="234"/>
      <c r="F97" s="262">
        <v>13.37</v>
      </c>
    </row>
    <row r="98" spans="1:9" ht="26.25" customHeight="1" x14ac:dyDescent="0.4">
      <c r="A98" s="237" t="s">
        <v>73</v>
      </c>
      <c r="B98" s="222">
        <v>1</v>
      </c>
      <c r="C98" s="263" t="s">
        <v>74</v>
      </c>
      <c r="D98" s="264">
        <f>D97*B88</f>
        <v>13.07</v>
      </c>
      <c r="E98" s="265"/>
      <c r="F98" s="266">
        <f>F97*B88</f>
        <v>13.37</v>
      </c>
    </row>
    <row r="99" spans="1:9" ht="19.5" customHeight="1" thickBot="1" x14ac:dyDescent="0.35">
      <c r="A99" s="237" t="s">
        <v>75</v>
      </c>
      <c r="B99" s="225">
        <f>(B98/B97)*(B96/B95)*(B94/B93)*(B92/B91)*B90</f>
        <v>500</v>
      </c>
      <c r="C99" s="263" t="s">
        <v>76</v>
      </c>
      <c r="D99" s="267">
        <f>D98*$B$84/100</f>
        <v>12.991580000000001</v>
      </c>
      <c r="E99" s="268"/>
      <c r="F99" s="269">
        <f>F98*$B$84/100</f>
        <v>13.28978</v>
      </c>
    </row>
    <row r="100" spans="1:9" ht="19.5" customHeight="1" thickBot="1" x14ac:dyDescent="0.35">
      <c r="A100" s="562" t="s">
        <v>77</v>
      </c>
      <c r="B100" s="577"/>
      <c r="C100" s="263" t="s">
        <v>78</v>
      </c>
      <c r="D100" s="264">
        <f>D99/$B$99</f>
        <v>2.5983160000000002E-2</v>
      </c>
      <c r="E100" s="268"/>
      <c r="F100" s="270">
        <f>F99/$B$99</f>
        <v>2.6579560000000002E-2</v>
      </c>
      <c r="H100" s="260"/>
    </row>
    <row r="101" spans="1:9" ht="19.5" customHeight="1" thickBot="1" x14ac:dyDescent="0.35">
      <c r="A101" s="564"/>
      <c r="B101" s="578"/>
      <c r="C101" s="263" t="s">
        <v>79</v>
      </c>
      <c r="D101" s="267">
        <f>$B$56/$B$117</f>
        <v>0.02</v>
      </c>
      <c r="F101" s="272"/>
      <c r="G101" s="322"/>
      <c r="H101" s="260"/>
    </row>
    <row r="102" spans="1:9" ht="18.75" x14ac:dyDescent="0.3">
      <c r="C102" s="263" t="s">
        <v>80</v>
      </c>
      <c r="D102" s="264">
        <f>D101*$B$99</f>
        <v>10</v>
      </c>
      <c r="F102" s="272"/>
      <c r="H102" s="260"/>
    </row>
    <row r="103" spans="1:9" ht="19.5" customHeight="1" thickBot="1" x14ac:dyDescent="0.35">
      <c r="C103" s="273" t="s">
        <v>81</v>
      </c>
      <c r="D103" s="274">
        <f>D102/B34</f>
        <v>10</v>
      </c>
      <c r="F103" s="275"/>
      <c r="H103" s="260"/>
      <c r="I103" s="323"/>
    </row>
    <row r="104" spans="1:9" ht="18.75" x14ac:dyDescent="0.3">
      <c r="C104" s="276" t="s">
        <v>127</v>
      </c>
      <c r="D104" s="277">
        <f>AVERAGE(E92:E95,G92:G95)</f>
        <v>6506731.3934141072</v>
      </c>
      <c r="F104" s="275"/>
      <c r="G104" s="322"/>
      <c r="H104" s="260"/>
      <c r="I104" s="324"/>
    </row>
    <row r="105" spans="1:9" ht="18.75" x14ac:dyDescent="0.3">
      <c r="C105" s="278" t="s">
        <v>83</v>
      </c>
      <c r="D105" s="325">
        <f>STDEV(E92:E95,G92:G95)/D104</f>
        <v>6.4908127398973781E-3</v>
      </c>
      <c r="F105" s="275"/>
      <c r="H105" s="260"/>
      <c r="I105" s="324"/>
    </row>
    <row r="106" spans="1:9" ht="19.5" customHeight="1" thickBot="1" x14ac:dyDescent="0.35">
      <c r="C106" s="280" t="s">
        <v>20</v>
      </c>
      <c r="D106" s="326">
        <f>COUNT(E92:E95,G92:G95)</f>
        <v>6</v>
      </c>
      <c r="F106" s="275"/>
      <c r="H106" s="260"/>
      <c r="I106" s="324"/>
    </row>
    <row r="107" spans="1:9" ht="19.5" customHeight="1" thickBot="1" x14ac:dyDescent="0.35">
      <c r="A107" s="208"/>
      <c r="B107" s="208"/>
      <c r="C107" s="208"/>
      <c r="D107" s="208"/>
      <c r="E107" s="208"/>
    </row>
    <row r="108" spans="1:9" ht="26.25" customHeight="1" x14ac:dyDescent="0.4">
      <c r="A108" s="235" t="s">
        <v>105</v>
      </c>
      <c r="B108" s="236">
        <v>1000</v>
      </c>
      <c r="C108" s="313" t="s">
        <v>106</v>
      </c>
      <c r="D108" s="327" t="s">
        <v>63</v>
      </c>
      <c r="E108" s="328" t="s">
        <v>107</v>
      </c>
      <c r="F108" s="329" t="s">
        <v>108</v>
      </c>
    </row>
    <row r="109" spans="1:9" ht="26.25" customHeight="1" x14ac:dyDescent="0.4">
      <c r="A109" s="237" t="s">
        <v>109</v>
      </c>
      <c r="B109" s="238">
        <v>1</v>
      </c>
      <c r="C109" s="330">
        <v>1</v>
      </c>
      <c r="D109" s="331">
        <v>5565022</v>
      </c>
      <c r="E109" s="332">
        <f t="shared" ref="E109:E114" si="1">IF(ISBLANK(D109),"-",D109/$D$104*$D$101*$B$117)</f>
        <v>17.105430249150064</v>
      </c>
      <c r="F109" s="333">
        <f t="shared" ref="F109:F114" si="2">IF(ISBLANK(D109), "-", E109/$B$56)</f>
        <v>0.85527151245750321</v>
      </c>
    </row>
    <row r="110" spans="1:9" ht="26.25" customHeight="1" x14ac:dyDescent="0.4">
      <c r="A110" s="237" t="s">
        <v>110</v>
      </c>
      <c r="B110" s="238">
        <v>1</v>
      </c>
      <c r="C110" s="330">
        <v>2</v>
      </c>
      <c r="D110" s="331">
        <v>4469823</v>
      </c>
      <c r="E110" s="334">
        <f t="shared" si="1"/>
        <v>13.739073368002261</v>
      </c>
      <c r="F110" s="335">
        <f t="shared" si="2"/>
        <v>0.68695366840011307</v>
      </c>
    </row>
    <row r="111" spans="1:9" ht="26.25" customHeight="1" x14ac:dyDescent="0.4">
      <c r="A111" s="237" t="s">
        <v>111</v>
      </c>
      <c r="B111" s="238">
        <v>1</v>
      </c>
      <c r="C111" s="330">
        <v>3</v>
      </c>
      <c r="D111" s="331">
        <v>3536665</v>
      </c>
      <c r="E111" s="334">
        <f t="shared" si="1"/>
        <v>10.870788376417973</v>
      </c>
      <c r="F111" s="335">
        <f t="shared" si="2"/>
        <v>0.54353941882089862</v>
      </c>
    </row>
    <row r="112" spans="1:9" ht="26.25" customHeight="1" x14ac:dyDescent="0.4">
      <c r="A112" s="237" t="s">
        <v>112</v>
      </c>
      <c r="B112" s="238">
        <v>1</v>
      </c>
      <c r="C112" s="330">
        <v>4</v>
      </c>
      <c r="D112" s="331">
        <v>3459105</v>
      </c>
      <c r="E112" s="334">
        <f t="shared" si="1"/>
        <v>10.63238910861201</v>
      </c>
      <c r="F112" s="335">
        <f t="shared" si="2"/>
        <v>0.53161945543060052</v>
      </c>
    </row>
    <row r="113" spans="1:9" ht="26.25" customHeight="1" x14ac:dyDescent="0.4">
      <c r="A113" s="237" t="s">
        <v>113</v>
      </c>
      <c r="B113" s="238">
        <v>1</v>
      </c>
      <c r="C113" s="330">
        <v>5</v>
      </c>
      <c r="D113" s="331">
        <v>5277487</v>
      </c>
      <c r="E113" s="334">
        <f t="shared" si="1"/>
        <v>16.221622442695864</v>
      </c>
      <c r="F113" s="335">
        <f t="shared" si="2"/>
        <v>0.81108112213479322</v>
      </c>
    </row>
    <row r="114" spans="1:9" ht="26.25" customHeight="1" x14ac:dyDescent="0.4">
      <c r="A114" s="237" t="s">
        <v>114</v>
      </c>
      <c r="B114" s="238">
        <v>1</v>
      </c>
      <c r="C114" s="336">
        <v>6</v>
      </c>
      <c r="D114" s="337">
        <v>4205730</v>
      </c>
      <c r="E114" s="338">
        <f t="shared" si="1"/>
        <v>12.927320172635058</v>
      </c>
      <c r="F114" s="339">
        <f t="shared" si="2"/>
        <v>0.64636600863175286</v>
      </c>
    </row>
    <row r="115" spans="1:9" ht="26.25" customHeight="1" x14ac:dyDescent="0.4">
      <c r="A115" s="237" t="s">
        <v>115</v>
      </c>
      <c r="B115" s="238">
        <v>1</v>
      </c>
      <c r="C115" s="330"/>
      <c r="D115" s="265"/>
      <c r="E115" s="234"/>
      <c r="F115" s="340"/>
    </row>
    <row r="116" spans="1:9" ht="26.25" customHeight="1" x14ac:dyDescent="0.4">
      <c r="A116" s="237" t="s">
        <v>116</v>
      </c>
      <c r="B116" s="238">
        <v>1</v>
      </c>
      <c r="C116" s="330"/>
      <c r="D116" s="341"/>
      <c r="E116" s="342" t="s">
        <v>70</v>
      </c>
      <c r="F116" s="343">
        <f>AVERAGE(F109:F114)</f>
        <v>0.6791385309792769</v>
      </c>
    </row>
    <row r="117" spans="1:9" ht="27" customHeight="1" thickBot="1" x14ac:dyDescent="0.45">
      <c r="A117" s="237" t="s">
        <v>117</v>
      </c>
      <c r="B117" s="303">
        <f>(B116/B115)*(B114/B113)*(B112/B111)*(B110/B109)*B108</f>
        <v>1000</v>
      </c>
      <c r="C117" s="344"/>
      <c r="D117" s="345"/>
      <c r="E117" s="220" t="s">
        <v>83</v>
      </c>
      <c r="F117" s="346">
        <f>STDEV(F109:F114)/F116</f>
        <v>0.19723821343288014</v>
      </c>
    </row>
    <row r="118" spans="1:9" ht="27" customHeight="1" thickBot="1" x14ac:dyDescent="0.45">
      <c r="A118" s="562" t="s">
        <v>77</v>
      </c>
      <c r="B118" s="563"/>
      <c r="C118" s="347"/>
      <c r="D118" s="348"/>
      <c r="E118" s="349" t="s">
        <v>20</v>
      </c>
      <c r="F118" s="350">
        <f>COUNT(F109:F114)</f>
        <v>6</v>
      </c>
      <c r="I118" s="324"/>
    </row>
    <row r="119" spans="1:9" ht="19.5" customHeight="1" thickBot="1" x14ac:dyDescent="0.35">
      <c r="A119" s="564"/>
      <c r="B119" s="565"/>
      <c r="C119" s="234"/>
      <c r="D119" s="234"/>
      <c r="E119" s="234"/>
      <c r="F119" s="265"/>
      <c r="G119" s="234"/>
      <c r="H119" s="234"/>
    </row>
    <row r="120" spans="1:9" ht="18.75" x14ac:dyDescent="0.3">
      <c r="A120" s="232"/>
      <c r="B120" s="232"/>
      <c r="C120" s="234"/>
      <c r="D120" s="234"/>
      <c r="E120" s="234"/>
      <c r="F120" s="265"/>
      <c r="G120" s="234"/>
      <c r="H120" s="234"/>
    </row>
    <row r="121" spans="1:9" ht="26.25" customHeight="1" x14ac:dyDescent="0.4">
      <c r="A121" s="219" t="s">
        <v>95</v>
      </c>
      <c r="B121" s="220" t="s">
        <v>118</v>
      </c>
      <c r="C121" s="566" t="str">
        <f>B20</f>
        <v>Tadalafil 20 mg</v>
      </c>
      <c r="D121" s="566"/>
      <c r="E121" s="234" t="s">
        <v>119</v>
      </c>
      <c r="F121" s="234"/>
      <c r="G121" s="351">
        <f>F116</f>
        <v>0.6791385309792769</v>
      </c>
      <c r="H121" s="234"/>
    </row>
    <row r="122" spans="1:9" ht="18.75" x14ac:dyDescent="0.3">
      <c r="A122" s="232"/>
      <c r="B122" s="232"/>
      <c r="C122" s="234"/>
      <c r="D122" s="234"/>
      <c r="E122" s="234"/>
      <c r="F122" s="265"/>
      <c r="G122" s="234"/>
      <c r="H122" s="234"/>
    </row>
    <row r="123" spans="1:9" ht="26.25" customHeight="1" x14ac:dyDescent="0.4">
      <c r="A123" s="218" t="s">
        <v>131</v>
      </c>
      <c r="B123" s="218" t="s">
        <v>132</v>
      </c>
      <c r="D123" s="312" t="s">
        <v>156</v>
      </c>
    </row>
    <row r="124" spans="1:9" ht="19.5" customHeight="1" thickBot="1" x14ac:dyDescent="0.35">
      <c r="A124" s="208"/>
      <c r="B124" s="208"/>
      <c r="C124" s="208"/>
      <c r="D124" s="208"/>
      <c r="E124" s="208"/>
    </row>
    <row r="125" spans="1:9" ht="26.25" customHeight="1" x14ac:dyDescent="0.4">
      <c r="A125" s="235" t="s">
        <v>105</v>
      </c>
      <c r="B125" s="352">
        <v>1000</v>
      </c>
      <c r="C125" s="313" t="s">
        <v>106</v>
      </c>
      <c r="D125" s="327" t="s">
        <v>63</v>
      </c>
      <c r="E125" s="328" t="s">
        <v>107</v>
      </c>
      <c r="F125" s="329" t="s">
        <v>108</v>
      </c>
    </row>
    <row r="126" spans="1:9" ht="26.25" customHeight="1" x14ac:dyDescent="0.4">
      <c r="A126" s="237" t="s">
        <v>109</v>
      </c>
      <c r="B126" s="353">
        <v>1</v>
      </c>
      <c r="C126" s="330">
        <v>1</v>
      </c>
      <c r="D126" s="331">
        <v>6132088</v>
      </c>
      <c r="E126" s="354">
        <f t="shared" ref="E126:E131" si="3">IF(ISBLANK(D126),"-",D126/$D$104*$D$101*$B$134)</f>
        <v>18.84844364777895</v>
      </c>
      <c r="F126" s="355">
        <f t="shared" ref="F126:F131" si="4">IF(ISBLANK(D126), "-", E126/$B$56)</f>
        <v>0.94242218238894748</v>
      </c>
    </row>
    <row r="127" spans="1:9" ht="26.25" customHeight="1" x14ac:dyDescent="0.4">
      <c r="A127" s="237" t="s">
        <v>110</v>
      </c>
      <c r="B127" s="353">
        <v>1</v>
      </c>
      <c r="C127" s="330">
        <v>2</v>
      </c>
      <c r="D127" s="331">
        <v>5806937</v>
      </c>
      <c r="E127" s="356">
        <f t="shared" si="3"/>
        <v>17.849014040682807</v>
      </c>
      <c r="F127" s="357">
        <f t="shared" si="4"/>
        <v>0.89245070203414034</v>
      </c>
    </row>
    <row r="128" spans="1:9" ht="26.25" customHeight="1" x14ac:dyDescent="0.4">
      <c r="A128" s="237" t="s">
        <v>111</v>
      </c>
      <c r="B128" s="353">
        <v>1</v>
      </c>
      <c r="C128" s="330">
        <v>3</v>
      </c>
      <c r="D128" s="331">
        <v>6204336</v>
      </c>
      <c r="E128" s="356">
        <f t="shared" si="3"/>
        <v>19.070515209156532</v>
      </c>
      <c r="F128" s="357">
        <f t="shared" si="4"/>
        <v>0.95352576045782667</v>
      </c>
    </row>
    <row r="129" spans="1:9" ht="26.25" customHeight="1" x14ac:dyDescent="0.4">
      <c r="A129" s="237" t="s">
        <v>112</v>
      </c>
      <c r="B129" s="353">
        <v>1</v>
      </c>
      <c r="C129" s="330">
        <v>4</v>
      </c>
      <c r="D129" s="331">
        <v>5797400</v>
      </c>
      <c r="E129" s="356">
        <f t="shared" si="3"/>
        <v>17.819699783113627</v>
      </c>
      <c r="F129" s="357">
        <f t="shared" si="4"/>
        <v>0.89098498915568136</v>
      </c>
    </row>
    <row r="130" spans="1:9" ht="26.25" customHeight="1" x14ac:dyDescent="0.4">
      <c r="A130" s="237" t="s">
        <v>113</v>
      </c>
      <c r="B130" s="353">
        <v>1</v>
      </c>
      <c r="C130" s="330">
        <v>5</v>
      </c>
      <c r="D130" s="331">
        <v>6196003</v>
      </c>
      <c r="E130" s="356">
        <f t="shared" si="3"/>
        <v>19.044901734444991</v>
      </c>
      <c r="F130" s="357">
        <f t="shared" si="4"/>
        <v>0.95224508672224961</v>
      </c>
    </row>
    <row r="131" spans="1:9" ht="26.25" customHeight="1" x14ac:dyDescent="0.4">
      <c r="A131" s="237" t="s">
        <v>114</v>
      </c>
      <c r="B131" s="353">
        <v>1</v>
      </c>
      <c r="C131" s="336">
        <v>6</v>
      </c>
      <c r="D131" s="337">
        <v>6139060</v>
      </c>
      <c r="E131" s="358">
        <f t="shared" si="3"/>
        <v>18.869873762466199</v>
      </c>
      <c r="F131" s="359">
        <f t="shared" si="4"/>
        <v>0.94349368812330991</v>
      </c>
    </row>
    <row r="132" spans="1:9" ht="26.25" customHeight="1" x14ac:dyDescent="0.4">
      <c r="A132" s="237" t="s">
        <v>115</v>
      </c>
      <c r="B132" s="353">
        <v>1</v>
      </c>
      <c r="C132" s="330"/>
      <c r="D132" s="265"/>
      <c r="E132" s="234"/>
      <c r="F132" s="340"/>
    </row>
    <row r="133" spans="1:9" ht="26.25" customHeight="1" x14ac:dyDescent="0.4">
      <c r="A133" s="237" t="s">
        <v>116</v>
      </c>
      <c r="B133" s="353">
        <v>1</v>
      </c>
      <c r="C133" s="330"/>
      <c r="D133" s="341"/>
      <c r="E133" s="342" t="s">
        <v>70</v>
      </c>
      <c r="F133" s="343">
        <f>AVERAGE(F126:F131)</f>
        <v>0.9291870681470259</v>
      </c>
    </row>
    <row r="134" spans="1:9" ht="27" customHeight="1" thickBot="1" x14ac:dyDescent="0.45">
      <c r="A134" s="237" t="s">
        <v>117</v>
      </c>
      <c r="B134" s="360">
        <f>(B133/B132)*(B131/B130)*(B129/B128)*(B127/B126)*B125</f>
        <v>1000</v>
      </c>
      <c r="C134" s="344"/>
      <c r="D134" s="345"/>
      <c r="E134" s="220" t="s">
        <v>83</v>
      </c>
      <c r="F134" s="346">
        <f>STDEV(F126:F131)/F133</f>
        <v>3.1607786220615032E-2</v>
      </c>
    </row>
    <row r="135" spans="1:9" ht="27" customHeight="1" thickBot="1" x14ac:dyDescent="0.45">
      <c r="A135" s="562" t="s">
        <v>77</v>
      </c>
      <c r="B135" s="563"/>
      <c r="C135" s="347"/>
      <c r="D135" s="348"/>
      <c r="E135" s="349" t="s">
        <v>20</v>
      </c>
      <c r="F135" s="350">
        <f>COUNT(F126:F131)</f>
        <v>6</v>
      </c>
      <c r="I135" s="324"/>
    </row>
    <row r="136" spans="1:9" ht="19.5" customHeight="1" thickBot="1" x14ac:dyDescent="0.35">
      <c r="A136" s="564"/>
      <c r="B136" s="565"/>
      <c r="C136" s="234"/>
      <c r="D136" s="234"/>
      <c r="E136" s="234"/>
      <c r="F136" s="265"/>
      <c r="G136" s="234"/>
      <c r="H136" s="234"/>
    </row>
    <row r="137" spans="1:9" ht="18.75" x14ac:dyDescent="0.3">
      <c r="A137" s="232"/>
      <c r="B137" s="232"/>
      <c r="C137" s="234"/>
      <c r="D137" s="234"/>
      <c r="E137" s="234"/>
      <c r="F137" s="265"/>
      <c r="G137" s="234"/>
      <c r="H137" s="234"/>
    </row>
    <row r="138" spans="1:9" ht="26.25" customHeight="1" x14ac:dyDescent="0.4">
      <c r="A138" s="219" t="s">
        <v>95</v>
      </c>
      <c r="B138" s="220" t="s">
        <v>118</v>
      </c>
      <c r="C138" s="566" t="str">
        <f>B20</f>
        <v>Tadalafil 20 mg</v>
      </c>
      <c r="D138" s="566"/>
      <c r="E138" s="234" t="s">
        <v>119</v>
      </c>
      <c r="F138" s="234"/>
      <c r="G138" s="351">
        <f>F133</f>
        <v>0.9291870681470259</v>
      </c>
      <c r="H138" s="234"/>
    </row>
    <row r="139" spans="1:9" ht="19.5" customHeight="1" thickBot="1" x14ac:dyDescent="0.35">
      <c r="A139" s="361"/>
      <c r="B139" s="361"/>
      <c r="C139" s="362"/>
      <c r="D139" s="362"/>
      <c r="E139" s="362"/>
      <c r="F139" s="362"/>
      <c r="G139" s="362"/>
      <c r="H139" s="362"/>
    </row>
    <row r="140" spans="1:9" ht="18.75" x14ac:dyDescent="0.3">
      <c r="B140" s="567" t="s">
        <v>26</v>
      </c>
      <c r="C140" s="567"/>
      <c r="E140" s="315" t="s">
        <v>27</v>
      </c>
      <c r="F140" s="363"/>
      <c r="G140" s="567" t="s">
        <v>28</v>
      </c>
      <c r="H140" s="567"/>
    </row>
    <row r="141" spans="1:9" ht="83.1" customHeight="1" x14ac:dyDescent="0.3">
      <c r="A141" s="219" t="s">
        <v>29</v>
      </c>
      <c r="B141" s="364"/>
      <c r="C141" s="364" t="s">
        <v>137</v>
      </c>
      <c r="E141" s="365" t="s">
        <v>138</v>
      </c>
      <c r="F141" s="234"/>
      <c r="G141" s="365"/>
      <c r="H141" s="365"/>
    </row>
    <row r="142" spans="1:9" ht="83.1" customHeight="1" x14ac:dyDescent="0.3">
      <c r="A142" s="219" t="s">
        <v>30</v>
      </c>
      <c r="B142" s="366"/>
      <c r="C142" s="366"/>
      <c r="E142" s="367"/>
      <c r="F142" s="234"/>
      <c r="G142" s="368"/>
      <c r="H142" s="368"/>
    </row>
    <row r="143" spans="1:9" ht="18.75" x14ac:dyDescent="0.3">
      <c r="A143" s="265"/>
      <c r="B143" s="265"/>
      <c r="C143" s="265"/>
      <c r="D143" s="265"/>
      <c r="E143" s="265"/>
      <c r="F143" s="268"/>
      <c r="G143" s="265"/>
      <c r="H143" s="265"/>
    </row>
    <row r="144" spans="1:9" ht="18.75" x14ac:dyDescent="0.3">
      <c r="A144" s="265"/>
      <c r="B144" s="265"/>
      <c r="C144" s="265"/>
      <c r="D144" s="265"/>
      <c r="E144" s="265"/>
      <c r="F144" s="268"/>
      <c r="G144" s="265"/>
      <c r="H144" s="265"/>
    </row>
    <row r="145" spans="1:8" ht="18.75" x14ac:dyDescent="0.3">
      <c r="A145" s="265"/>
      <c r="B145" s="265"/>
      <c r="C145" s="265"/>
      <c r="D145" s="265"/>
      <c r="E145" s="265"/>
      <c r="F145" s="268"/>
      <c r="G145" s="265"/>
      <c r="H145" s="265"/>
    </row>
    <row r="146" spans="1:8" ht="18.75" x14ac:dyDescent="0.3">
      <c r="A146" s="265"/>
      <c r="B146" s="265"/>
      <c r="C146" s="265"/>
      <c r="D146" s="265"/>
      <c r="E146" s="265"/>
      <c r="F146" s="268"/>
      <c r="G146" s="265"/>
      <c r="H146" s="265"/>
    </row>
    <row r="147" spans="1:8" ht="18.75" x14ac:dyDescent="0.3">
      <c r="A147" s="265"/>
      <c r="B147" s="265"/>
      <c r="C147" s="265"/>
      <c r="D147" s="265"/>
      <c r="E147" s="265"/>
      <c r="F147" s="268"/>
      <c r="G147" s="265"/>
      <c r="H147" s="265"/>
    </row>
    <row r="148" spans="1:8" ht="18.75" x14ac:dyDescent="0.3">
      <c r="A148" s="265"/>
      <c r="B148" s="265"/>
      <c r="C148" s="265"/>
      <c r="D148" s="265"/>
      <c r="E148" s="265"/>
      <c r="F148" s="268"/>
      <c r="G148" s="265"/>
      <c r="H148" s="265"/>
    </row>
    <row r="149" spans="1:8" ht="18.75" x14ac:dyDescent="0.3">
      <c r="A149" s="265"/>
      <c r="B149" s="265"/>
      <c r="C149" s="265"/>
      <c r="D149" s="265"/>
      <c r="E149" s="265"/>
      <c r="F149" s="268"/>
      <c r="G149" s="265"/>
      <c r="H149" s="265"/>
    </row>
    <row r="150" spans="1:8" ht="18.75" x14ac:dyDescent="0.3">
      <c r="A150" s="265"/>
      <c r="B150" s="265"/>
      <c r="C150" s="265"/>
      <c r="D150" s="265"/>
      <c r="E150" s="265"/>
      <c r="F150" s="268"/>
      <c r="G150" s="265"/>
      <c r="H150" s="265"/>
    </row>
    <row r="151" spans="1:8" ht="18.75" x14ac:dyDescent="0.3">
      <c r="A151" s="265"/>
      <c r="B151" s="265"/>
      <c r="C151" s="265"/>
      <c r="D151" s="265"/>
      <c r="E151" s="265"/>
      <c r="F151" s="268"/>
      <c r="G151" s="265"/>
      <c r="H151" s="265"/>
    </row>
    <row r="250" spans="1:1" x14ac:dyDescent="0.25">
      <c r="A250" s="20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</mergeCells>
  <printOptions horizontalCentered="1" verticalCentered="1"/>
  <pageMargins left="0.25" right="0.25" top="0.75" bottom="0.75" header="0.3" footer="0.3"/>
  <pageSetup paperSize="9" scale="22" fitToHeight="2" orientation="portrait" r:id="rId1"/>
  <headerFooter alignWithMargins="0"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Uniformity</vt:lpstr>
      <vt:lpstr>SST </vt:lpstr>
      <vt:lpstr>Tadalafil CU</vt:lpstr>
      <vt:lpstr>Tadalafil CU Repeat</vt:lpstr>
      <vt:lpstr>Tadalafil Assay Diss</vt:lpstr>
      <vt:lpstr>'Tadalafil Assay Diss'!Print_Area</vt:lpstr>
      <vt:lpstr>'Tadalafil CU'!Print_Area</vt:lpstr>
      <vt:lpstr>'Tadalafil CU Repeat'!Print_Area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2016-02-26T05:08:13Z</cp:lastPrinted>
  <dcterms:created xsi:type="dcterms:W3CDTF">2005-07-05T10:19:27Z</dcterms:created>
  <dcterms:modified xsi:type="dcterms:W3CDTF">2016-03-02T12:11:15Z</dcterms:modified>
</cp:coreProperties>
</file>